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A.S.O\Tour de France 2023\Urrugne\"/>
    </mc:Choice>
  </mc:AlternateContent>
  <bookViews>
    <workbookView xWindow="0" yWindow="0" windowWidth="20490" windowHeight="7155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5" i="1" l="1"/>
  <c r="B205" i="1"/>
  <c r="D204" i="1"/>
  <c r="B204" i="1"/>
  <c r="D203" i="1"/>
  <c r="B203" i="1"/>
  <c r="D202" i="1"/>
  <c r="B202" i="1"/>
  <c r="D201" i="1"/>
  <c r="B201" i="1"/>
  <c r="D200" i="1"/>
  <c r="B200" i="1"/>
  <c r="D199" i="1"/>
  <c r="B199" i="1"/>
  <c r="D198" i="1"/>
  <c r="B198" i="1"/>
  <c r="D197" i="1"/>
  <c r="B197" i="1"/>
  <c r="D196" i="1"/>
  <c r="B196" i="1"/>
  <c r="D195" i="1"/>
  <c r="B195" i="1"/>
  <c r="D194" i="1"/>
  <c r="B194" i="1"/>
  <c r="B193" i="1"/>
  <c r="B192" i="1"/>
  <c r="B75" i="1" l="1"/>
  <c r="D75" i="1" s="1"/>
  <c r="B74" i="1"/>
  <c r="B73" i="1"/>
  <c r="D72" i="1"/>
  <c r="B72" i="1"/>
  <c r="B71" i="1"/>
  <c r="B70" i="1"/>
  <c r="D70" i="1"/>
  <c r="D68" i="1"/>
  <c r="B68" i="1"/>
  <c r="B67" i="1"/>
  <c r="D66" i="1"/>
  <c r="B66" i="1"/>
  <c r="B65" i="1"/>
  <c r="D64" i="1"/>
  <c r="B64" i="1"/>
  <c r="B63" i="1"/>
  <c r="D179" i="1"/>
  <c r="B179" i="1"/>
  <c r="B178" i="1"/>
  <c r="D177" i="1"/>
  <c r="B177" i="1"/>
  <c r="B176" i="1"/>
  <c r="D175" i="1"/>
  <c r="B175" i="1"/>
  <c r="B174" i="1"/>
  <c r="D173" i="1"/>
  <c r="B173" i="1"/>
  <c r="B172" i="1"/>
  <c r="D171" i="1"/>
  <c r="B171" i="1"/>
  <c r="B170" i="1"/>
  <c r="D169" i="1"/>
  <c r="B169" i="1"/>
  <c r="B168" i="1"/>
  <c r="D167" i="1"/>
  <c r="B167" i="1"/>
  <c r="B166" i="1"/>
  <c r="B225" i="1" l="1"/>
  <c r="D224" i="1"/>
  <c r="B224" i="1"/>
  <c r="B223" i="1"/>
  <c r="D222" i="1"/>
  <c r="B222" i="1"/>
  <c r="B221" i="1"/>
  <c r="D220" i="1"/>
  <c r="B220" i="1"/>
  <c r="B219" i="1"/>
  <c r="B43" i="1"/>
  <c r="D42" i="1"/>
  <c r="B42" i="1"/>
  <c r="B41" i="1"/>
  <c r="D40" i="1"/>
  <c r="B40" i="1"/>
  <c r="B39" i="1"/>
  <c r="D38" i="1"/>
  <c r="B38" i="1"/>
  <c r="B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X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V18" i="2"/>
  <c r="EX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W22" i="2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FS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W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EC113" i="2"/>
  <c r="FS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FS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DH156" i="2" l="1"/>
  <c r="FS156" i="2"/>
  <c r="EX156" i="2"/>
  <c r="E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EC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EC160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D160" i="2" l="1"/>
  <c r="FS161" i="2"/>
  <c r="EX161" i="2"/>
  <c r="EB161" i="2"/>
  <c r="EA161" i="2"/>
  <c r="ED161" i="2" s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V163" i="2"/>
  <c r="EA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DI163" i="2"/>
  <c r="FR164" i="2"/>
  <c r="FS164" i="2"/>
  <c r="EV164" i="2"/>
  <c r="EX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X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C167" i="2"/>
  <c r="FR167" i="2"/>
  <c r="EX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EV168" i="2"/>
  <c r="EW168" i="2"/>
  <c r="DG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A172" i="2"/>
  <c r="EW172" i="2"/>
  <c r="EV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EA174" i="2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FS175" i="2" l="1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EW178" i="2"/>
  <c r="EB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EV179" i="2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FS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V185" i="2"/>
  <c r="EW185" i="2"/>
  <c r="EA185" i="2"/>
  <c r="EB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W190" i="2"/>
  <c r="EV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EW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EY192" i="2" l="1"/>
  <c r="EA193" i="2"/>
  <c r="FQ193" i="2"/>
  <c r="EX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AW194" i="2" l="1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Y194" i="2" l="1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B199" i="2"/>
  <c r="FS199" i="2"/>
  <c r="EV199" i="2"/>
  <c r="EW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FS201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EX202" i="2"/>
  <c r="ED201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0" i="2" l="1" a="1"/>
  <c r="AH90" i="2" s="1"/>
  <c r="AH19" i="2" a="1"/>
  <c r="AH19" i="2" s="1"/>
  <c r="AH166" i="2" a="1"/>
  <c r="AH166" i="2" s="1"/>
  <c r="AH151" i="2" a="1"/>
  <c r="AH151" i="2" s="1"/>
  <c r="AH92" i="2" a="1"/>
  <c r="AH92" i="2" s="1"/>
  <c r="AH62" i="2" a="1"/>
  <c r="AH62" i="2" s="1"/>
  <c r="AH163" i="2" a="1"/>
  <c r="AH163" i="2" s="1"/>
  <c r="AH199" i="2" a="1"/>
  <c r="AH199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EO136" i="2" l="1"/>
  <c r="EO126" i="2"/>
  <c r="EO112" i="2"/>
  <c r="EO26" i="2"/>
  <c r="EO201" i="2"/>
  <c r="EO33" i="2"/>
  <c r="EO34" i="2"/>
  <c r="EO90" i="2"/>
  <c r="EO108" i="2"/>
  <c r="EO4" i="2"/>
  <c r="EO155" i="2"/>
  <c r="EO152" i="2"/>
  <c r="EO17" i="2"/>
  <c r="EO175" i="2"/>
  <c r="EO80" i="2"/>
  <c r="EO183" i="2"/>
  <c r="EO143" i="2"/>
  <c r="EO12" i="2"/>
  <c r="EO62" i="2"/>
  <c r="EO87" i="2"/>
  <c r="EO42" i="2"/>
  <c r="EO120" i="2"/>
  <c r="EO114" i="2"/>
  <c r="EO163" i="2"/>
  <c r="EO13" i="2"/>
  <c r="EO94" i="2"/>
  <c r="EO197" i="2"/>
  <c r="EO77" i="2"/>
  <c r="EO7" i="2"/>
  <c r="EO25" i="2"/>
  <c r="EO73" i="2"/>
  <c r="EO51" i="2"/>
  <c r="EO202" i="2"/>
  <c r="EO100" i="2"/>
  <c r="EO93" i="2"/>
  <c r="EO83" i="2"/>
  <c r="EO35" i="2"/>
  <c r="EO121" i="2"/>
  <c r="EO78" i="2"/>
  <c r="EO160" i="2"/>
  <c r="EO131" i="2"/>
  <c r="EO134" i="2"/>
  <c r="EO196" i="2"/>
  <c r="EO101" i="2"/>
  <c r="EO14" i="2"/>
  <c r="EO24" i="2"/>
  <c r="EO16" i="2"/>
  <c r="EO54" i="2"/>
  <c r="EO8" i="2"/>
  <c r="EO99" i="2"/>
  <c r="EO129" i="2"/>
  <c r="EO200" i="2"/>
  <c r="EO118" i="2"/>
  <c r="EO125" i="2"/>
  <c r="EO190" i="2"/>
  <c r="EO142" i="2"/>
  <c r="EO113" i="2"/>
  <c r="EO162" i="2"/>
  <c r="EO67" i="2"/>
  <c r="EO135" i="2"/>
  <c r="EO184" i="2"/>
  <c r="EO97" i="2"/>
  <c r="EO45" i="2"/>
  <c r="EO147" i="2"/>
  <c r="EO157" i="2"/>
  <c r="EO66" i="2"/>
  <c r="EO18" i="2"/>
  <c r="EO193" i="2"/>
  <c r="EO161" i="2"/>
  <c r="EO104" i="2"/>
  <c r="EO44" i="2"/>
  <c r="EO119" i="2"/>
  <c r="EO63" i="2"/>
  <c r="EO58" i="2"/>
  <c r="EO20" i="2"/>
  <c r="EO30" i="2"/>
  <c r="EO176" i="2"/>
  <c r="EO164" i="2"/>
  <c r="EO55" i="2"/>
  <c r="EO88" i="2"/>
  <c r="EO72" i="2"/>
  <c r="EO174" i="2"/>
  <c r="EO59" i="2"/>
  <c r="EO74" i="2"/>
  <c r="EO168" i="2"/>
  <c r="EO145" i="2"/>
  <c r="EO171" i="2"/>
  <c r="EO154" i="2"/>
  <c r="EO130" i="2"/>
  <c r="EO185" i="2"/>
  <c r="EO11" i="2"/>
  <c r="EO49" i="2"/>
  <c r="EO31" i="2"/>
  <c r="EO188" i="2"/>
  <c r="EO192" i="2"/>
  <c r="EO178" i="2"/>
  <c r="EO56" i="2"/>
  <c r="EO98" i="2"/>
  <c r="EO76" i="2"/>
  <c r="EO23" i="2"/>
  <c r="EO146" i="2"/>
  <c r="EO189" i="2"/>
  <c r="EO167" i="2"/>
  <c r="EO203" i="2"/>
  <c r="EO149" i="2"/>
  <c r="EO6" i="2"/>
  <c r="EO95" i="2"/>
  <c r="EO133" i="2"/>
  <c r="EO82" i="2"/>
  <c r="EO50" i="2"/>
  <c r="EO156" i="2"/>
  <c r="EO148" i="2"/>
  <c r="EO151" i="2"/>
  <c r="EO138" i="2"/>
  <c r="EO52" i="2"/>
  <c r="EO32" i="2"/>
  <c r="EO96" i="2"/>
  <c r="EO89" i="2"/>
  <c r="EO159" i="2"/>
  <c r="EO81" i="2"/>
  <c r="EO75" i="2"/>
  <c r="EO21" i="2"/>
  <c r="EO187" i="2"/>
  <c r="EO182" i="2"/>
  <c r="EO38" i="2"/>
  <c r="EO123" i="2"/>
  <c r="EO48" i="2"/>
  <c r="EO41" i="2"/>
  <c r="EO60" i="2"/>
  <c r="EO177" i="2"/>
  <c r="EO172" i="2"/>
  <c r="EO137" i="2"/>
  <c r="EO9" i="2"/>
  <c r="EO43" i="2"/>
  <c r="EO181" i="2"/>
  <c r="EO28" i="2"/>
  <c r="EO170" i="2"/>
  <c r="EO107" i="2"/>
  <c r="EO47" i="2"/>
  <c r="EO110" i="2"/>
  <c r="EO85" i="2"/>
  <c r="EO141" i="2"/>
  <c r="EO116" i="2"/>
  <c r="EO40" i="2"/>
  <c r="EO115" i="2"/>
  <c r="EO3" i="2"/>
  <c r="C12" i="4" s="1"/>
  <c r="E12" i="4" s="1"/>
  <c r="F12" i="4" s="1"/>
  <c r="G12" i="4" s="1"/>
  <c r="L12" i="4" s="1"/>
  <c r="EO64" i="2"/>
  <c r="EO105" i="2"/>
  <c r="EO117" i="2"/>
  <c r="EO46" i="2"/>
  <c r="EO127" i="2"/>
  <c r="EO91" i="2"/>
  <c r="EO5" i="2"/>
  <c r="EO39" i="2"/>
  <c r="EO57" i="2"/>
  <c r="EO84" i="2"/>
  <c r="EO173" i="2"/>
  <c r="EO140" i="2"/>
  <c r="EO194" i="2"/>
  <c r="EO19" i="2"/>
  <c r="EO153" i="2"/>
  <c r="EO166" i="2"/>
  <c r="EO71" i="2"/>
  <c r="EO132" i="2"/>
  <c r="EO103" i="2"/>
  <c r="EO186" i="2"/>
  <c r="EO92" i="2"/>
  <c r="EO86" i="2"/>
  <c r="EO158" i="2"/>
  <c r="EO68" i="2"/>
  <c r="EO122" i="2"/>
  <c r="EO191" i="2"/>
  <c r="EO102" i="2"/>
  <c r="EO65" i="2"/>
  <c r="EO36" i="2"/>
  <c r="EO198" i="2"/>
  <c r="EO53" i="2"/>
  <c r="EO79" i="2"/>
  <c r="EO109" i="2"/>
  <c r="EO61" i="2"/>
  <c r="EO150" i="2"/>
  <c r="EO15" i="2"/>
  <c r="EO22" i="2"/>
  <c r="EO179" i="2"/>
  <c r="EO70" i="2"/>
  <c r="EO124" i="2"/>
  <c r="EO106" i="2"/>
  <c r="EO169" i="2"/>
  <c r="EO29" i="2"/>
  <c r="EO69" i="2"/>
  <c r="EO165" i="2"/>
  <c r="EO144" i="2"/>
  <c r="EO27" i="2"/>
  <c r="EO199" i="2"/>
  <c r="EO128" i="2"/>
  <c r="EO111" i="2"/>
  <c r="EO195" i="2"/>
  <c r="EO180" i="2"/>
  <c r="EO139" i="2"/>
  <c r="EO10" i="2"/>
  <c r="EO37" i="2"/>
  <c r="FJ18" i="2"/>
  <c r="FJ156" i="2"/>
  <c r="FJ8" i="2"/>
  <c r="FJ134" i="2"/>
  <c r="FJ55" i="2"/>
  <c r="FJ70" i="2"/>
  <c r="FJ3" i="2"/>
  <c r="C13" i="4" s="1"/>
  <c r="E13" i="4" s="1"/>
  <c r="F13" i="4" s="1"/>
  <c r="G13" i="4" s="1"/>
  <c r="L13" i="4" s="1"/>
  <c r="FJ120" i="2"/>
  <c r="FJ117" i="2"/>
  <c r="FJ123" i="2"/>
  <c r="FJ202" i="2"/>
  <c r="FJ77" i="2"/>
  <c r="FJ157" i="2"/>
  <c r="FJ29" i="2"/>
  <c r="FJ44" i="2"/>
  <c r="FJ115" i="2"/>
  <c r="FJ102" i="2"/>
  <c r="FJ185" i="2"/>
  <c r="FJ198" i="2"/>
  <c r="FJ64" i="2"/>
  <c r="FJ101" i="2"/>
  <c r="FJ74" i="2"/>
  <c r="FJ10" i="2"/>
  <c r="FJ86" i="2"/>
  <c r="FJ42" i="2"/>
  <c r="FJ38" i="2"/>
  <c r="FJ110" i="2"/>
  <c r="FJ63" i="2"/>
  <c r="FJ36" i="2"/>
  <c r="FJ160" i="2"/>
  <c r="FJ31" i="2"/>
  <c r="FJ32" i="2"/>
  <c r="FJ4" i="2"/>
  <c r="FJ51" i="2"/>
  <c r="FJ153" i="2"/>
  <c r="FJ13" i="2"/>
  <c r="FJ173" i="2"/>
  <c r="FJ22" i="2"/>
  <c r="FJ40" i="2"/>
  <c r="FJ53" i="2"/>
  <c r="FJ189" i="2"/>
  <c r="FJ139" i="2"/>
  <c r="FJ100" i="2"/>
  <c r="FJ149" i="2"/>
  <c r="FJ14" i="2"/>
  <c r="FJ152" i="2"/>
  <c r="FJ196" i="2"/>
  <c r="FJ9" i="2"/>
  <c r="FJ33" i="2"/>
  <c r="FJ83" i="2"/>
  <c r="FJ92" i="2"/>
  <c r="FJ164" i="2"/>
  <c r="FJ158" i="2"/>
  <c r="FJ124" i="2"/>
  <c r="FJ130" i="2"/>
  <c r="FJ183" i="2"/>
  <c r="FJ113" i="2"/>
  <c r="FJ165" i="2"/>
  <c r="FJ181" i="2"/>
  <c r="FJ171" i="2"/>
  <c r="FJ151" i="2"/>
  <c r="FJ168" i="2"/>
  <c r="FJ138" i="2"/>
  <c r="FJ104" i="2"/>
  <c r="FJ107" i="2"/>
  <c r="FJ94" i="2"/>
  <c r="FJ24" i="2"/>
  <c r="FJ58" i="2"/>
  <c r="FJ11" i="2"/>
  <c r="FJ155" i="2"/>
  <c r="FJ85" i="2"/>
  <c r="FJ169" i="2"/>
  <c r="FJ135" i="2"/>
  <c r="FJ176" i="2"/>
  <c r="FJ167" i="2"/>
  <c r="FJ200" i="2"/>
  <c r="FJ71" i="2"/>
  <c r="FJ26" i="2"/>
  <c r="FJ56" i="2"/>
  <c r="FJ50" i="2"/>
  <c r="FJ82" i="2"/>
  <c r="FJ49" i="2"/>
  <c r="FJ175" i="2"/>
  <c r="FJ35" i="2"/>
  <c r="FJ163" i="2"/>
  <c r="FJ191" i="2"/>
  <c r="FJ23" i="2"/>
  <c r="FJ126" i="2"/>
  <c r="FJ119" i="2"/>
  <c r="FJ28" i="2"/>
  <c r="FJ105" i="2"/>
  <c r="FJ46" i="2"/>
  <c r="FJ80" i="2"/>
  <c r="FJ197" i="2"/>
  <c r="FJ41" i="2"/>
  <c r="FJ201" i="2"/>
  <c r="FJ182" i="2"/>
  <c r="FJ193" i="2"/>
  <c r="FJ27" i="2"/>
  <c r="FJ95" i="2"/>
  <c r="FJ118" i="2"/>
  <c r="FJ106" i="2"/>
  <c r="FJ125" i="2"/>
  <c r="FJ192" i="2"/>
  <c r="FJ52" i="2"/>
  <c r="FJ141" i="2"/>
  <c r="FJ154" i="2"/>
  <c r="FJ174" i="2"/>
  <c r="FJ203" i="2"/>
  <c r="FJ7" i="2"/>
  <c r="FJ76" i="2"/>
  <c r="FJ16" i="2"/>
  <c r="FJ144" i="2"/>
  <c r="FJ67" i="2"/>
  <c r="FJ136" i="2"/>
  <c r="FJ96" i="2"/>
  <c r="FJ108" i="2"/>
  <c r="FJ59" i="2"/>
  <c r="FJ89" i="2"/>
  <c r="FJ99" i="2"/>
  <c r="FJ133" i="2"/>
  <c r="FJ43" i="2"/>
  <c r="FJ78" i="2"/>
  <c r="FJ150" i="2"/>
  <c r="FJ131" i="2"/>
  <c r="FJ91" i="2"/>
  <c r="FJ30" i="2"/>
  <c r="FJ62" i="2"/>
  <c r="FJ37" i="2"/>
  <c r="FJ75" i="2"/>
  <c r="FJ103" i="2"/>
  <c r="FJ116" i="2"/>
  <c r="FJ93" i="2"/>
  <c r="FJ73" i="2"/>
  <c r="FJ132" i="2"/>
  <c r="FJ47" i="2"/>
  <c r="FJ6" i="2"/>
  <c r="FJ184" i="2"/>
  <c r="FJ147" i="2"/>
  <c r="FJ121" i="2"/>
  <c r="FJ186" i="2"/>
  <c r="FJ15" i="2"/>
  <c r="FJ97" i="2"/>
  <c r="FJ87" i="2"/>
  <c r="FJ190" i="2"/>
  <c r="FJ122" i="2"/>
  <c r="FJ66" i="2"/>
  <c r="FJ143" i="2"/>
  <c r="FJ128" i="2"/>
  <c r="FJ177" i="2"/>
  <c r="FJ88" i="2"/>
  <c r="FJ170" i="2"/>
  <c r="FJ72" i="2"/>
  <c r="FJ69" i="2"/>
  <c r="FJ112" i="2"/>
  <c r="FJ114" i="2"/>
  <c r="FJ127" i="2"/>
  <c r="FJ54" i="2"/>
  <c r="FJ5" i="2"/>
  <c r="FJ146" i="2"/>
  <c r="FJ48" i="2"/>
  <c r="FJ199" i="2"/>
  <c r="FJ61" i="2"/>
  <c r="FJ12" i="2"/>
  <c r="FJ19" i="2"/>
  <c r="FJ65" i="2"/>
  <c r="FJ140" i="2"/>
  <c r="FJ39" i="2"/>
  <c r="FJ90" i="2"/>
  <c r="FJ178" i="2"/>
  <c r="FJ194" i="2"/>
  <c r="FJ145" i="2"/>
  <c r="FJ179" i="2"/>
  <c r="FJ45" i="2"/>
  <c r="FJ195" i="2"/>
  <c r="FJ60" i="2"/>
  <c r="FJ81" i="2"/>
  <c r="FJ84" i="2"/>
  <c r="FJ129" i="2"/>
  <c r="FJ109" i="2"/>
  <c r="FJ159" i="2"/>
  <c r="FJ161" i="2"/>
  <c r="FJ187" i="2"/>
  <c r="FJ34" i="2"/>
  <c r="FJ79" i="2"/>
  <c r="FJ20" i="2"/>
  <c r="FJ111" i="2"/>
  <c r="FJ172" i="2"/>
  <c r="FJ25" i="2"/>
  <c r="FJ148" i="2"/>
  <c r="FJ137" i="2"/>
  <c r="FJ142" i="2"/>
  <c r="FJ180" i="2"/>
  <c r="FJ162" i="2"/>
  <c r="FJ166" i="2"/>
  <c r="FJ68" i="2"/>
  <c r="FJ188" i="2"/>
  <c r="FJ57" i="2"/>
  <c r="FJ98" i="2"/>
  <c r="FJ17" i="2"/>
  <c r="FJ21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<sst xmlns="http://schemas.openxmlformats.org/spreadsheetml/2006/main" count="1177" uniqueCount="324">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</sst>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0670256"/>
        <c:axId val="2130669168"/>
      </c:scatterChart>
      <c:valAx>
        <c:axId val="2130670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0669168"/>
        <c:crosses val="autoZero"/>
        <c:crossBetween val="midCat"/>
      </c:valAx>
      <c:valAx>
        <c:axId val="2130669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0670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0776176"/>
        <c:axId val="340778352"/>
      </c:scatterChart>
      <c:valAx>
        <c:axId val="3407761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40778352"/>
        <c:crosses val="autoZero"/>
        <c:crossBetween val="midCat"/>
      </c:valAx>
      <c:valAx>
        <c:axId val="340778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40776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2.3793080898225729</c:v>
                </c:pt>
                <c:pt idx="2">
                  <c:v>3.0003642996210083</c:v>
                </c:pt>
                <c:pt idx="3">
                  <c:v>3.7841678017287599</c:v>
                </c:pt>
                <c:pt idx="4">
                  <c:v>4.7735237790966574</c:v>
                </c:pt>
                <c:pt idx="5">
                  <c:v>6.0225346181057935</c:v>
                </c:pt>
                <c:pt idx="6">
                  <c:v>7.5995909853256647</c:v>
                </c:pt>
                <c:pt idx="7">
                  <c:v>9.5911571523689911</c:v>
                </c:pt>
                <c:pt idx="8">
                  <c:v>12.106562038828912</c:v>
                </c:pt>
                <c:pt idx="9">
                  <c:v>15.284063885053456</c:v>
                </c:pt>
                <c:pt idx="10">
                  <c:v>19.298528006020888</c:v>
                </c:pt>
                <c:pt idx="11">
                  <c:v>24.371147761410047</c:v>
                </c:pt>
                <c:pt idx="12">
                  <c:v>30.781753838224574</c:v>
                </c:pt>
                <c:pt idx="13">
                  <c:v>38.884402692877721</c:v>
                </c:pt>
                <c:pt idx="14">
                  <c:v>49.127119800966483</c:v>
                </c:pt>
                <c:pt idx="15">
                  <c:v>62.076907697013901</c:v>
                </c:pt>
                <c:pt idx="16">
                  <c:v>80.930305178951087</c:v>
                </c:pt>
                <c:pt idx="17">
                  <c:v>99.671872945964807</c:v>
                </c:pt>
                <c:pt idx="18">
                  <c:v>118.32573550855612</c:v>
                </c:pt>
                <c:pt idx="19">
                  <c:v>136.9077150360213</c:v>
                </c:pt>
                <c:pt idx="20">
                  <c:v>155.42896118281021</c:v>
                </c:pt>
                <c:pt idx="21">
                  <c:v>175.48763589154603</c:v>
                </c:pt>
                <c:pt idx="22">
                  <c:v>195.49245385292795</c:v>
                </c:pt>
                <c:pt idx="23">
                  <c:v>215.44970378753956</c:v>
                </c:pt>
                <c:pt idx="24">
                  <c:v>235.36441238036505</c:v>
                </c:pt>
                <c:pt idx="25">
                  <c:v>255.24068531878723</c:v>
                </c:pt>
                <c:pt idx="26">
                  <c:v>161.80307694345501</c:v>
                </c:pt>
                <c:pt idx="27">
                  <c:v>180.89077768928109</c:v>
                </c:pt>
                <c:pt idx="28">
                  <c:v>199.93131520555607</c:v>
                </c:pt>
                <c:pt idx="29">
                  <c:v>218.92981441202699</c:v>
                </c:pt>
                <c:pt idx="30">
                  <c:v>237.89043696225227</c:v>
                </c:pt>
                <c:pt idx="31">
                  <c:v>254.61024730171837</c:v>
                </c:pt>
                <c:pt idx="32">
                  <c:v>271.30521008186082</c:v>
                </c:pt>
                <c:pt idx="33">
                  <c:v>287.9770694563656</c:v>
                </c:pt>
                <c:pt idx="34">
                  <c:v>304.62735109477939</c:v>
                </c:pt>
                <c:pt idx="35">
                  <c:v>321.25740024962437</c:v>
                </c:pt>
                <c:pt idx="36">
                  <c:v>248.30390605743375</c:v>
                </c:pt>
                <c:pt idx="37">
                  <c:v>263.43320731240277</c:v>
                </c:pt>
                <c:pt idx="38">
                  <c:v>278.54291135662521</c:v>
                </c:pt>
                <c:pt idx="39">
                  <c:v>293.63423101263379</c:v>
                </c:pt>
                <c:pt idx="40">
                  <c:v>308.70824422691629</c:v>
                </c:pt>
                <c:pt idx="41">
                  <c:v>321.57098823009062</c:v>
                </c:pt>
                <c:pt idx="42">
                  <c:v>334.42235456926829</c:v>
                </c:pt>
                <c:pt idx="43">
                  <c:v>347.26284215565829</c:v>
                </c:pt>
                <c:pt idx="44">
                  <c:v>360.09290998539467</c:v>
                </c:pt>
                <c:pt idx="45">
                  <c:v>372.91298167145288</c:v>
                </c:pt>
                <c:pt idx="46">
                  <c:v>305.56920296431076</c:v>
                </c:pt>
                <c:pt idx="47">
                  <c:v>316.55276342878943</c:v>
                </c:pt>
                <c:pt idx="48">
                  <c:v>327.52788280677856</c:v>
                </c:pt>
                <c:pt idx="49">
                  <c:v>338.49488394193003</c:v>
                </c:pt>
                <c:pt idx="50">
                  <c:v>349.4540670413798</c:v>
                </c:pt>
                <c:pt idx="51">
                  <c:v>359.46728823872076</c:v>
                </c:pt>
                <c:pt idx="52">
                  <c:v>369.47440867571908</c:v>
                </c:pt>
                <c:pt idx="53">
                  <c:v>379.47561696033398</c:v>
                </c:pt>
                <c:pt idx="54">
                  <c:v>389.4710909432938</c:v>
                </c:pt>
                <c:pt idx="55">
                  <c:v>399.46099859791838</c:v>
                </c:pt>
                <c:pt idx="56">
                  <c:v>360.40571193829373</c:v>
                </c:pt>
                <c:pt idx="57">
                  <c:v>368.22384570264677</c:v>
                </c:pt>
                <c:pt idx="58">
                  <c:v>376.03835717192686</c:v>
                </c:pt>
                <c:pt idx="59">
                  <c:v>383.8493322938412</c:v>
                </c:pt>
                <c:pt idx="60">
                  <c:v>391.65685323028885</c:v>
                </c:pt>
                <c:pt idx="61">
                  <c:v>398.52467686288384</c:v>
                </c:pt>
                <c:pt idx="62">
                  <c:v>405.389937940864</c:v>
                </c:pt>
                <c:pt idx="63">
                  <c:v>412.2526860160653</c:v>
                </c:pt>
                <c:pt idx="64">
                  <c:v>419.11296885471529</c:v>
                </c:pt>
                <c:pt idx="65">
                  <c:v>425.9708325305989</c:v>
                </c:pt>
                <c:pt idx="66">
                  <c:v>396.02758560852732</c:v>
                </c:pt>
                <c:pt idx="67">
                  <c:v>401.95762458122334</c:v>
                </c:pt>
                <c:pt idx="68">
                  <c:v>407.88577090657145</c:v>
                </c:pt>
                <c:pt idx="69">
                  <c:v>413.81205599750388</c:v>
                </c:pt>
                <c:pt idx="70">
                  <c:v>419.73651029301612</c:v>
                </c:pt>
                <c:pt idx="71">
                  <c:v>425.03581010994776</c:v>
                </c:pt>
                <c:pt idx="72">
                  <c:v>430.33368844373439</c:v>
                </c:pt>
                <c:pt idx="73">
                  <c:v>435.63016527932933</c:v>
                </c:pt>
                <c:pt idx="74">
                  <c:v>440.92526007564749</c:v>
                </c:pt>
                <c:pt idx="75">
                  <c:v>446.21899178570339</c:v>
                </c:pt>
                <c:pt idx="76">
                  <c:v>450.88881430011548</c:v>
                </c:pt>
                <c:pt idx="77">
                  <c:v>455.55760235358645</c:v>
                </c:pt>
                <c:pt idx="78">
                  <c:v>460.22536805321442</c:v>
                </c:pt>
                <c:pt idx="79">
                  <c:v>464.89212324025556</c:v>
                </c:pt>
                <c:pt idx="80">
                  <c:v>469.5578794986327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0666992"/>
        <c:axId val="662524592"/>
      </c:scatterChart>
      <c:valAx>
        <c:axId val="21306669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62524592"/>
        <c:crosses val="autoZero"/>
        <c:crossBetween val="midCat"/>
      </c:valAx>
      <c:valAx>
        <c:axId val="66252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06669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2.0803069082284602</c:v>
                </c:pt>
                <c:pt idx="2">
                  <c:v>2.7908466007605846</c:v>
                </c:pt>
                <c:pt idx="3">
                  <c:v>3.745090324532018</c:v>
                </c:pt>
                <c:pt idx="4">
                  <c:v>5.0269529215261413</c:v>
                </c:pt>
                <c:pt idx="5">
                  <c:v>6.7493493166264118</c:v>
                </c:pt>
                <c:pt idx="6">
                  <c:v>9.0642504917295152</c:v>
                </c:pt>
                <c:pt idx="7">
                  <c:v>12.176237248342895</c:v>
                </c:pt>
                <c:pt idx="8">
                  <c:v>16.360771842506747</c:v>
                </c:pt>
                <c:pt idx="9">
                  <c:v>21.988834252444033</c:v>
                </c:pt>
                <c:pt idx="10">
                  <c:v>29.560146074891151</c:v>
                </c:pt>
                <c:pt idx="11">
                  <c:v>39.747983373188866</c:v>
                </c:pt>
                <c:pt idx="12">
                  <c:v>53.459631237926175</c:v>
                </c:pt>
                <c:pt idx="13">
                  <c:v>73.140819321214281</c:v>
                </c:pt>
                <c:pt idx="14">
                  <c:v>95.186564611203053</c:v>
                </c:pt>
                <c:pt idx="15">
                  <c:v>119.46034912255978</c:v>
                </c:pt>
                <c:pt idx="16">
                  <c:v>103.79650823401829</c:v>
                </c:pt>
                <c:pt idx="17">
                  <c:v>118.67513818911159</c:v>
                </c:pt>
                <c:pt idx="18">
                  <c:v>136.92208082463543</c:v>
                </c:pt>
                <c:pt idx="19">
                  <c:v>155.11047140437867</c:v>
                </c:pt>
                <c:pt idx="20">
                  <c:v>173.24815008510896</c:v>
                </c:pt>
                <c:pt idx="21">
                  <c:v>148.95241602484973</c:v>
                </c:pt>
                <c:pt idx="22">
                  <c:v>168.96686707539345</c:v>
                </c:pt>
                <c:pt idx="23">
                  <c:v>191.51370378649062</c:v>
                </c:pt>
                <c:pt idx="24">
                  <c:v>213.99871582167268</c:v>
                </c:pt>
                <c:pt idx="25">
                  <c:v>238.36063977122194</c:v>
                </c:pt>
                <c:pt idx="26">
                  <c:v>262.66582457768635</c:v>
                </c:pt>
                <c:pt idx="27">
                  <c:v>286.92025704588701</c:v>
                </c:pt>
                <c:pt idx="28">
                  <c:v>236.55808044428508</c:v>
                </c:pt>
                <c:pt idx="29">
                  <c:v>257.07646791869132</c:v>
                </c:pt>
                <c:pt idx="30">
                  <c:v>277.55782610520754</c:v>
                </c:pt>
                <c:pt idx="31">
                  <c:v>298.26146166084101</c:v>
                </c:pt>
                <c:pt idx="32">
                  <c:v>318.93307910873148</c:v>
                </c:pt>
                <c:pt idx="33">
                  <c:v>254.95565122562834</c:v>
                </c:pt>
                <c:pt idx="34">
                  <c:v>271.39785662959355</c:v>
                </c:pt>
                <c:pt idx="35">
                  <c:v>288.00995410291614</c:v>
                </c:pt>
                <c:pt idx="36">
                  <c:v>304.60063094888801</c:v>
                </c:pt>
                <c:pt idx="37">
                  <c:v>321.42698324278075</c:v>
                </c:pt>
                <c:pt idx="38">
                  <c:v>338.23385687217092</c:v>
                </c:pt>
                <c:pt idx="39">
                  <c:v>355.02235577087754</c:v>
                </c:pt>
                <c:pt idx="40">
                  <c:v>371.79347095596705</c:v>
                </c:pt>
                <c:pt idx="41">
                  <c:v>388.67544731281583</c:v>
                </c:pt>
                <c:pt idx="42">
                  <c:v>405.54151171840289</c:v>
                </c:pt>
                <c:pt idx="43">
                  <c:v>422.39241886914829</c:v>
                </c:pt>
                <c:pt idx="44">
                  <c:v>439.22885835221359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2519696"/>
        <c:axId val="662521872"/>
      </c:scatterChart>
      <c:valAx>
        <c:axId val="66251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62521872"/>
        <c:crosses val="autoZero"/>
        <c:crossBetween val="midCat"/>
      </c:valAx>
      <c:valAx>
        <c:axId val="66252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6251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2.0803069082284602</c:v>
                </c:pt>
                <c:pt idx="2">
                  <c:v>2.7908466007605846</c:v>
                </c:pt>
                <c:pt idx="3">
                  <c:v>3.745090324532018</c:v>
                </c:pt>
                <c:pt idx="4">
                  <c:v>5.0269529215261413</c:v>
                </c:pt>
                <c:pt idx="5">
                  <c:v>6.7493493166264118</c:v>
                </c:pt>
                <c:pt idx="6">
                  <c:v>9.0642504917295152</c:v>
                </c:pt>
                <c:pt idx="7">
                  <c:v>12.176237248342895</c:v>
                </c:pt>
                <c:pt idx="8">
                  <c:v>16.360771842506747</c:v>
                </c:pt>
                <c:pt idx="9">
                  <c:v>21.988834252444033</c:v>
                </c:pt>
                <c:pt idx="10">
                  <c:v>29.560146074891151</c:v>
                </c:pt>
                <c:pt idx="11">
                  <c:v>39.747983373188866</c:v>
                </c:pt>
                <c:pt idx="12">
                  <c:v>53.459631237926175</c:v>
                </c:pt>
                <c:pt idx="13">
                  <c:v>73.140819321214281</c:v>
                </c:pt>
                <c:pt idx="14">
                  <c:v>95.186564611203053</c:v>
                </c:pt>
                <c:pt idx="15">
                  <c:v>119.46034912255978</c:v>
                </c:pt>
                <c:pt idx="16">
                  <c:v>103.79650823401829</c:v>
                </c:pt>
                <c:pt idx="17">
                  <c:v>118.67513818911159</c:v>
                </c:pt>
                <c:pt idx="18">
                  <c:v>136.92208082463543</c:v>
                </c:pt>
                <c:pt idx="19">
                  <c:v>155.11047140437867</c:v>
                </c:pt>
                <c:pt idx="20">
                  <c:v>173.24815008510896</c:v>
                </c:pt>
                <c:pt idx="21">
                  <c:v>148.95241602484973</c:v>
                </c:pt>
                <c:pt idx="22">
                  <c:v>168.96686707539345</c:v>
                </c:pt>
                <c:pt idx="23">
                  <c:v>191.51370378649062</c:v>
                </c:pt>
                <c:pt idx="24">
                  <c:v>213.99871582167268</c:v>
                </c:pt>
                <c:pt idx="25">
                  <c:v>238.36063977122194</c:v>
                </c:pt>
                <c:pt idx="26">
                  <c:v>262.66582457768635</c:v>
                </c:pt>
                <c:pt idx="27">
                  <c:v>286.92025704588701</c:v>
                </c:pt>
                <c:pt idx="28">
                  <c:v>236.55808044428508</c:v>
                </c:pt>
                <c:pt idx="29">
                  <c:v>257.07646791869132</c:v>
                </c:pt>
                <c:pt idx="30">
                  <c:v>277.55782610520754</c:v>
                </c:pt>
                <c:pt idx="31">
                  <c:v>298.26146166084101</c:v>
                </c:pt>
                <c:pt idx="32">
                  <c:v>318.93307910873148</c:v>
                </c:pt>
                <c:pt idx="33">
                  <c:v>254.95565122562834</c:v>
                </c:pt>
                <c:pt idx="34">
                  <c:v>271.39785662959355</c:v>
                </c:pt>
                <c:pt idx="35">
                  <c:v>288.00995410291614</c:v>
                </c:pt>
                <c:pt idx="36">
                  <c:v>304.60063094888801</c:v>
                </c:pt>
                <c:pt idx="37">
                  <c:v>321.42698324278075</c:v>
                </c:pt>
                <c:pt idx="38">
                  <c:v>338.23385687217092</c:v>
                </c:pt>
                <c:pt idx="39">
                  <c:v>355.02235577087754</c:v>
                </c:pt>
                <c:pt idx="40">
                  <c:v>371.79347095596705</c:v>
                </c:pt>
                <c:pt idx="41">
                  <c:v>388.67544731281583</c:v>
                </c:pt>
                <c:pt idx="42">
                  <c:v>405.54151171840289</c:v>
                </c:pt>
                <c:pt idx="43">
                  <c:v>422.39241886914829</c:v>
                </c:pt>
                <c:pt idx="44">
                  <c:v>439.22885835221359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2525136"/>
        <c:axId val="662522960"/>
      </c:scatterChart>
      <c:valAx>
        <c:axId val="6625251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62522960"/>
        <c:crosses val="autoZero"/>
        <c:crossBetween val="midCat"/>
      </c:valAx>
      <c:valAx>
        <c:axId val="662522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62525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2.5701199751485899</c:v>
                </c:pt>
                <c:pt idx="2">
                  <c:v>3.1761950482551646</c:v>
                </c:pt>
                <c:pt idx="3">
                  <c:v>3.9257411783807914</c:v>
                </c:pt>
                <c:pt idx="4">
                  <c:v>4.8528436316164436</c:v>
                </c:pt>
                <c:pt idx="5">
                  <c:v>5.9997127748970547</c:v>
                </c:pt>
                <c:pt idx="6">
                  <c:v>7.4186269452783291</c:v>
                </c:pt>
                <c:pt idx="7">
                  <c:v>9.1743412316125035</c:v>
                </c:pt>
                <c:pt idx="8">
                  <c:v>11.347074191266621</c:v>
                </c:pt>
                <c:pt idx="9">
                  <c:v>14.036211523459508</c:v>
                </c:pt>
                <c:pt idx="10">
                  <c:v>17.364899240955943</c:v>
                </c:pt>
                <c:pt idx="11">
                  <c:v>32.173716703656488</c:v>
                </c:pt>
                <c:pt idx="12">
                  <c:v>46.787802861560664</c:v>
                </c:pt>
                <c:pt idx="13">
                  <c:v>61.278573178119878</c:v>
                </c:pt>
                <c:pt idx="14">
                  <c:v>75.679710498558791</c:v>
                </c:pt>
                <c:pt idx="15">
                  <c:v>90.010799689565431</c:v>
                </c:pt>
                <c:pt idx="16">
                  <c:v>107.84522593798255</c:v>
                </c:pt>
                <c:pt idx="17">
                  <c:v>125.60688557852342</c:v>
                </c:pt>
                <c:pt idx="18">
                  <c:v>143.30754256422119</c:v>
                </c:pt>
                <c:pt idx="19">
                  <c:v>160.95580359158967</c:v>
                </c:pt>
                <c:pt idx="20">
                  <c:v>178.55822760704453</c:v>
                </c:pt>
                <c:pt idx="21">
                  <c:v>123.12415447878497</c:v>
                </c:pt>
                <c:pt idx="22">
                  <c:v>138.35696538228595</c:v>
                </c:pt>
                <c:pt idx="23">
                  <c:v>153.54945750312899</c:v>
                </c:pt>
                <c:pt idx="24">
                  <c:v>168.70618534384241</c:v>
                </c:pt>
                <c:pt idx="25">
                  <c:v>183.83081652024464</c:v>
                </c:pt>
                <c:pt idx="26">
                  <c:v>199.27709915885649</c:v>
                </c:pt>
                <c:pt idx="27">
                  <c:v>214.69562221588228</c:v>
                </c:pt>
                <c:pt idx="28">
                  <c:v>230.08866047092724</c:v>
                </c:pt>
                <c:pt idx="29">
                  <c:v>245.45815924548194</c:v>
                </c:pt>
                <c:pt idx="30">
                  <c:v>260.80580020638394</c:v>
                </c:pt>
                <c:pt idx="31">
                  <c:v>276.13305084516719</c:v>
                </c:pt>
                <c:pt idx="32">
                  <c:v>291.44120238295483</c:v>
                </c:pt>
                <c:pt idx="33">
                  <c:v>306.7313992866795</c:v>
                </c:pt>
                <c:pt idx="34">
                  <c:v>322.00466258727732</c:v>
                </c:pt>
                <c:pt idx="35">
                  <c:v>337.26190853958752</c:v>
                </c:pt>
                <c:pt idx="36">
                  <c:v>218.19620322489709</c:v>
                </c:pt>
                <c:pt idx="37">
                  <c:v>231.48683334645435</c:v>
                </c:pt>
                <c:pt idx="38">
                  <c:v>244.76003171038471</c:v>
                </c:pt>
                <c:pt idx="39">
                  <c:v>258.01687712472409</c:v>
                </c:pt>
                <c:pt idx="40">
                  <c:v>271.25832842500023</c:v>
                </c:pt>
                <c:pt idx="41">
                  <c:v>284.48524314677451</c:v>
                </c:pt>
                <c:pt idx="42">
                  <c:v>297.69839254073707</c:v>
                </c:pt>
                <c:pt idx="43">
                  <c:v>310.89847378061245</c:v>
                </c:pt>
                <c:pt idx="44">
                  <c:v>324.0861199880448</c:v>
                </c:pt>
                <c:pt idx="45">
                  <c:v>337.26190853958735</c:v>
                </c:pt>
                <c:pt idx="46">
                  <c:v>350.42636800716019</c:v>
                </c:pt>
                <c:pt idx="47">
                  <c:v>363.5799840007133</c:v>
                </c:pt>
                <c:pt idx="48">
                  <c:v>376.72320412097571</c:v>
                </c:pt>
                <c:pt idx="49">
                  <c:v>389.85644218478711</c:v>
                </c:pt>
                <c:pt idx="50">
                  <c:v>402.98008185125178</c:v>
                </c:pt>
                <c:pt idx="51">
                  <c:v>416.09447975082259</c:v>
                </c:pt>
                <c:pt idx="52">
                  <c:v>429.19996819929173</c:v>
                </c:pt>
                <c:pt idx="53">
                  <c:v>442.2968575630004</c:v>
                </c:pt>
                <c:pt idx="54">
                  <c:v>455.38543832930395</c:v>
                </c:pt>
                <c:pt idx="55">
                  <c:v>468.46598292660588</c:v>
                </c:pt>
                <c:pt idx="56">
                  <c:v>481.19482482996779</c:v>
                </c:pt>
                <c:pt idx="57">
                  <c:v>493.91651328433619</c:v>
                </c:pt>
                <c:pt idx="58">
                  <c:v>506.63125847667106</c:v>
                </c:pt>
                <c:pt idx="59">
                  <c:v>519.33925918522516</c:v>
                </c:pt>
                <c:pt idx="60">
                  <c:v>532.04070366867973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2521328"/>
        <c:axId val="662522416"/>
      </c:scatterChart>
      <c:valAx>
        <c:axId val="6625213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62522416"/>
        <c:crosses val="autoZero"/>
        <c:crossBetween val="midCat"/>
      </c:valAx>
      <c:valAx>
        <c:axId val="66252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625213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3.0562900081048716</c:v>
                </c:pt>
                <c:pt idx="2">
                  <c:v>3.8516445674544162</c:v>
                </c:pt>
                <c:pt idx="3">
                  <c:v>4.8547804100799219</c:v>
                </c:pt>
                <c:pt idx="4">
                  <c:v>6.1201763242133866</c:v>
                </c:pt>
                <c:pt idx="5">
                  <c:v>7.7166433859878012</c:v>
                </c:pt>
                <c:pt idx="6">
                  <c:v>9.7311072999956902</c:v>
                </c:pt>
                <c:pt idx="7">
                  <c:v>12.273391783795576</c:v>
                </c:pt>
                <c:pt idx="8">
                  <c:v>15.4822686316353</c:v>
                </c:pt>
                <c:pt idx="9">
                  <c:v>19.53311074960536</c:v>
                </c:pt>
                <c:pt idx="10">
                  <c:v>24.647573946215513</c:v>
                </c:pt>
                <c:pt idx="11">
                  <c:v>31.105846619534645</c:v>
                </c:pt>
                <c:pt idx="12">
                  <c:v>39.262150081012997</c:v>
                </c:pt>
                <c:pt idx="13">
                  <c:v>49.564354179988463</c:v>
                </c:pt>
                <c:pt idx="14">
                  <c:v>62.578803388802356</c:v>
                </c:pt>
                <c:pt idx="15">
                  <c:v>79.021740567855332</c:v>
                </c:pt>
                <c:pt idx="16">
                  <c:v>92.212001931830386</c:v>
                </c:pt>
                <c:pt idx="17">
                  <c:v>105.35503866631923</c:v>
                </c:pt>
                <c:pt idx="18">
                  <c:v>118.45758522816597</c:v>
                </c:pt>
                <c:pt idx="19">
                  <c:v>131.52475843384721</c:v>
                </c:pt>
                <c:pt idx="20">
                  <c:v>144.56057213518989</c:v>
                </c:pt>
                <c:pt idx="21">
                  <c:v>123.52840635605497</c:v>
                </c:pt>
                <c:pt idx="22">
                  <c:v>137.11517211565118</c:v>
                </c:pt>
                <c:pt idx="23">
                  <c:v>150.66954916498568</c:v>
                </c:pt>
                <c:pt idx="24">
                  <c:v>164.19486426810479</c:v>
                </c:pt>
                <c:pt idx="25">
                  <c:v>177.69385032373035</c:v>
                </c:pt>
                <c:pt idx="26">
                  <c:v>191.16879046159409</c:v>
                </c:pt>
                <c:pt idx="27">
                  <c:v>204.62161925684799</c:v>
                </c:pt>
                <c:pt idx="28">
                  <c:v>218.05399586508807</c:v>
                </c:pt>
                <c:pt idx="29">
                  <c:v>231.46735815462407</c:v>
                </c:pt>
                <c:pt idx="30">
                  <c:v>244.86296361177938</c:v>
                </c:pt>
                <c:pt idx="31">
                  <c:v>205.41231020128509</c:v>
                </c:pt>
                <c:pt idx="32">
                  <c:v>218.58035954454417</c:v>
                </c:pt>
                <c:pt idx="33">
                  <c:v>231.73018391404943</c:v>
                </c:pt>
                <c:pt idx="34">
                  <c:v>244.86296361177938</c:v>
                </c:pt>
                <c:pt idx="35">
                  <c:v>257.97974191077316</c:v>
                </c:pt>
                <c:pt idx="36">
                  <c:v>270.03384538640671</c:v>
                </c:pt>
                <c:pt idx="37">
                  <c:v>282.07584211332164</c:v>
                </c:pt>
                <c:pt idx="38">
                  <c:v>294.10632197650165</c:v>
                </c:pt>
                <c:pt idx="39">
                  <c:v>306.12582263909667</c:v>
                </c:pt>
                <c:pt idx="40">
                  <c:v>318.13483607832239</c:v>
                </c:pt>
                <c:pt idx="41">
                  <c:v>271.08144727175642</c:v>
                </c:pt>
                <c:pt idx="42">
                  <c:v>282.86078360632649</c:v>
                </c:pt>
                <c:pt idx="43">
                  <c:v>294.62913355147111</c:v>
                </c:pt>
                <c:pt idx="44">
                  <c:v>306.3869979576524</c:v>
                </c:pt>
                <c:pt idx="45">
                  <c:v>318.13483607832245</c:v>
                </c:pt>
                <c:pt idx="46">
                  <c:v>329.35156958294141</c:v>
                </c:pt>
                <c:pt idx="47">
                  <c:v>340.55987511500985</c:v>
                </c:pt>
                <c:pt idx="48">
                  <c:v>351.76006924925832</c:v>
                </c:pt>
                <c:pt idx="49">
                  <c:v>362.95244674780406</c:v>
                </c:pt>
                <c:pt idx="50">
                  <c:v>374.13728270377402</c:v>
                </c:pt>
                <c:pt idx="51">
                  <c:v>322.30950996229876</c:v>
                </c:pt>
                <c:pt idx="52">
                  <c:v>333.00169481114159</c:v>
                </c:pt>
                <c:pt idx="53">
                  <c:v>343.68631362725654</c:v>
                </c:pt>
                <c:pt idx="54">
                  <c:v>354.36363488362491</c:v>
                </c:pt>
                <c:pt idx="55">
                  <c:v>365.03390954723886</c:v>
                </c:pt>
                <c:pt idx="56">
                  <c:v>374.91734538946031</c:v>
                </c:pt>
                <c:pt idx="57">
                  <c:v>384.79510627137751</c:v>
                </c:pt>
                <c:pt idx="58">
                  <c:v>394.66735847110516</c:v>
                </c:pt>
                <c:pt idx="59">
                  <c:v>404.5342592660088</c:v>
                </c:pt>
                <c:pt idx="60">
                  <c:v>414.39595763230813</c:v>
                </c:pt>
                <c:pt idx="61">
                  <c:v>363.99321066425381</c:v>
                </c:pt>
                <c:pt idx="62">
                  <c:v>373.35718456856483</c:v>
                </c:pt>
                <c:pt idx="63">
                  <c:v>382.71604088568387</c:v>
                </c:pt>
                <c:pt idx="64">
                  <c:v>392.0699224681141</c:v>
                </c:pt>
                <c:pt idx="65">
                  <c:v>401.4189647926537</c:v>
                </c:pt>
                <c:pt idx="66">
                  <c:v>410.2442884418852</c:v>
                </c:pt>
                <c:pt idx="67">
                  <c:v>419.0655135735251</c:v>
                </c:pt>
                <c:pt idx="68">
                  <c:v>427.8827386661892</c:v>
                </c:pt>
                <c:pt idx="69">
                  <c:v>436.69605780694877</c:v>
                </c:pt>
                <c:pt idx="70">
                  <c:v>445.50556097376784</c:v>
                </c:pt>
                <c:pt idx="71">
                  <c:v>395.70622896203434</c:v>
                </c:pt>
                <c:pt idx="72">
                  <c:v>404.27467126938308</c:v>
                </c:pt>
                <c:pt idx="73">
                  <c:v>412.83918737669751</c:v>
                </c:pt>
                <c:pt idx="74">
                  <c:v>421.39987026288964</c:v>
                </c:pt>
                <c:pt idx="75">
                  <c:v>429.95680881908919</c:v>
                </c:pt>
                <c:pt idx="76">
                  <c:v>437.99181019525372</c:v>
                </c:pt>
                <c:pt idx="77">
                  <c:v>446.02365006516737</c:v>
                </c:pt>
                <c:pt idx="78">
                  <c:v>454.05239341686462</c:v>
                </c:pt>
                <c:pt idx="79">
                  <c:v>462.0781027515323</c:v>
                </c:pt>
                <c:pt idx="80">
                  <c:v>470.1008382211549</c:v>
                </c:pt>
                <c:pt idx="81">
                  <c:v>422.17792718748893</c:v>
                </c:pt>
                <c:pt idx="82">
                  <c:v>429.95680881908919</c:v>
                </c:pt>
                <c:pt idx="83">
                  <c:v>437.73266630566582</c:v>
                </c:pt>
                <c:pt idx="84">
                  <c:v>445.50556097376779</c:v>
                </c:pt>
                <c:pt idx="85">
                  <c:v>453.27555183427711</c:v>
                </c:pt>
                <c:pt idx="86">
                  <c:v>460.52497358173349</c:v>
                </c:pt>
                <c:pt idx="87">
                  <c:v>467.77195987462483</c:v>
                </c:pt>
                <c:pt idx="88">
                  <c:v>475.01655378575668</c:v>
                </c:pt>
                <c:pt idx="89">
                  <c:v>482.25879696627726</c:v>
                </c:pt>
                <c:pt idx="90">
                  <c:v>489.49872971371423</c:v>
                </c:pt>
                <c:pt idx="91">
                  <c:v>444.98745897736353</c:v>
                </c:pt>
                <c:pt idx="92">
                  <c:v>452.23971876405511</c:v>
                </c:pt>
                <c:pt idx="93">
                  <c:v>459.489492035924</c:v>
                </c:pt>
                <c:pt idx="94">
                  <c:v>466.73682357974229</c:v>
                </c:pt>
                <c:pt idx="95">
                  <c:v>473.98175667722558</c:v>
                </c:pt>
                <c:pt idx="96">
                  <c:v>480.70708356712709</c:v>
                </c:pt>
                <c:pt idx="97">
                  <c:v>487.4304109605867</c:v>
                </c:pt>
                <c:pt idx="98">
                  <c:v>494.15177034208205</c:v>
                </c:pt>
                <c:pt idx="99">
                  <c:v>500.87119226930128</c:v>
                </c:pt>
                <c:pt idx="100">
                  <c:v>507.58870641276644</c:v>
                </c:pt>
                <c:pt idx="101">
                  <c:v>465.96043924488595</c:v>
                </c:pt>
                <c:pt idx="102">
                  <c:v>472.17074594472138</c:v>
                </c:pt>
                <c:pt idx="103">
                  <c:v>478.37931369911365</c:v>
                </c:pt>
                <c:pt idx="104">
                  <c:v>484.58616827417546</c:v>
                </c:pt>
                <c:pt idx="105">
                  <c:v>490.79133472172845</c:v>
                </c:pt>
                <c:pt idx="106">
                  <c:v>496.99483740808415</c:v>
                </c:pt>
                <c:pt idx="107">
                  <c:v>503.19670004131422</c:v>
                </c:pt>
                <c:pt idx="108">
                  <c:v>509.39694569710491</c:v>
                </c:pt>
                <c:pt idx="109">
                  <c:v>515.59559684328622</c:v>
                </c:pt>
                <c:pt idx="110">
                  <c:v>521.79267536312125</c:v>
                </c:pt>
                <c:pt idx="111">
                  <c:v>527.60102717911309</c:v>
                </c:pt>
                <c:pt idx="112">
                  <c:v>533.40803268292484</c:v>
                </c:pt>
                <c:pt idx="113">
                  <c:v>539.21370860599507</c:v>
                </c:pt>
                <c:pt idx="114">
                  <c:v>545.0180712899114</c:v>
                </c:pt>
                <c:pt idx="115">
                  <c:v>550.82113669964031</c:v>
                </c:pt>
                <c:pt idx="116">
                  <c:v>556.6229204361706</c:v>
                </c:pt>
                <c:pt idx="117">
                  <c:v>562.42343774860331</c:v>
                </c:pt>
                <c:pt idx="118">
                  <c:v>568.22270354571481</c:v>
                </c:pt>
                <c:pt idx="119">
                  <c:v>574.02073240702464</c:v>
                </c:pt>
                <c:pt idx="120">
                  <c:v>579.81753859339335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2523504"/>
        <c:axId val="662524048"/>
      </c:scatterChart>
      <c:valAx>
        <c:axId val="66252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62524048"/>
        <c:crosses val="autoZero"/>
        <c:crossBetween val="midCat"/>
      </c:valAx>
      <c:valAx>
        <c:axId val="662524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6252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3.7940715050318166</c:v>
                </c:pt>
                <c:pt idx="2">
                  <c:v>4.9377274035395011</c:v>
                </c:pt>
                <c:pt idx="3">
                  <c:v>6.4274775055040303</c:v>
                </c:pt>
                <c:pt idx="4">
                  <c:v>8.3684435076636809</c:v>
                </c:pt>
                <c:pt idx="5">
                  <c:v>10.897785858680232</c:v>
                </c:pt>
                <c:pt idx="6">
                  <c:v>14.194499309147433</c:v>
                </c:pt>
                <c:pt idx="7">
                  <c:v>18.492212032390984</c:v>
                </c:pt>
                <c:pt idx="8">
                  <c:v>24.095911719327074</c:v>
                </c:pt>
                <c:pt idx="9">
                  <c:v>31.403806616304621</c:v>
                </c:pt>
                <c:pt idx="10">
                  <c:v>40.935901924486565</c:v>
                </c:pt>
                <c:pt idx="11">
                  <c:v>45.995824937849385</c:v>
                </c:pt>
                <c:pt idx="12">
                  <c:v>51.040864550780604</c:v>
                </c:pt>
                <c:pt idx="13">
                  <c:v>56.072704833394162</c:v>
                </c:pt>
                <c:pt idx="14">
                  <c:v>61.092701422671723</c:v>
                </c:pt>
                <c:pt idx="15">
                  <c:v>66.101967977769291</c:v>
                </c:pt>
                <c:pt idx="16">
                  <c:v>71.101434889641112</c:v>
                </c:pt>
                <c:pt idx="17">
                  <c:v>76.091890520314053</c:v>
                </c:pt>
                <c:pt idx="18">
                  <c:v>81.074011002076816</c:v>
                </c:pt>
                <c:pt idx="19">
                  <c:v>86.048382294364117</c:v>
                </c:pt>
                <c:pt idx="20">
                  <c:v>91.01551685143825</c:v>
                </c:pt>
                <c:pt idx="21">
                  <c:v>96.059293424495877</c:v>
                </c:pt>
                <c:pt idx="22">
                  <c:v>101.09647592120905</c:v>
                </c:pt>
                <c:pt idx="23">
                  <c:v>106.1274401371661</c:v>
                </c:pt>
                <c:pt idx="24">
                  <c:v>111.15252322541839</c:v>
                </c:pt>
                <c:pt idx="25">
                  <c:v>116.17202927831566</c:v>
                </c:pt>
                <c:pt idx="26">
                  <c:v>121.18623389119783</c:v>
                </c:pt>
                <c:pt idx="27">
                  <c:v>126.19538792903876</c:v>
                </c:pt>
                <c:pt idx="28">
                  <c:v>131.19972066206506</c:v>
                </c:pt>
                <c:pt idx="29">
                  <c:v>136.19944239663721</c:v>
                </c:pt>
                <c:pt idx="30">
                  <c:v>141.19474669860062</c:v>
                </c:pt>
                <c:pt idx="31">
                  <c:v>117.41844889935521</c:v>
                </c:pt>
                <c:pt idx="32">
                  <c:v>122.27181352878561</c:v>
                </c:pt>
                <c:pt idx="33">
                  <c:v>127.12049242384775</c:v>
                </c:pt>
                <c:pt idx="34">
                  <c:v>131.96468999042506</c:v>
                </c:pt>
                <c:pt idx="35">
                  <c:v>136.80459436256049</c:v>
                </c:pt>
                <c:pt idx="36">
                  <c:v>141.64037924106523</c:v>
                </c:pt>
                <c:pt idx="37">
                  <c:v>146.47220546726382</c:v>
                </c:pt>
                <c:pt idx="38">
                  <c:v>151.3002223777049</c:v>
                </c:pt>
                <c:pt idx="39">
                  <c:v>156.12456897649591</c:v>
                </c:pt>
                <c:pt idx="40">
                  <c:v>160.94537495481583</c:v>
                </c:pt>
                <c:pt idx="41">
                  <c:v>148.09833122562196</c:v>
                </c:pt>
                <c:pt idx="42">
                  <c:v>152.79144700218751</c:v>
                </c:pt>
                <c:pt idx="43">
                  <c:v>157.48113180902939</c:v>
                </c:pt>
                <c:pt idx="44">
                  <c:v>162.16750248508325</c:v>
                </c:pt>
                <c:pt idx="45">
                  <c:v>166.8506685486885</c:v>
                </c:pt>
                <c:pt idx="46">
                  <c:v>171.53073285365295</c:v>
                </c:pt>
                <c:pt idx="47">
                  <c:v>176.20779216981666</c:v>
                </c:pt>
                <c:pt idx="48">
                  <c:v>180.88193769862167</c:v>
                </c:pt>
                <c:pt idx="49">
                  <c:v>185.55325553249369</c:v>
                </c:pt>
                <c:pt idx="50">
                  <c:v>190.22182706545016</c:v>
                </c:pt>
                <c:pt idx="51">
                  <c:v>175.30550445846984</c:v>
                </c:pt>
                <c:pt idx="52">
                  <c:v>179.7316123866359</c:v>
                </c:pt>
                <c:pt idx="53">
                  <c:v>184.15516689410637</c:v>
                </c:pt>
                <c:pt idx="54">
                  <c:v>188.57623811572486</c:v>
                </c:pt>
                <c:pt idx="55">
                  <c:v>192.99489262176746</c:v>
                </c:pt>
                <c:pt idx="56">
                  <c:v>197.41119367847855</c:v>
                </c:pt>
                <c:pt idx="57">
                  <c:v>201.82520148402705</c:v>
                </c:pt>
                <c:pt idx="58">
                  <c:v>206.23697338270208</c:v>
                </c:pt>
                <c:pt idx="59">
                  <c:v>210.64656405978792</c:v>
                </c:pt>
                <c:pt idx="60">
                  <c:v>215.05402571923696</c:v>
                </c:pt>
                <c:pt idx="61">
                  <c:v>198.6939177176433</c:v>
                </c:pt>
                <c:pt idx="62">
                  <c:v>202.86456278492415</c:v>
                </c:pt>
                <c:pt idx="63">
                  <c:v>207.03322289239085</c:v>
                </c:pt>
                <c:pt idx="64">
                  <c:v>211.1999437388989</c:v>
                </c:pt>
                <c:pt idx="65">
                  <c:v>215.36476906896596</c:v>
                </c:pt>
                <c:pt idx="66">
                  <c:v>219.52774079341077</c:v>
                </c:pt>
                <c:pt idx="67">
                  <c:v>223.68889910034579</c:v>
                </c:pt>
                <c:pt idx="68">
                  <c:v>227.8482825574653</c:v>
                </c:pt>
                <c:pt idx="69">
                  <c:v>232.00592820645954</c:v>
                </c:pt>
                <c:pt idx="70">
                  <c:v>236.16187165029689</c:v>
                </c:pt>
                <c:pt idx="71">
                  <c:v>218.97692512402543</c:v>
                </c:pt>
                <c:pt idx="72">
                  <c:v>222.89820975716569</c:v>
                </c:pt>
                <c:pt idx="73">
                  <c:v>226.81791209882192</c:v>
                </c:pt>
                <c:pt idx="74">
                  <c:v>230.736063412498</c:v>
                </c:pt>
                <c:pt idx="75">
                  <c:v>234.65269381098105</c:v>
                </c:pt>
                <c:pt idx="76">
                  <c:v>238.56783231764553</c:v>
                </c:pt>
                <c:pt idx="77">
                  <c:v>242.48150692351541</c:v>
                </c:pt>
                <c:pt idx="78">
                  <c:v>246.39374464044309</c:v>
                </c:pt>
                <c:pt idx="79">
                  <c:v>250.30457155072909</c:v>
                </c:pt>
                <c:pt idx="80">
                  <c:v>254.21401285347324</c:v>
                </c:pt>
                <c:pt idx="81">
                  <c:v>235.31737948255306</c:v>
                </c:pt>
                <c:pt idx="82">
                  <c:v>239.14443638206026</c:v>
                </c:pt>
                <c:pt idx="83">
                  <c:v>242.97009820492926</c:v>
                </c:pt>
                <c:pt idx="84">
                  <c:v>246.79439006404766</c:v>
                </c:pt>
                <c:pt idx="85">
                  <c:v>250.61733622888337</c:v>
                </c:pt>
                <c:pt idx="86">
                  <c:v>254.43896016654585</c:v>
                </c:pt>
                <c:pt idx="87">
                  <c:v>258.25928458024669</c:v>
                </c:pt>
                <c:pt idx="88">
                  <c:v>262.07833144536136</c:v>
                </c:pt>
                <c:pt idx="89">
                  <c:v>265.89612204327688</c:v>
                </c:pt>
                <c:pt idx="90">
                  <c:v>269.7126769931898</c:v>
                </c:pt>
                <c:pt idx="91">
                  <c:v>250.6328193987205</c:v>
                </c:pt>
                <c:pt idx="92">
                  <c:v>254.24496917314158</c:v>
                </c:pt>
                <c:pt idx="93">
                  <c:v>257.85595699105755</c:v>
                </c:pt>
                <c:pt idx="94">
                  <c:v>261.46580145486388</c:v>
                </c:pt>
                <c:pt idx="95">
                  <c:v>265.07452061034036</c:v>
                </c:pt>
                <c:pt idx="96">
                  <c:v>268.68213197083338</c:v>
                </c:pt>
                <c:pt idx="97">
                  <c:v>272.2886525400715</c:v>
                </c:pt>
                <c:pt idx="98">
                  <c:v>275.89409883370479</c:v>
                </c:pt>
                <c:pt idx="99">
                  <c:v>279.49848689966035</c:v>
                </c:pt>
                <c:pt idx="100">
                  <c:v>283.10183233738871</c:v>
                </c:pt>
                <c:pt idx="101">
                  <c:v>263.96109196677475</c:v>
                </c:pt>
                <c:pt idx="102">
                  <c:v>267.38351841754837</c:v>
                </c:pt>
                <c:pt idx="103">
                  <c:v>270.80495793510266</c:v>
                </c:pt>
                <c:pt idx="104">
                  <c:v>274.2254247741065</c:v>
                </c:pt>
                <c:pt idx="105">
                  <c:v>277.64493280389814</c:v>
                </c:pt>
                <c:pt idx="106">
                  <c:v>281.06349552363093</c:v>
                </c:pt>
                <c:pt idx="107">
                  <c:v>284.48112607664098</c:v>
                </c:pt>
                <c:pt idx="108">
                  <c:v>287.89783726408837</c:v>
                </c:pt>
                <c:pt idx="109">
                  <c:v>291.31364155791516</c:v>
                </c:pt>
                <c:pt idx="110">
                  <c:v>294.72855111316346</c:v>
                </c:pt>
                <c:pt idx="111">
                  <c:v>275.64278221892977</c:v>
                </c:pt>
                <c:pt idx="112">
                  <c:v>278.89302299078042</c:v>
                </c:pt>
                <c:pt idx="113">
                  <c:v>282.14241391291085</c:v>
                </c:pt>
                <c:pt idx="114">
                  <c:v>285.39096617407273</c:v>
                </c:pt>
                <c:pt idx="115">
                  <c:v>288.63869068701268</c:v>
                </c:pt>
                <c:pt idx="116">
                  <c:v>291.88559809838341</c:v>
                </c:pt>
                <c:pt idx="117">
                  <c:v>295.13169879818764</c:v>
                </c:pt>
                <c:pt idx="118">
                  <c:v>298.37700292878753</c:v>
                </c:pt>
                <c:pt idx="119">
                  <c:v>301.6215203934978</c:v>
                </c:pt>
                <c:pt idx="120">
                  <c:v>304.86526086479199</c:v>
                </c:pt>
                <c:pt idx="121">
                  <c:v>286.03934198193417</c:v>
                </c:pt>
                <c:pt idx="122">
                  <c:v>289.1202225994499</c:v>
                </c:pt>
                <c:pt idx="123">
                  <c:v>292.20036925031758</c:v>
                </c:pt>
                <c:pt idx="124">
                  <c:v>295.2797907788534</c:v>
                </c:pt>
                <c:pt idx="125">
                  <c:v>298.35849582949118</c:v>
                </c:pt>
                <c:pt idx="126">
                  <c:v>301.43649285336335</c:v>
                </c:pt>
                <c:pt idx="127">
                  <c:v>304.51379011459977</c:v>
                </c:pt>
                <c:pt idx="128">
                  <c:v>307.59039569635775</c:v>
                </c:pt>
                <c:pt idx="129">
                  <c:v>310.66631750659769</c:v>
                </c:pt>
                <c:pt idx="130">
                  <c:v>313.74156328361835</c:v>
                </c:pt>
                <c:pt idx="131">
                  <c:v>295.19237557407541</c:v>
                </c:pt>
                <c:pt idx="132">
                  <c:v>298.12407035611278</c:v>
                </c:pt>
                <c:pt idx="133">
                  <c:v>301.0551225538257</c:v>
                </c:pt>
                <c:pt idx="134">
                  <c:v>303.98553931871487</c:v>
                </c:pt>
                <c:pt idx="135">
                  <c:v>306.91532765288451</c:v>
                </c:pt>
                <c:pt idx="136">
                  <c:v>309.84449441359243</c:v>
                </c:pt>
                <c:pt idx="137">
                  <c:v>312.77304631762058</c:v>
                </c:pt>
                <c:pt idx="138">
                  <c:v>315.70098994547101</c:v>
                </c:pt>
                <c:pt idx="139">
                  <c:v>318.62833174539895</c:v>
                </c:pt>
                <c:pt idx="140">
                  <c:v>321.55507803729012</c:v>
                </c:pt>
                <c:pt idx="141">
                  <c:v>303.29487711261339</c:v>
                </c:pt>
                <c:pt idx="142">
                  <c:v>306.09225482910631</c:v>
                </c:pt>
                <c:pt idx="143">
                  <c:v>308.88906420647976</c:v>
                </c:pt>
                <c:pt idx="144">
                  <c:v>311.68531112708018</c:v>
                </c:pt>
                <c:pt idx="145">
                  <c:v>314.4810013588949</c:v>
                </c:pt>
                <c:pt idx="146">
                  <c:v>317.2761405587965</c:v>
                </c:pt>
                <c:pt idx="147">
                  <c:v>320.07073427566644</c:v>
                </c:pt>
                <c:pt idx="148">
                  <c:v>322.86478795340321</c:v>
                </c:pt>
                <c:pt idx="149">
                  <c:v>325.65830693382185</c:v>
                </c:pt>
                <c:pt idx="150">
                  <c:v>328.45129645944729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2525680"/>
        <c:axId val="662518608"/>
      </c:scatterChart>
      <c:valAx>
        <c:axId val="6625256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62518608"/>
        <c:crosses val="autoZero"/>
        <c:crossBetween val="midCat"/>
      </c:valAx>
      <c:valAx>
        <c:axId val="66251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62525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3.0416016594226112</c:v>
                </c:pt>
                <c:pt idx="2">
                  <c:v>3.6420868235535733</c:v>
                </c:pt>
                <c:pt idx="3">
                  <c:v>4.3615605900495167</c:v>
                </c:pt>
                <c:pt idx="4">
                  <c:v>5.2236829709616872</c:v>
                </c:pt>
                <c:pt idx="5">
                  <c:v>6.2568338533622061</c:v>
                </c:pt>
                <c:pt idx="6">
                  <c:v>7.4950573855780291</c:v>
                </c:pt>
                <c:pt idx="7">
                  <c:v>8.9791958464427726</c:v>
                </c:pt>
                <c:pt idx="8">
                  <c:v>10.758251112240055</c:v>
                </c:pt>
                <c:pt idx="9">
                  <c:v>12.891019520561452</c:v>
                </c:pt>
                <c:pt idx="10">
                  <c:v>15.448055167439469</c:v>
                </c:pt>
                <c:pt idx="11">
                  <c:v>18.514027778122582</c:v>
                </c:pt>
                <c:pt idx="12">
                  <c:v>22.190554640742317</c:v>
                </c:pt>
                <c:pt idx="13">
                  <c:v>26.599602140558645</c:v>
                </c:pt>
                <c:pt idx="14">
                  <c:v>31.887571727377306</c:v>
                </c:pt>
                <c:pt idx="15">
                  <c:v>38.23020834801293</c:v>
                </c:pt>
                <c:pt idx="16">
                  <c:v>45.838497270763497</c:v>
                </c:pt>
                <c:pt idx="17">
                  <c:v>54.965748771884755</c:v>
                </c:pt>
                <c:pt idx="18">
                  <c:v>65.916110490475049</c:v>
                </c:pt>
                <c:pt idx="19">
                  <c:v>79.054795766135484</c:v>
                </c:pt>
                <c:pt idx="20">
                  <c:v>94.820374611380615</c:v>
                </c:pt>
                <c:pt idx="21">
                  <c:v>107.10595572323882</c:v>
                </c:pt>
                <c:pt idx="22">
                  <c:v>119.35679954507492</c:v>
                </c:pt>
                <c:pt idx="23">
                  <c:v>131.57697924145887</c:v>
                </c:pt>
                <c:pt idx="24">
                  <c:v>143.76974745978904</c:v>
                </c:pt>
                <c:pt idx="25">
                  <c:v>155.93775882820458</c:v>
                </c:pt>
                <c:pt idx="26">
                  <c:v>171.11628496027242</c:v>
                </c:pt>
                <c:pt idx="27">
                  <c:v>186.26311995847519</c:v>
                </c:pt>
                <c:pt idx="28">
                  <c:v>201.38120500067484</c:v>
                </c:pt>
                <c:pt idx="29">
                  <c:v>216.47300307155012</c:v>
                </c:pt>
                <c:pt idx="30">
                  <c:v>231.54060536306486</c:v>
                </c:pt>
                <c:pt idx="31">
                  <c:v>186.26311995847519</c:v>
                </c:pt>
                <c:pt idx="32">
                  <c:v>203.53873317127025</c:v>
                </c:pt>
                <c:pt idx="33">
                  <c:v>220.7804177203171</c:v>
                </c:pt>
                <c:pt idx="34">
                  <c:v>237.99119648913987</c:v>
                </c:pt>
                <c:pt idx="35">
                  <c:v>255.17361912197524</c:v>
                </c:pt>
                <c:pt idx="36">
                  <c:v>273.18702358085392</c:v>
                </c:pt>
                <c:pt idx="37">
                  <c:v>291.17373470175522</c:v>
                </c:pt>
                <c:pt idx="38">
                  <c:v>309.13563311670725</c:v>
                </c:pt>
                <c:pt idx="39">
                  <c:v>327.07436305866287</c:v>
                </c:pt>
                <c:pt idx="40">
                  <c:v>344.99137368524407</c:v>
                </c:pt>
                <c:pt idx="41">
                  <c:v>273.18702358085397</c:v>
                </c:pt>
                <c:pt idx="42">
                  <c:v>291.17373470175534</c:v>
                </c:pt>
                <c:pt idx="43">
                  <c:v>309.13563311670737</c:v>
                </c:pt>
                <c:pt idx="44">
                  <c:v>327.07436305866293</c:v>
                </c:pt>
                <c:pt idx="45">
                  <c:v>344.99137368524424</c:v>
                </c:pt>
                <c:pt idx="46">
                  <c:v>362.46207078875108</c:v>
                </c:pt>
                <c:pt idx="47">
                  <c:v>379.91436717004848</c:v>
                </c:pt>
                <c:pt idx="48">
                  <c:v>397.34922679476284</c:v>
                </c:pt>
                <c:pt idx="49">
                  <c:v>414.76752215667602</c:v>
                </c:pt>
                <c:pt idx="50">
                  <c:v>432.17004651391039</c:v>
                </c:pt>
                <c:pt idx="51">
                  <c:v>359.90655706035312</c:v>
                </c:pt>
                <c:pt idx="52">
                  <c:v>376.9359665818497</c:v>
                </c:pt>
                <c:pt idx="53">
                  <c:v>393.94862977502589</c:v>
                </c:pt>
                <c:pt idx="54">
                  <c:v>410.94537139118694</c:v>
                </c:pt>
                <c:pt idx="55">
                  <c:v>427.92694241196983</c:v>
                </c:pt>
                <c:pt idx="56">
                  <c:v>444.04600908498691</c:v>
                </c:pt>
                <c:pt idx="57">
                  <c:v>460.1525454572888</c:v>
                </c:pt>
                <c:pt idx="58">
                  <c:v>476.24705171707609</c:v>
                </c:pt>
                <c:pt idx="59">
                  <c:v>492.32999150089842</c:v>
                </c:pt>
                <c:pt idx="60">
                  <c:v>508.40179569615708</c:v>
                </c:pt>
                <c:pt idx="61">
                  <c:v>434.71547881631068</c:v>
                </c:pt>
                <c:pt idx="62">
                  <c:v>449.98142660551815</c:v>
                </c:pt>
                <c:pt idx="63">
                  <c:v>465.23629811002087</c:v>
                </c:pt>
                <c:pt idx="64">
                  <c:v>480.48050755310373</c:v>
                </c:pt>
                <c:pt idx="65">
                  <c:v>495.71444073866093</c:v>
                </c:pt>
                <c:pt idx="66">
                  <c:v>510.09293342165273</c:v>
                </c:pt>
                <c:pt idx="67">
                  <c:v>524.46286573789178</c:v>
                </c:pt>
                <c:pt idx="68">
                  <c:v>538.82450519567703</c:v>
                </c:pt>
                <c:pt idx="69">
                  <c:v>553.17810388555245</c:v>
                </c:pt>
                <c:pt idx="70">
                  <c:v>567.52389975422022</c:v>
                </c:pt>
                <c:pt idx="71">
                  <c:v>491.90690073068072</c:v>
                </c:pt>
                <c:pt idx="72">
                  <c:v>505.01916305031301</c:v>
                </c:pt>
                <c:pt idx="73">
                  <c:v>518.12422744598666</c:v>
                </c:pt>
                <c:pt idx="74">
                  <c:v>531.22230158885293</c:v>
                </c:pt>
                <c:pt idx="75">
                  <c:v>544.31358207655558</c:v>
                </c:pt>
                <c:pt idx="76">
                  <c:v>556.97627034526056</c:v>
                </c:pt>
                <c:pt idx="77">
                  <c:v>569.63293124428924</c:v>
                </c:pt>
                <c:pt idx="78">
                  <c:v>582.28371752891576</c:v>
                </c:pt>
                <c:pt idx="79">
                  <c:v>594.9287747776724</c:v>
                </c:pt>
                <c:pt idx="80">
                  <c:v>607.56824187809627</c:v>
                </c:pt>
                <c:pt idx="81">
                  <c:v>530.7998901365155</c:v>
                </c:pt>
                <c:pt idx="82">
                  <c:v>542.62475971182016</c:v>
                </c:pt>
                <c:pt idx="83">
                  <c:v>554.44421990140927</c:v>
                </c:pt>
                <c:pt idx="84">
                  <c:v>566.25840225176751</c:v>
                </c:pt>
                <c:pt idx="85">
                  <c:v>578.06743237383034</c:v>
                </c:pt>
                <c:pt idx="86">
                  <c:v>589.87143032914321</c:v>
                </c:pt>
                <c:pt idx="87">
                  <c:v>601.67051098351124</c:v>
                </c:pt>
                <c:pt idx="88">
                  <c:v>613.46478433147638</c:v>
                </c:pt>
                <c:pt idx="89">
                  <c:v>625.25435579455211</c:v>
                </c:pt>
                <c:pt idx="90">
                  <c:v>637.03932649580224</c:v>
                </c:pt>
                <c:pt idx="91">
                  <c:v>558.87514990754164</c:v>
                </c:pt>
                <c:pt idx="92">
                  <c:v>569.2111380217724</c:v>
                </c:pt>
                <c:pt idx="93">
                  <c:v>579.54320491065062</c:v>
                </c:pt>
                <c:pt idx="94">
                  <c:v>589.87143032914321</c:v>
                </c:pt>
                <c:pt idx="95">
                  <c:v>600.1958910119007</c:v>
                </c:pt>
                <c:pt idx="96">
                  <c:v>610.5166608387284</c:v>
                </c:pt>
                <c:pt idx="97">
                  <c:v>620.83381098828954</c:v>
                </c:pt>
                <c:pt idx="98">
                  <c:v>631.14741008106091</c:v>
                </c:pt>
                <c:pt idx="99">
                  <c:v>641.45752431246467</c:v>
                </c:pt>
                <c:pt idx="100">
                  <c:v>651.76421757699529</c:v>
                </c:pt>
                <c:pt idx="101">
                  <c:v>572.58530136295246</c:v>
                </c:pt>
                <c:pt idx="102">
                  <c:v>581.86211774299522</c:v>
                </c:pt>
                <c:pt idx="103">
                  <c:v>591.13585076340439</c:v>
                </c:pt>
                <c:pt idx="104">
                  <c:v>600.40655561428912</c:v>
                </c:pt>
                <c:pt idx="105">
                  <c:v>609.67428564250383</c:v>
                </c:pt>
                <c:pt idx="106">
                  <c:v>618.93909244089252</c:v>
                </c:pt>
                <c:pt idx="107">
                  <c:v>628.20102593191348</c:v>
                </c:pt>
                <c:pt idx="108">
                  <c:v>637.46013444607536</c:v>
                </c:pt>
                <c:pt idx="109">
                  <c:v>646.71646479558228</c:v>
                </c:pt>
                <c:pt idx="110">
                  <c:v>655.97006234354342</c:v>
                </c:pt>
                <c:pt idx="111">
                  <c:v>581.65131546152259</c:v>
                </c:pt>
                <c:pt idx="112">
                  <c:v>589.44994431476971</c:v>
                </c:pt>
                <c:pt idx="113">
                  <c:v>597.24642489948906</c:v>
                </c:pt>
                <c:pt idx="114">
                  <c:v>605.04078921657378</c:v>
                </c:pt>
                <c:pt idx="115">
                  <c:v>612.83306837511452</c:v>
                </c:pt>
                <c:pt idx="116">
                  <c:v>620.62329262851983</c:v>
                </c:pt>
                <c:pt idx="117">
                  <c:v>628.41149140872983</c:v>
                </c:pt>
                <c:pt idx="118">
                  <c:v>636.19769335864555</c:v>
                </c:pt>
                <c:pt idx="119">
                  <c:v>643.98192636288832</c:v>
                </c:pt>
                <c:pt idx="120">
                  <c:v>651.76421757699461</c:v>
                </c:pt>
                <c:pt idx="121">
                  <c:v>584.81318276371178</c:v>
                </c:pt>
                <c:pt idx="122">
                  <c:v>591.5573117222267</c:v>
                </c:pt>
                <c:pt idx="123">
                  <c:v>598.29984034582083</c:v>
                </c:pt>
                <c:pt idx="124">
                  <c:v>605.04078921657356</c:v>
                </c:pt>
                <c:pt idx="125">
                  <c:v>611.78017842045085</c:v>
                </c:pt>
                <c:pt idx="126">
                  <c:v>618.51802756471784</c:v>
                </c:pt>
                <c:pt idx="127">
                  <c:v>625.25435579455075</c:v>
                </c:pt>
                <c:pt idx="128">
                  <c:v>631.98918180889655</c:v>
                </c:pt>
                <c:pt idx="129">
                  <c:v>638.7225238756206</c:v>
                </c:pt>
                <c:pt idx="130">
                  <c:v>645.45439984598477</c:v>
                </c:pt>
                <c:pt idx="131">
                  <c:v>585.8670592528191</c:v>
                </c:pt>
                <c:pt idx="132">
                  <c:v>591.55731172222636</c:v>
                </c:pt>
                <c:pt idx="133">
                  <c:v>597.2464248994886</c:v>
                </c:pt>
                <c:pt idx="134">
                  <c:v>602.93441117113719</c:v>
                </c:pt>
                <c:pt idx="135">
                  <c:v>608.62128267086769</c:v>
                </c:pt>
                <c:pt idx="136">
                  <c:v>614.30705128706597</c:v>
                </c:pt>
                <c:pt idx="137">
                  <c:v>619.99172867004131</c:v>
                </c:pt>
                <c:pt idx="138">
                  <c:v>625.67532623898353</c:v>
                </c:pt>
                <c:pt idx="139">
                  <c:v>631.35785518864975</c:v>
                </c:pt>
                <c:pt idx="140">
                  <c:v>637.03932649580065</c:v>
                </c:pt>
                <c:pt idx="141">
                  <c:v>585.23473810495364</c:v>
                </c:pt>
                <c:pt idx="142">
                  <c:v>590.29291007196321</c:v>
                </c:pt>
                <c:pt idx="143">
                  <c:v>595.3501796585399</c:v>
                </c:pt>
                <c:pt idx="144">
                  <c:v>600.40655561428787</c:v>
                </c:pt>
                <c:pt idx="145">
                  <c:v>605.46204652936558</c:v>
                </c:pt>
                <c:pt idx="146">
                  <c:v>610.51666083872692</c:v>
                </c:pt>
                <c:pt idx="147">
                  <c:v>615.57040682621573</c:v>
                </c:pt>
                <c:pt idx="148">
                  <c:v>620.62329262851881</c:v>
                </c:pt>
                <c:pt idx="149">
                  <c:v>625.67532623898308</c:v>
                </c:pt>
                <c:pt idx="150">
                  <c:v>630.72651551130321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2519152"/>
        <c:axId val="662520240"/>
      </c:scatterChart>
      <c:valAx>
        <c:axId val="6625191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62520240"/>
        <c:crosses val="autoZero"/>
        <c:crossBetween val="midCat"/>
      </c:valAx>
      <c:valAx>
        <c:axId val="66252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625191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2520784"/>
        <c:axId val="340777808"/>
      </c:scatterChart>
      <c:valAx>
        <c:axId val="6625207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40777808"/>
        <c:crosses val="autoZero"/>
        <c:crossBetween val="midCat"/>
      </c:valAx>
      <c:valAx>
        <c:axId val="34077780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62520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I37" sqref="I37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25" zoomScale="80" zoomScaleNormal="80" workbookViewId="0">
      <selection activeCell="B37" sqref="B3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0.24099999999999999</v>
      </c>
      <c r="D9" s="36">
        <f t="shared" ref="D9:D18" si="0">C9*$C$5</f>
        <v>0.28919999999999996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8</v>
      </c>
      <c r="C10" s="35">
        <v>0.24099999999999999</v>
      </c>
      <c r="D10" s="36">
        <f t="shared" si="0"/>
        <v>0.28919999999999996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138</v>
      </c>
      <c r="C11" s="35">
        <v>0.24099999999999999</v>
      </c>
      <c r="D11" s="36">
        <f t="shared" si="0"/>
        <v>0.28919999999999996</v>
      </c>
      <c r="E11" s="37">
        <v>44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36</v>
      </c>
      <c r="C12" s="35">
        <v>7.3999999999999996E-2</v>
      </c>
      <c r="D12" s="36">
        <f t="shared" si="0"/>
        <v>8.879999999999999E-2</v>
      </c>
      <c r="E12" s="37">
        <v>44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5</v>
      </c>
      <c r="C13" s="35">
        <v>3.6999999999999998E-2</v>
      </c>
      <c r="D13" s="36">
        <f t="shared" si="0"/>
        <v>4.4399999999999995E-2</v>
      </c>
      <c r="E13" s="37">
        <v>60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6</v>
      </c>
      <c r="C14" s="35">
        <v>3.6999999999999998E-2</v>
      </c>
      <c r="D14" s="36">
        <f t="shared" si="0"/>
        <v>4.4399999999999995E-2</v>
      </c>
      <c r="E14" s="37">
        <v>120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39</v>
      </c>
      <c r="C15" s="35">
        <v>3.6999999999999998E-2</v>
      </c>
      <c r="D15" s="36">
        <f t="shared" si="0"/>
        <v>4.4399999999999995E-2</v>
      </c>
      <c r="E15" s="37">
        <v>150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15</v>
      </c>
      <c r="C16" s="35">
        <v>3.6999999999999998E-2</v>
      </c>
      <c r="D16" s="36">
        <f t="shared" si="0"/>
        <v>4.4399999999999995E-2</v>
      </c>
      <c r="E16" s="37">
        <v>150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0.94500000000000006</v>
      </c>
      <c r="D19" s="41">
        <f>SUM(D9:D18)</f>
        <v>1.1339999999999999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42</v>
      </c>
      <c r="C36" s="63"/>
      <c r="D36" s="63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f>62+8</f>
        <v>70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f>76+8+21</f>
        <v>105</v>
      </c>
      <c r="C38" s="63">
        <v>1</v>
      </c>
      <c r="D38" s="63">
        <f>8+21</f>
        <v>29</v>
      </c>
      <c r="E38" s="54"/>
      <c r="F38" s="54"/>
      <c r="G38" s="54"/>
      <c r="H38" s="54">
        <v>1</v>
      </c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f>95+21</f>
        <v>116</v>
      </c>
      <c r="C39" s="63"/>
      <c r="D39" s="63"/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f>116+21+21</f>
        <v>158</v>
      </c>
      <c r="C40" s="63">
        <v>2</v>
      </c>
      <c r="D40" s="63">
        <f>21+21</f>
        <v>42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f>137+21</f>
        <v>158</v>
      </c>
      <c r="C41" s="63"/>
      <c r="D41" s="63"/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f>157+21+21</f>
        <v>199</v>
      </c>
      <c r="C42" s="63">
        <v>3</v>
      </c>
      <c r="D42" s="63">
        <f>21+21</f>
        <v>42</v>
      </c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55</v>
      </c>
      <c r="B43" s="63">
        <f>176+21</f>
        <v>197</v>
      </c>
      <c r="C43" s="63"/>
      <c r="D43" s="63"/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60</v>
      </c>
      <c r="B44" s="53">
        <v>235</v>
      </c>
      <c r="C44" s="53">
        <v>4</v>
      </c>
      <c r="D44" s="53">
        <v>42</v>
      </c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>
        <v>65</v>
      </c>
      <c r="B45" s="53">
        <v>229</v>
      </c>
      <c r="C45" s="53"/>
      <c r="D45" s="53"/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>
        <v>70</v>
      </c>
      <c r="B46" s="53">
        <v>263</v>
      </c>
      <c r="C46" s="53">
        <v>5</v>
      </c>
      <c r="D46" s="53">
        <v>42</v>
      </c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>
        <v>75</v>
      </c>
      <c r="B47" s="53">
        <v>252</v>
      </c>
      <c r="C47" s="53"/>
      <c r="D47" s="53"/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>
        <v>80</v>
      </c>
      <c r="B48" s="53">
        <v>282</v>
      </c>
      <c r="C48" s="53">
        <v>6</v>
      </c>
      <c r="D48" s="53">
        <v>42</v>
      </c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>
        <v>90</v>
      </c>
      <c r="B49" s="53">
        <v>296</v>
      </c>
      <c r="C49" s="53">
        <v>7</v>
      </c>
      <c r="D49" s="53">
        <v>42</v>
      </c>
      <c r="E49" s="54"/>
      <c r="F49" s="54"/>
      <c r="G49" s="54"/>
      <c r="H49" s="54"/>
      <c r="I49" s="52">
        <f t="shared" si="1"/>
        <v>5.6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>
        <v>100</v>
      </c>
      <c r="B50" s="53">
        <v>303</v>
      </c>
      <c r="C50" s="53">
        <v>8</v>
      </c>
      <c r="D50" s="53">
        <v>42</v>
      </c>
      <c r="E50" s="54"/>
      <c r="F50" s="54"/>
      <c r="G50" s="54"/>
      <c r="H50" s="54"/>
      <c r="I50" s="52">
        <f t="shared" si="1"/>
        <v>4.9000000000000004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3">
        <v>110</v>
      </c>
      <c r="B51" s="53">
        <v>305</v>
      </c>
      <c r="C51" s="53">
        <v>9</v>
      </c>
      <c r="D51" s="53">
        <v>39</v>
      </c>
      <c r="E51" s="54"/>
      <c r="F51" s="54"/>
      <c r="G51" s="54"/>
      <c r="H51" s="54"/>
      <c r="I51" s="52">
        <f t="shared" si="1"/>
        <v>4.4000000000000004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3">
        <v>120</v>
      </c>
      <c r="B52" s="53">
        <v>303</v>
      </c>
      <c r="C52" s="53">
        <v>10</v>
      </c>
      <c r="D52" s="53">
        <v>35</v>
      </c>
      <c r="E52" s="54"/>
      <c r="F52" s="54"/>
      <c r="G52" s="54"/>
      <c r="H52" s="54"/>
      <c r="I52" s="52">
        <f t="shared" si="1"/>
        <v>3.7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>
        <v>130</v>
      </c>
      <c r="B53" s="53">
        <v>300</v>
      </c>
      <c r="C53" s="53">
        <v>11</v>
      </c>
      <c r="D53" s="53">
        <v>31</v>
      </c>
      <c r="E53" s="54"/>
      <c r="F53" s="54"/>
      <c r="G53" s="54"/>
      <c r="H53" s="54"/>
      <c r="I53" s="52">
        <f t="shared" si="1"/>
        <v>3.2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>
        <v>140</v>
      </c>
      <c r="B54" s="53">
        <v>296</v>
      </c>
      <c r="C54" s="53">
        <v>12</v>
      </c>
      <c r="D54" s="53">
        <v>27</v>
      </c>
      <c r="E54" s="54"/>
      <c r="F54" s="54"/>
      <c r="G54" s="54"/>
      <c r="H54" s="54"/>
      <c r="I54" s="52">
        <f t="shared" si="1"/>
        <v>2.7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>
        <v>150</v>
      </c>
      <c r="B55" s="53">
        <v>293</v>
      </c>
      <c r="C55" s="53">
        <v>13</v>
      </c>
      <c r="D55" s="53">
        <v>293</v>
      </c>
      <c r="E55" s="54"/>
      <c r="F55" s="54"/>
      <c r="G55" s="54"/>
      <c r="H55" s="54"/>
      <c r="I55" s="52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Châtaignier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3">
        <v>37</v>
      </c>
      <c r="C62" s="63"/>
      <c r="D62" s="63"/>
      <c r="E62" s="54"/>
      <c r="F62" s="54"/>
      <c r="G62" s="54"/>
      <c r="H62" s="54"/>
      <c r="I62" s="56">
        <f>IFERROR(B62/A62,"")</f>
        <v>2.4666666666666668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20</v>
      </c>
      <c r="B63" s="63">
        <f>80+15</f>
        <v>95</v>
      </c>
      <c r="C63" s="63"/>
      <c r="D63" s="63"/>
      <c r="E63" s="54"/>
      <c r="F63" s="54"/>
      <c r="G63" s="54"/>
      <c r="H63" s="54"/>
      <c r="I63" s="52">
        <f>IF(A63&lt;&gt;0,(B63-(B62-D62))/(A63-A62),"")</f>
        <v>11.6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3">
        <f>115+15+28</f>
        <v>158</v>
      </c>
      <c r="C64" s="63">
        <v>1</v>
      </c>
      <c r="D64" s="63">
        <f>15+28+28</f>
        <v>71</v>
      </c>
      <c r="E64" s="54"/>
      <c r="F64" s="54"/>
      <c r="G64" s="54"/>
      <c r="H64" s="54">
        <v>1</v>
      </c>
      <c r="I64" s="52">
        <f>IF(A64&lt;&gt;0,(B64-(B63-D63))/(A64-A63),"")</f>
        <v>12.6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f>147</f>
        <v>147</v>
      </c>
      <c r="C65" s="63"/>
      <c r="D65" s="63"/>
      <c r="E65" s="54"/>
      <c r="F65" s="54"/>
      <c r="G65" s="54"/>
      <c r="H65" s="54"/>
      <c r="I65" s="52">
        <f>IF(A65&lt;&gt;0,(B65-(B64-D64))/(A65-A64),"")</f>
        <v>12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35</v>
      </c>
      <c r="B66" s="63">
        <f>172+28</f>
        <v>200</v>
      </c>
      <c r="C66" s="63">
        <v>2</v>
      </c>
      <c r="D66" s="63">
        <f>28+28</f>
        <v>56</v>
      </c>
      <c r="E66" s="54"/>
      <c r="F66" s="54"/>
      <c r="G66" s="54"/>
      <c r="H66" s="54"/>
      <c r="I66" s="52">
        <f t="shared" ref="I66:I81" si="2">IF(A66&lt;&gt;0,(B66-(B65-D65))/(A66-A65),"")</f>
        <v>10.6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40</v>
      </c>
      <c r="B67" s="63">
        <f>192</f>
        <v>192</v>
      </c>
      <c r="C67" s="63"/>
      <c r="D67" s="63"/>
      <c r="E67" s="54"/>
      <c r="F67" s="54"/>
      <c r="G67" s="54"/>
      <c r="H67" s="54"/>
      <c r="I67" s="52">
        <f t="shared" si="2"/>
        <v>9.6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45</v>
      </c>
      <c r="B68" s="63">
        <f>205+28</f>
        <v>233</v>
      </c>
      <c r="C68" s="63">
        <v>3</v>
      </c>
      <c r="D68" s="63">
        <f>28+22</f>
        <v>50</v>
      </c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50</v>
      </c>
      <c r="B69" s="53">
        <v>218</v>
      </c>
      <c r="C69" s="53"/>
      <c r="D69" s="53"/>
      <c r="E69" s="54"/>
      <c r="F69" s="54"/>
      <c r="G69" s="54"/>
      <c r="H69" s="54"/>
      <c r="I69" s="52">
        <f t="shared" si="2"/>
        <v>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55</v>
      </c>
      <c r="B70" s="53">
        <f>233+17</f>
        <v>250</v>
      </c>
      <c r="C70" s="53">
        <v>4</v>
      </c>
      <c r="D70" s="53">
        <f>17+13</f>
        <v>30</v>
      </c>
      <c r="E70" s="54"/>
      <c r="F70" s="54"/>
      <c r="G70" s="54"/>
      <c r="H70" s="54"/>
      <c r="I70" s="52">
        <f t="shared" si="2"/>
        <v>6.4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60</v>
      </c>
      <c r="B71" s="53">
        <f>245</f>
        <v>245</v>
      </c>
      <c r="C71" s="53"/>
      <c r="D71" s="53"/>
      <c r="E71" s="54"/>
      <c r="F71" s="54"/>
      <c r="G71" s="54"/>
      <c r="H71" s="54"/>
      <c r="I71" s="52">
        <f t="shared" si="2"/>
        <v>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65</v>
      </c>
      <c r="B72" s="53">
        <f>255+12</f>
        <v>267</v>
      </c>
      <c r="C72" s="53">
        <v>5</v>
      </c>
      <c r="D72" s="53">
        <f>12+11</f>
        <v>23</v>
      </c>
      <c r="E72" s="54"/>
      <c r="F72" s="54"/>
      <c r="G72" s="54"/>
      <c r="H72" s="54"/>
      <c r="I72" s="52">
        <f t="shared" si="2"/>
        <v>4.4000000000000004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70</v>
      </c>
      <c r="B73" s="53">
        <f>263</f>
        <v>263</v>
      </c>
      <c r="C73" s="53"/>
      <c r="D73" s="53"/>
      <c r="E73" s="54"/>
      <c r="F73" s="54"/>
      <c r="G73" s="54"/>
      <c r="H73" s="54"/>
      <c r="I73" s="52">
        <f t="shared" si="2"/>
        <v>3.8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75</v>
      </c>
      <c r="B74" s="53">
        <f>270+10</f>
        <v>280</v>
      </c>
      <c r="C74" s="53"/>
      <c r="D74" s="53"/>
      <c r="E74" s="54"/>
      <c r="F74" s="54"/>
      <c r="G74" s="54"/>
      <c r="H74" s="54"/>
      <c r="I74" s="52">
        <f t="shared" si="2"/>
        <v>3.4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80</v>
      </c>
      <c r="B75" s="53">
        <f>276+10+9</f>
        <v>295</v>
      </c>
      <c r="C75" s="53">
        <v>6</v>
      </c>
      <c r="D75" s="53">
        <f>B75</f>
        <v>295</v>
      </c>
      <c r="E75" s="54"/>
      <c r="F75" s="54"/>
      <c r="G75" s="54"/>
      <c r="H75" s="54"/>
      <c r="I75" s="52">
        <f t="shared" si="2"/>
        <v>3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taeda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12</v>
      </c>
      <c r="B88" s="63">
        <v>38.9</v>
      </c>
      <c r="C88" s="63"/>
      <c r="D88" s="63"/>
      <c r="E88" s="54"/>
      <c r="F88" s="54"/>
      <c r="G88" s="54"/>
      <c r="H88" s="54"/>
      <c r="I88" s="56">
        <f>IFERROR(B88/A88,"")</f>
        <v>3.2416666666666667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13</v>
      </c>
      <c r="B89" s="63">
        <v>53.7</v>
      </c>
      <c r="C89" s="63"/>
      <c r="D89" s="63"/>
      <c r="E89" s="54"/>
      <c r="F89" s="54"/>
      <c r="G89" s="54"/>
      <c r="H89" s="54"/>
      <c r="I89" s="56">
        <f t="shared" ref="I89:I107" si="3">IF(A89&lt;&gt;0,(B89-(B88-D88))/(A89-A88),"")</f>
        <v>14.800000000000004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14</v>
      </c>
      <c r="B90" s="63">
        <v>70.400000000000006</v>
      </c>
      <c r="C90" s="63"/>
      <c r="D90" s="63"/>
      <c r="E90" s="54"/>
      <c r="F90" s="54"/>
      <c r="G90" s="54"/>
      <c r="H90" s="54"/>
      <c r="I90" s="56">
        <f t="shared" si="3"/>
        <v>16.700000000000003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15</v>
      </c>
      <c r="B91" s="63">
        <v>88.9</v>
      </c>
      <c r="C91" s="63">
        <v>1</v>
      </c>
      <c r="D91" s="63">
        <v>23.3</v>
      </c>
      <c r="E91" s="54"/>
      <c r="F91" s="54"/>
      <c r="G91" s="54">
        <v>1</v>
      </c>
      <c r="H91" s="54"/>
      <c r="I91" s="56">
        <f t="shared" si="3"/>
        <v>18.5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17</v>
      </c>
      <c r="B92" s="63">
        <v>88.3</v>
      </c>
      <c r="C92" s="63"/>
      <c r="D92" s="63"/>
      <c r="E92" s="54"/>
      <c r="F92" s="54"/>
      <c r="G92" s="54"/>
      <c r="H92" s="54"/>
      <c r="I92" s="56">
        <f t="shared" si="3"/>
        <v>11.349999999999994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20</v>
      </c>
      <c r="B93" s="63">
        <v>130.19999999999999</v>
      </c>
      <c r="C93" s="63">
        <v>2</v>
      </c>
      <c r="D93" s="63">
        <v>34.1</v>
      </c>
      <c r="E93" s="54">
        <v>0.25</v>
      </c>
      <c r="F93" s="54">
        <v>0.4</v>
      </c>
      <c r="G93" s="54">
        <v>0.35</v>
      </c>
      <c r="H93" s="54"/>
      <c r="I93" s="56">
        <f t="shared" si="3"/>
        <v>13.966666666666663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22</v>
      </c>
      <c r="B94" s="63">
        <v>126.9</v>
      </c>
      <c r="C94" s="63"/>
      <c r="D94" s="63"/>
      <c r="E94" s="54"/>
      <c r="F94" s="54"/>
      <c r="G94" s="54"/>
      <c r="H94" s="54"/>
      <c r="I94" s="56">
        <f t="shared" si="3"/>
        <v>15.400000000000006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283">
        <v>24</v>
      </c>
      <c r="B95" s="63">
        <v>161.69999999999999</v>
      </c>
      <c r="C95" s="63"/>
      <c r="D95" s="63"/>
      <c r="E95" s="54"/>
      <c r="F95" s="54"/>
      <c r="G95" s="54"/>
      <c r="H95" s="54"/>
      <c r="I95" s="56">
        <f t="shared" si="3"/>
        <v>17.399999999999991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283">
        <v>27</v>
      </c>
      <c r="B96" s="63">
        <v>218.4</v>
      </c>
      <c r="C96" s="63">
        <v>3</v>
      </c>
      <c r="D96" s="63">
        <v>54.5</v>
      </c>
      <c r="E96" s="54">
        <v>0.6</v>
      </c>
      <c r="F96" s="54">
        <v>0.2</v>
      </c>
      <c r="G96" s="54">
        <v>0.2</v>
      </c>
      <c r="H96" s="54"/>
      <c r="I96" s="56">
        <f t="shared" si="3"/>
        <v>18.900000000000006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283">
        <v>28</v>
      </c>
      <c r="B97" s="63">
        <v>179.2</v>
      </c>
      <c r="C97" s="63"/>
      <c r="D97" s="63"/>
      <c r="E97" s="54"/>
      <c r="F97" s="54"/>
      <c r="G97" s="54"/>
      <c r="H97" s="54"/>
      <c r="I97" s="56">
        <f t="shared" si="3"/>
        <v>15.299999999999983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283">
        <v>30</v>
      </c>
      <c r="B98" s="63">
        <v>211.1</v>
      </c>
      <c r="C98" s="63"/>
      <c r="D98" s="63"/>
      <c r="E98" s="54"/>
      <c r="F98" s="54"/>
      <c r="G98" s="54"/>
      <c r="H98" s="54"/>
      <c r="I98" s="56">
        <f t="shared" si="3"/>
        <v>15.950000000000003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283">
        <v>32</v>
      </c>
      <c r="B99" s="63">
        <v>243.4</v>
      </c>
      <c r="C99" s="63">
        <v>4</v>
      </c>
      <c r="D99" s="63">
        <v>62.7</v>
      </c>
      <c r="E99" s="54"/>
      <c r="F99" s="54"/>
      <c r="G99" s="54"/>
      <c r="H99" s="54"/>
      <c r="I99" s="56">
        <f t="shared" si="3"/>
        <v>16.150000000000006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283">
        <v>34</v>
      </c>
      <c r="B100" s="63">
        <v>206.3</v>
      </c>
      <c r="C100" s="63"/>
      <c r="D100" s="63"/>
      <c r="E100" s="54"/>
      <c r="F100" s="54"/>
      <c r="G100" s="54"/>
      <c r="H100" s="54"/>
      <c r="I100" s="56">
        <f t="shared" si="3"/>
        <v>12.800000000000011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283">
        <v>36</v>
      </c>
      <c r="B101" s="63">
        <v>232.2</v>
      </c>
      <c r="C101" s="63"/>
      <c r="D101" s="63"/>
      <c r="E101" s="54"/>
      <c r="F101" s="54"/>
      <c r="G101" s="54"/>
      <c r="H101" s="54"/>
      <c r="I101" s="56">
        <f t="shared" si="3"/>
        <v>12.949999999999989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283">
        <v>38</v>
      </c>
      <c r="B102" s="53">
        <v>258.5</v>
      </c>
      <c r="C102" s="53"/>
      <c r="D102" s="53"/>
      <c r="E102" s="54"/>
      <c r="F102" s="54"/>
      <c r="G102" s="54"/>
      <c r="H102" s="54"/>
      <c r="I102" s="56">
        <f t="shared" si="3"/>
        <v>13.150000000000006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283">
        <v>40</v>
      </c>
      <c r="B103" s="53">
        <v>284.8</v>
      </c>
      <c r="C103" s="53"/>
      <c r="D103" s="53"/>
      <c r="E103" s="54"/>
      <c r="F103" s="54"/>
      <c r="G103" s="54"/>
      <c r="H103" s="54"/>
      <c r="I103" s="56">
        <f t="shared" si="3"/>
        <v>13.150000000000006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283">
        <v>42</v>
      </c>
      <c r="B104" s="53">
        <v>311.3</v>
      </c>
      <c r="C104" s="53"/>
      <c r="D104" s="53"/>
      <c r="E104" s="54"/>
      <c r="F104" s="54"/>
      <c r="G104" s="54"/>
      <c r="H104" s="54"/>
      <c r="I104" s="56">
        <f t="shared" si="3"/>
        <v>13.25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283">
        <v>44</v>
      </c>
      <c r="B105" s="53">
        <v>337.8</v>
      </c>
      <c r="C105" s="53">
        <v>5</v>
      </c>
      <c r="D105" s="53">
        <v>337.8</v>
      </c>
      <c r="E105" s="54"/>
      <c r="F105" s="54"/>
      <c r="G105" s="54"/>
      <c r="H105" s="54"/>
      <c r="I105" s="56">
        <f t="shared" si="3"/>
        <v>13.25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Pin maritime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12</v>
      </c>
      <c r="B114" s="63">
        <v>38.9</v>
      </c>
      <c r="C114" s="63"/>
      <c r="D114" s="63"/>
      <c r="E114" s="54"/>
      <c r="F114" s="54"/>
      <c r="G114" s="54"/>
      <c r="H114" s="54"/>
      <c r="I114" s="56">
        <f>IFERROR(B114/A114,"")</f>
        <v>3.2416666666666667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13</v>
      </c>
      <c r="B115" s="63">
        <v>53.7</v>
      </c>
      <c r="C115" s="63"/>
      <c r="D115" s="63"/>
      <c r="E115" s="54"/>
      <c r="F115" s="54"/>
      <c r="G115" s="54"/>
      <c r="H115" s="54"/>
      <c r="I115" s="56">
        <f t="shared" ref="I115:I133" si="4">IF(A115&lt;&gt;0,(B115-(B114-D114))/(A115-A114),"")</f>
        <v>14.800000000000004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14</v>
      </c>
      <c r="B116" s="63">
        <v>70.400000000000006</v>
      </c>
      <c r="C116" s="63"/>
      <c r="D116" s="63"/>
      <c r="E116" s="54"/>
      <c r="F116" s="54"/>
      <c r="G116" s="54"/>
      <c r="H116" s="54"/>
      <c r="I116" s="56">
        <f t="shared" si="4"/>
        <v>16.700000000000003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15</v>
      </c>
      <c r="B117" s="63">
        <v>88.9</v>
      </c>
      <c r="C117" s="63">
        <v>1</v>
      </c>
      <c r="D117" s="63">
        <v>23.3</v>
      </c>
      <c r="E117" s="54"/>
      <c r="F117" s="54"/>
      <c r="G117" s="54">
        <v>1</v>
      </c>
      <c r="H117" s="54"/>
      <c r="I117" s="56">
        <f t="shared" si="4"/>
        <v>18.5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17</v>
      </c>
      <c r="B118" s="63">
        <v>88.3</v>
      </c>
      <c r="C118" s="63"/>
      <c r="D118" s="63"/>
      <c r="E118" s="54"/>
      <c r="F118" s="54"/>
      <c r="G118" s="54"/>
      <c r="H118" s="54"/>
      <c r="I118" s="56">
        <f t="shared" si="4"/>
        <v>11.349999999999994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20</v>
      </c>
      <c r="B119" s="63">
        <v>130.19999999999999</v>
      </c>
      <c r="C119" s="63">
        <v>2</v>
      </c>
      <c r="D119" s="63">
        <v>34.1</v>
      </c>
      <c r="E119" s="54">
        <v>0.25</v>
      </c>
      <c r="F119" s="54">
        <v>0.4</v>
      </c>
      <c r="G119" s="54">
        <v>0.35</v>
      </c>
      <c r="H119" s="54"/>
      <c r="I119" s="56">
        <f t="shared" si="4"/>
        <v>13.966666666666663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22</v>
      </c>
      <c r="B120" s="63">
        <v>126.9</v>
      </c>
      <c r="C120" s="63"/>
      <c r="D120" s="63"/>
      <c r="E120" s="54"/>
      <c r="F120" s="54"/>
      <c r="G120" s="54"/>
      <c r="H120" s="54"/>
      <c r="I120" s="56">
        <f t="shared" si="4"/>
        <v>15.400000000000006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283">
        <v>24</v>
      </c>
      <c r="B121" s="63">
        <v>161.69999999999999</v>
      </c>
      <c r="C121" s="63"/>
      <c r="D121" s="63"/>
      <c r="E121" s="54"/>
      <c r="F121" s="54"/>
      <c r="G121" s="54"/>
      <c r="H121" s="54"/>
      <c r="I121" s="56">
        <f t="shared" si="4"/>
        <v>17.399999999999991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283">
        <v>27</v>
      </c>
      <c r="B122" s="63">
        <v>218.4</v>
      </c>
      <c r="C122" s="63">
        <v>3</v>
      </c>
      <c r="D122" s="63">
        <v>54.5</v>
      </c>
      <c r="E122" s="54">
        <v>0.6</v>
      </c>
      <c r="F122" s="54">
        <v>0.2</v>
      </c>
      <c r="G122" s="54">
        <v>0.2</v>
      </c>
      <c r="H122" s="54"/>
      <c r="I122" s="56">
        <f t="shared" si="4"/>
        <v>18.900000000000006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283">
        <v>28</v>
      </c>
      <c r="B123" s="63">
        <v>179.2</v>
      </c>
      <c r="C123" s="63"/>
      <c r="D123" s="63"/>
      <c r="E123" s="54"/>
      <c r="F123" s="54"/>
      <c r="G123" s="54"/>
      <c r="H123" s="54"/>
      <c r="I123" s="56">
        <f t="shared" si="4"/>
        <v>15.299999999999983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283">
        <v>30</v>
      </c>
      <c r="B124" s="63">
        <v>211.1</v>
      </c>
      <c r="C124" s="63"/>
      <c r="D124" s="63"/>
      <c r="E124" s="54"/>
      <c r="F124" s="54"/>
      <c r="G124" s="54"/>
      <c r="H124" s="54"/>
      <c r="I124" s="56">
        <f t="shared" si="4"/>
        <v>15.950000000000003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283">
        <v>32</v>
      </c>
      <c r="B125" s="63">
        <v>243.4</v>
      </c>
      <c r="C125" s="63">
        <v>4</v>
      </c>
      <c r="D125" s="63">
        <v>62.7</v>
      </c>
      <c r="E125" s="54"/>
      <c r="F125" s="54"/>
      <c r="G125" s="54"/>
      <c r="H125" s="54"/>
      <c r="I125" s="56">
        <f t="shared" si="4"/>
        <v>16.150000000000006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283">
        <v>34</v>
      </c>
      <c r="B126" s="63">
        <v>206.3</v>
      </c>
      <c r="C126" s="63"/>
      <c r="D126" s="63"/>
      <c r="E126" s="54"/>
      <c r="F126" s="54"/>
      <c r="G126" s="54"/>
      <c r="H126" s="54"/>
      <c r="I126" s="56">
        <f t="shared" si="4"/>
        <v>12.800000000000011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283">
        <v>36</v>
      </c>
      <c r="B127" s="63">
        <v>232.2</v>
      </c>
      <c r="C127" s="63"/>
      <c r="D127" s="63"/>
      <c r="E127" s="54"/>
      <c r="F127" s="54"/>
      <c r="G127" s="54"/>
      <c r="H127" s="54"/>
      <c r="I127" s="56">
        <f t="shared" si="4"/>
        <v>12.949999999999989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283">
        <v>38</v>
      </c>
      <c r="B128" s="53">
        <v>258.5</v>
      </c>
      <c r="C128" s="53"/>
      <c r="D128" s="53"/>
      <c r="E128" s="54"/>
      <c r="F128" s="54"/>
      <c r="G128" s="54"/>
      <c r="H128" s="54"/>
      <c r="I128" s="56">
        <f t="shared" si="4"/>
        <v>13.150000000000006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283">
        <v>40</v>
      </c>
      <c r="B129" s="53">
        <v>284.8</v>
      </c>
      <c r="C129" s="53"/>
      <c r="D129" s="53"/>
      <c r="E129" s="54"/>
      <c r="F129" s="54"/>
      <c r="G129" s="54"/>
      <c r="H129" s="54"/>
      <c r="I129" s="56">
        <f t="shared" si="4"/>
        <v>13.150000000000006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283">
        <v>42</v>
      </c>
      <c r="B130" s="53">
        <v>311.3</v>
      </c>
      <c r="C130" s="53"/>
      <c r="D130" s="53"/>
      <c r="E130" s="54"/>
      <c r="F130" s="54"/>
      <c r="G130" s="54"/>
      <c r="H130" s="54"/>
      <c r="I130" s="56">
        <f t="shared" si="4"/>
        <v>13.25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283">
        <v>44</v>
      </c>
      <c r="B131" s="53">
        <v>337.8</v>
      </c>
      <c r="C131" s="53">
        <v>5</v>
      </c>
      <c r="D131" s="53">
        <v>337.8</v>
      </c>
      <c r="E131" s="54"/>
      <c r="F131" s="54"/>
      <c r="G131" s="54"/>
      <c r="H131" s="54"/>
      <c r="I131" s="56">
        <f t="shared" si="4"/>
        <v>13.25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Bouleau verruqueux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10</v>
      </c>
      <c r="B140" s="63">
        <v>9</v>
      </c>
      <c r="C140" s="63"/>
      <c r="D140" s="63"/>
      <c r="E140" s="54"/>
      <c r="F140" s="54"/>
      <c r="G140" s="54"/>
      <c r="H140" s="54"/>
      <c r="I140" s="60">
        <f>IFERROR(B140/A140,"")</f>
        <v>0.9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15</v>
      </c>
      <c r="B141" s="63">
        <v>49</v>
      </c>
      <c r="C141" s="63"/>
      <c r="D141" s="63"/>
      <c r="E141" s="54"/>
      <c r="F141" s="54"/>
      <c r="G141" s="54"/>
      <c r="H141" s="54"/>
      <c r="I141" s="60">
        <f t="shared" ref="I141:I159" si="5">IF(A141&lt;&gt;0,(B141-(B140-D140))/(A141-A140),"")</f>
        <v>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20</v>
      </c>
      <c r="B142" s="63">
        <v>99</v>
      </c>
      <c r="C142" s="63">
        <v>1</v>
      </c>
      <c r="D142" s="63">
        <v>40</v>
      </c>
      <c r="E142" s="54"/>
      <c r="F142" s="54"/>
      <c r="G142" s="54"/>
      <c r="H142" s="54">
        <v>1</v>
      </c>
      <c r="I142" s="60">
        <f t="shared" si="5"/>
        <v>10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25</v>
      </c>
      <c r="B143" s="63">
        <v>102</v>
      </c>
      <c r="C143" s="63"/>
      <c r="D143" s="63"/>
      <c r="E143" s="54"/>
      <c r="F143" s="54"/>
      <c r="G143" s="54"/>
      <c r="H143" s="54"/>
      <c r="I143" s="60">
        <f t="shared" si="5"/>
        <v>8.6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30</v>
      </c>
      <c r="B144" s="63">
        <v>146</v>
      </c>
      <c r="C144" s="63"/>
      <c r="D144" s="63"/>
      <c r="E144" s="54"/>
      <c r="F144" s="54"/>
      <c r="G144" s="54"/>
      <c r="H144" s="54"/>
      <c r="I144" s="60">
        <f t="shared" si="5"/>
        <v>8.8000000000000007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35</v>
      </c>
      <c r="B145" s="63">
        <v>190</v>
      </c>
      <c r="C145" s="63">
        <v>2</v>
      </c>
      <c r="D145" s="63">
        <v>76</v>
      </c>
      <c r="E145" s="54"/>
      <c r="F145" s="54"/>
      <c r="G145" s="54"/>
      <c r="H145" s="54"/>
      <c r="I145" s="60">
        <f t="shared" si="5"/>
        <v>8.8000000000000007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40</v>
      </c>
      <c r="B146" s="63">
        <v>152</v>
      </c>
      <c r="C146" s="63"/>
      <c r="D146" s="63"/>
      <c r="E146" s="54"/>
      <c r="F146" s="54"/>
      <c r="G146" s="54"/>
      <c r="H146" s="54"/>
      <c r="I146" s="60">
        <f t="shared" si="5"/>
        <v>7.6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45</v>
      </c>
      <c r="B147" s="53">
        <v>190</v>
      </c>
      <c r="C147" s="53"/>
      <c r="D147" s="53"/>
      <c r="E147" s="54"/>
      <c r="F147" s="54"/>
      <c r="G147" s="54"/>
      <c r="H147" s="54"/>
      <c r="I147" s="60">
        <f>IF(A147&lt;&gt;0,(B147-(B146-D146))/(A147-A146),"")</f>
        <v>7.6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50</v>
      </c>
      <c r="B148" s="53">
        <v>228</v>
      </c>
      <c r="C148" s="53"/>
      <c r="D148" s="53"/>
      <c r="E148" s="54"/>
      <c r="F148" s="54"/>
      <c r="G148" s="54"/>
      <c r="H148" s="54"/>
      <c r="I148" s="60">
        <f t="shared" si="5"/>
        <v>7.6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55</v>
      </c>
      <c r="B149" s="53">
        <v>266</v>
      </c>
      <c r="C149" s="53"/>
      <c r="D149" s="53"/>
      <c r="E149" s="54"/>
      <c r="F149" s="54"/>
      <c r="G149" s="54"/>
      <c r="H149" s="54"/>
      <c r="I149" s="60">
        <f t="shared" si="5"/>
        <v>7.6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60</v>
      </c>
      <c r="B150" s="53">
        <v>303</v>
      </c>
      <c r="C150" s="53">
        <v>3</v>
      </c>
      <c r="D150" s="53">
        <v>303</v>
      </c>
      <c r="E150" s="54"/>
      <c r="F150" s="54"/>
      <c r="G150" s="54"/>
      <c r="H150" s="54"/>
      <c r="I150" s="60">
        <f t="shared" si="5"/>
        <v>7.4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Charme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15</v>
      </c>
      <c r="B166" s="63">
        <f>57/1.56</f>
        <v>36.53846153846154</v>
      </c>
      <c r="C166" s="53"/>
      <c r="D166" s="63"/>
      <c r="E166" s="54"/>
      <c r="F166" s="54"/>
      <c r="G166" s="54"/>
      <c r="H166" s="54"/>
      <c r="I166" s="52">
        <f>IFERROR(B166/A166,"")</f>
        <v>2.4358974358974361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20</v>
      </c>
      <c r="B167" s="63">
        <f>(95+11)/1.56</f>
        <v>67.948717948717942</v>
      </c>
      <c r="C167" s="53">
        <v>1</v>
      </c>
      <c r="D167" s="63">
        <f>(11+15)/1.56</f>
        <v>16.666666666666668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6.2820512820512802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25</v>
      </c>
      <c r="B168" s="63">
        <f>131/1.56</f>
        <v>83.974358974358978</v>
      </c>
      <c r="C168" s="53"/>
      <c r="D168" s="63"/>
      <c r="E168" s="54"/>
      <c r="F168" s="54"/>
      <c r="G168" s="54"/>
      <c r="H168" s="54"/>
      <c r="I168" s="52">
        <f t="shared" si="6"/>
        <v>6.5384615384615419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30</v>
      </c>
      <c r="B169" s="63">
        <f>(163+19)/1.56</f>
        <v>116.66666666666666</v>
      </c>
      <c r="C169" s="53">
        <v>2</v>
      </c>
      <c r="D169" s="63">
        <f>(19+21)/1.56</f>
        <v>25.641025641025639</v>
      </c>
      <c r="E169" s="54"/>
      <c r="F169" s="54"/>
      <c r="G169" s="54"/>
      <c r="H169" s="54">
        <v>1</v>
      </c>
      <c r="I169" s="52">
        <f t="shared" si="6"/>
        <v>6.5384615384615357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35</v>
      </c>
      <c r="B170" s="63">
        <f>192/1.56</f>
        <v>123.07692307692307</v>
      </c>
      <c r="C170" s="53"/>
      <c r="D170" s="63"/>
      <c r="E170" s="54"/>
      <c r="F170" s="54"/>
      <c r="G170" s="54"/>
      <c r="H170" s="54"/>
      <c r="I170" s="52">
        <f t="shared" si="6"/>
        <v>6.4102564102564088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40</v>
      </c>
      <c r="B171" s="63">
        <f>(216+22)/1.56</f>
        <v>152.56410256410257</v>
      </c>
      <c r="C171" s="53">
        <v>3</v>
      </c>
      <c r="D171" s="63">
        <f>(22+23)/1.56</f>
        <v>28.846153846153847</v>
      </c>
      <c r="E171" s="54"/>
      <c r="F171" s="54"/>
      <c r="G171" s="54"/>
      <c r="H171" s="54"/>
      <c r="I171" s="52">
        <f t="shared" si="6"/>
        <v>5.8974358974359005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63">
        <v>45</v>
      </c>
      <c r="B172" s="63">
        <f>238/1.56</f>
        <v>152.56410256410257</v>
      </c>
      <c r="C172" s="63"/>
      <c r="D172" s="63"/>
      <c r="E172" s="93"/>
      <c r="F172" s="93"/>
      <c r="G172" s="93"/>
      <c r="H172" s="93"/>
      <c r="I172" s="52">
        <f t="shared" si="6"/>
        <v>5.7692307692307683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63">
        <v>50</v>
      </c>
      <c r="B173" s="63">
        <f>(257+24)/1.56</f>
        <v>180.12820512820511</v>
      </c>
      <c r="C173" s="63">
        <v>4</v>
      </c>
      <c r="D173" s="63">
        <f>(24+24)/1.56</f>
        <v>30.769230769230766</v>
      </c>
      <c r="E173" s="93"/>
      <c r="F173" s="93"/>
      <c r="G173" s="93"/>
      <c r="H173" s="93"/>
      <c r="I173" s="52">
        <f t="shared" si="6"/>
        <v>5.5128205128205083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63">
        <v>55</v>
      </c>
      <c r="B174" s="63">
        <f>274/1.56</f>
        <v>175.64102564102564</v>
      </c>
      <c r="C174" s="63"/>
      <c r="D174" s="63"/>
      <c r="E174" s="93"/>
      <c r="F174" s="93"/>
      <c r="G174" s="93"/>
      <c r="H174" s="93"/>
      <c r="I174" s="52">
        <f t="shared" si="6"/>
        <v>5.2564102564102599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63">
        <v>60</v>
      </c>
      <c r="B175" s="63">
        <f>(289+23)/1.56</f>
        <v>200</v>
      </c>
      <c r="C175" s="63">
        <v>5</v>
      </c>
      <c r="D175" s="63">
        <f>(23+23)/1.56</f>
        <v>29.487179487179485</v>
      </c>
      <c r="E175" s="93"/>
      <c r="F175" s="93"/>
      <c r="G175" s="93"/>
      <c r="H175" s="93"/>
      <c r="I175" s="52">
        <f t="shared" si="6"/>
        <v>4.8717948717948731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63">
        <v>65</v>
      </c>
      <c r="B176" s="63">
        <f>302/1.56</f>
        <v>193.58974358974359</v>
      </c>
      <c r="C176" s="63"/>
      <c r="D176" s="63"/>
      <c r="E176" s="93"/>
      <c r="F176" s="93"/>
      <c r="G176" s="93"/>
      <c r="H176" s="93"/>
      <c r="I176" s="52">
        <f t="shared" si="6"/>
        <v>4.6153846153846132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63">
        <v>70</v>
      </c>
      <c r="B177" s="63">
        <f>(313+23)/1.56</f>
        <v>215.38461538461539</v>
      </c>
      <c r="C177" s="63">
        <v>6</v>
      </c>
      <c r="D177" s="63">
        <f>(23+22)/1.56</f>
        <v>28.846153846153847</v>
      </c>
      <c r="E177" s="93"/>
      <c r="F177" s="93"/>
      <c r="G177" s="93"/>
      <c r="H177" s="93"/>
      <c r="I177" s="52">
        <f t="shared" si="6"/>
        <v>4.3589743589743595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63">
        <v>75</v>
      </c>
      <c r="B178" s="63">
        <f>324/1.56</f>
        <v>207.69230769230768</v>
      </c>
      <c r="C178" s="63"/>
      <c r="D178" s="63"/>
      <c r="E178" s="68"/>
      <c r="F178" s="68"/>
      <c r="G178" s="68"/>
      <c r="H178" s="68"/>
      <c r="I178" s="52">
        <f t="shared" si="6"/>
        <v>4.2307692307692264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63">
        <v>80</v>
      </c>
      <c r="B179" s="63">
        <f>(333+22)/1.56</f>
        <v>227.56410256410257</v>
      </c>
      <c r="C179" s="63">
        <v>7</v>
      </c>
      <c r="D179" s="63">
        <f>(22+21)/1.56</f>
        <v>27.564102564102562</v>
      </c>
      <c r="E179" s="68"/>
      <c r="F179" s="68"/>
      <c r="G179" s="68"/>
      <c r="H179" s="68"/>
      <c r="I179" s="52">
        <f t="shared" si="6"/>
        <v>3.974358974358978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85</v>
      </c>
      <c r="B180" s="53">
        <v>219.23076923076923</v>
      </c>
      <c r="C180" s="53"/>
      <c r="D180" s="53"/>
      <c r="E180" s="57"/>
      <c r="F180" s="57"/>
      <c r="G180" s="57"/>
      <c r="H180" s="57"/>
      <c r="I180" s="52">
        <f t="shared" si="6"/>
        <v>3.8461538461538454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90</v>
      </c>
      <c r="B181" s="53">
        <v>237.17948717948718</v>
      </c>
      <c r="C181" s="53">
        <v>8</v>
      </c>
      <c r="D181" s="53">
        <v>25.641025641025639</v>
      </c>
      <c r="E181" s="57"/>
      <c r="F181" s="57"/>
      <c r="G181" s="57"/>
      <c r="H181" s="57"/>
      <c r="I181" s="52">
        <f t="shared" si="6"/>
        <v>3.5897435897435912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95</v>
      </c>
      <c r="B182" s="53">
        <v>229.48717948717947</v>
      </c>
      <c r="C182" s="53"/>
      <c r="D182" s="53"/>
      <c r="E182" s="57"/>
      <c r="F182" s="57"/>
      <c r="G182" s="57"/>
      <c r="H182" s="57"/>
      <c r="I182" s="52">
        <f t="shared" si="6"/>
        <v>3.5897435897435854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>
        <v>100</v>
      </c>
      <c r="B183" s="53">
        <v>246.15384615384613</v>
      </c>
      <c r="C183" s="53">
        <v>9</v>
      </c>
      <c r="D183" s="53">
        <v>23.717948717948715</v>
      </c>
      <c r="E183" s="57"/>
      <c r="F183" s="57"/>
      <c r="G183" s="57"/>
      <c r="H183" s="57"/>
      <c r="I183" s="52">
        <f t="shared" si="6"/>
        <v>3.3333333333333313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>
        <v>110</v>
      </c>
      <c r="B184" s="53">
        <v>253.2051282051282</v>
      </c>
      <c r="C184" s="53"/>
      <c r="D184" s="53"/>
      <c r="E184" s="57"/>
      <c r="F184" s="57"/>
      <c r="G184" s="57"/>
      <c r="H184" s="57"/>
      <c r="I184" s="52">
        <f t="shared" si="6"/>
        <v>3.0769230769230802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>
        <v>120</v>
      </c>
      <c r="B185" s="53">
        <v>282.05128205128204</v>
      </c>
      <c r="C185" s="53">
        <v>10</v>
      </c>
      <c r="D185" s="53">
        <v>282.05128205128204</v>
      </c>
      <c r="E185" s="57"/>
      <c r="F185" s="57"/>
      <c r="G185" s="57"/>
      <c r="H185" s="57"/>
      <c r="I185" s="52">
        <f t="shared" si="6"/>
        <v>2.8846153846153841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Pin pignon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10</v>
      </c>
      <c r="B192" s="63">
        <f>36.82/2.4</f>
        <v>15.341666666666667</v>
      </c>
      <c r="C192" s="63"/>
      <c r="D192" s="63"/>
      <c r="E192" s="54"/>
      <c r="F192" s="54"/>
      <c r="G192" s="54"/>
      <c r="H192" s="54"/>
      <c r="I192" s="52">
        <f>IFERROR(B192/A192,"")</f>
        <v>1.5341666666666667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20</v>
      </c>
      <c r="B193" s="63">
        <f>(79.16+4.6)/2.4</f>
        <v>34.9</v>
      </c>
      <c r="C193" s="63"/>
      <c r="D193" s="63"/>
      <c r="E193" s="54"/>
      <c r="F193" s="54"/>
      <c r="G193" s="54"/>
      <c r="H193" s="54"/>
      <c r="I193" s="52">
        <f t="shared" ref="I193:I211" si="7">IF(A193&lt;&gt;0,(B193-(B192-D192))/(A193-A192),"")</f>
        <v>1.9558333333333331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30</v>
      </c>
      <c r="B194" s="63">
        <f>(117.39+4.6+9.5)/2.4</f>
        <v>54.787500000000009</v>
      </c>
      <c r="C194" s="63">
        <v>1</v>
      </c>
      <c r="D194" s="63">
        <f>(4.6+9.5+13.2)/2.4</f>
        <v>11.375</v>
      </c>
      <c r="E194" s="54"/>
      <c r="F194" s="54"/>
      <c r="G194" s="54"/>
      <c r="H194" s="54">
        <v>1</v>
      </c>
      <c r="I194" s="52">
        <f t="shared" si="7"/>
        <v>1.9887500000000009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40</v>
      </c>
      <c r="B195" s="63">
        <f>150.4/2.4</f>
        <v>62.666666666666671</v>
      </c>
      <c r="C195" s="63">
        <v>2</v>
      </c>
      <c r="D195" s="63">
        <f>16.8/2.4</f>
        <v>7.0000000000000009</v>
      </c>
      <c r="E195" s="54"/>
      <c r="F195" s="54"/>
      <c r="G195" s="54"/>
      <c r="H195" s="54"/>
      <c r="I195" s="52">
        <f t="shared" si="7"/>
        <v>1.9254166666666663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50</v>
      </c>
      <c r="B196" s="63">
        <f>178.53/2.4</f>
        <v>74.387500000000003</v>
      </c>
      <c r="C196" s="63">
        <v>3</v>
      </c>
      <c r="D196" s="63">
        <f>18.6/2.4</f>
        <v>7.7500000000000009</v>
      </c>
      <c r="E196" s="54"/>
      <c r="F196" s="54"/>
      <c r="G196" s="54"/>
      <c r="H196" s="54"/>
      <c r="I196" s="52">
        <f t="shared" si="7"/>
        <v>1.8720833333333331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60</v>
      </c>
      <c r="B197" s="63">
        <f>202.47/2.4</f>
        <v>84.362499999999997</v>
      </c>
      <c r="C197" s="63">
        <v>4</v>
      </c>
      <c r="D197" s="63">
        <f>19.8/2.4</f>
        <v>8.25</v>
      </c>
      <c r="E197" s="54"/>
      <c r="F197" s="54"/>
      <c r="G197" s="54"/>
      <c r="H197" s="54"/>
      <c r="I197" s="52">
        <f t="shared" si="7"/>
        <v>1.7724999999999995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70</v>
      </c>
      <c r="B198" s="63">
        <f>222.87/2.4</f>
        <v>92.862500000000011</v>
      </c>
      <c r="C198" s="63">
        <v>5</v>
      </c>
      <c r="D198" s="63">
        <f>20.4/2.4</f>
        <v>8.5</v>
      </c>
      <c r="E198" s="54"/>
      <c r="F198" s="54"/>
      <c r="G198" s="54"/>
      <c r="H198" s="54"/>
      <c r="I198" s="52">
        <f t="shared" si="7"/>
        <v>1.6750000000000014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80</v>
      </c>
      <c r="B199" s="63">
        <f>240.35/2.4</f>
        <v>100.14583333333333</v>
      </c>
      <c r="C199" s="63">
        <v>6</v>
      </c>
      <c r="D199" s="63">
        <f>22/2.4</f>
        <v>9.1666666666666679</v>
      </c>
      <c r="E199" s="54"/>
      <c r="F199" s="54"/>
      <c r="G199" s="54"/>
      <c r="H199" s="54"/>
      <c r="I199" s="52">
        <f t="shared" si="7"/>
        <v>1.5783333333333318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90</v>
      </c>
      <c r="B200" s="63">
        <f>255.38/2.4</f>
        <v>106.40833333333333</v>
      </c>
      <c r="C200" s="63">
        <v>7</v>
      </c>
      <c r="D200" s="63">
        <f>22/2.4</f>
        <v>9.1666666666666679</v>
      </c>
      <c r="E200" s="54"/>
      <c r="F200" s="54"/>
      <c r="G200" s="54"/>
      <c r="H200" s="54"/>
      <c r="I200" s="52">
        <f t="shared" si="7"/>
        <v>1.5429166666666674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>
        <v>100</v>
      </c>
      <c r="B201" s="63">
        <f>268.38/2.4</f>
        <v>111.825</v>
      </c>
      <c r="C201" s="63">
        <v>8</v>
      </c>
      <c r="D201" s="63">
        <f>21.9/2.4</f>
        <v>9.125</v>
      </c>
      <c r="E201" s="54"/>
      <c r="F201" s="54"/>
      <c r="G201" s="54"/>
      <c r="H201" s="54"/>
      <c r="I201" s="52">
        <f t="shared" si="7"/>
        <v>1.4583333333333344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>
        <v>110</v>
      </c>
      <c r="B202" s="63">
        <f>279.68/2.4</f>
        <v>116.53333333333335</v>
      </c>
      <c r="C202" s="63">
        <v>9</v>
      </c>
      <c r="D202" s="63">
        <f>21.7/2.4</f>
        <v>9.0416666666666661</v>
      </c>
      <c r="E202" s="54"/>
      <c r="F202" s="54"/>
      <c r="G202" s="54"/>
      <c r="H202" s="54"/>
      <c r="I202" s="52">
        <f t="shared" si="7"/>
        <v>1.3833333333333342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>
        <v>120</v>
      </c>
      <c r="B203" s="63">
        <f>289.54/2.4</f>
        <v>120.64166666666668</v>
      </c>
      <c r="C203" s="63">
        <v>10</v>
      </c>
      <c r="D203" s="63">
        <f>21.3/2.4</f>
        <v>8.875</v>
      </c>
      <c r="E203" s="54"/>
      <c r="F203" s="54"/>
      <c r="G203" s="54"/>
      <c r="H203" s="54"/>
      <c r="I203" s="52">
        <f t="shared" si="7"/>
        <v>1.3150000000000006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>
        <v>130</v>
      </c>
      <c r="B204" s="63">
        <f>298.18/2.4</f>
        <v>124.24166666666667</v>
      </c>
      <c r="C204" s="63">
        <v>11</v>
      </c>
      <c r="D204" s="63">
        <f>20.9/2.4</f>
        <v>8.7083333333333339</v>
      </c>
      <c r="E204" s="54"/>
      <c r="F204" s="54"/>
      <c r="G204" s="54"/>
      <c r="H204" s="54"/>
      <c r="I204" s="52">
        <f t="shared" si="7"/>
        <v>1.2474999999999994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>
        <v>140</v>
      </c>
      <c r="B205" s="63">
        <f>305.79/2.4</f>
        <v>127.41250000000001</v>
      </c>
      <c r="C205" s="63">
        <v>12</v>
      </c>
      <c r="D205" s="63">
        <f>20.5/2.4</f>
        <v>8.5416666666666679</v>
      </c>
      <c r="E205" s="54"/>
      <c r="F205" s="54"/>
      <c r="G205" s="54"/>
      <c r="H205" s="54"/>
      <c r="I205" s="52">
        <f t="shared" si="7"/>
        <v>1.1879166666666663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>
        <v>150</v>
      </c>
      <c r="B206" s="53">
        <v>130.21250000000001</v>
      </c>
      <c r="C206" s="53">
        <v>13</v>
      </c>
      <c r="D206" s="53">
        <v>130.21250000000001</v>
      </c>
      <c r="E206" s="54"/>
      <c r="F206" s="54"/>
      <c r="G206" s="54"/>
      <c r="H206" s="54"/>
      <c r="I206" s="52">
        <f t="shared" si="7"/>
        <v>1.1341666666666668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Chêne tauzin</v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20</v>
      </c>
      <c r="B218" s="63">
        <v>42</v>
      </c>
      <c r="C218" s="63"/>
      <c r="D218" s="63"/>
      <c r="E218" s="54"/>
      <c r="F218" s="54"/>
      <c r="G218" s="54"/>
      <c r="H218" s="54"/>
      <c r="I218" s="56">
        <f>IFERROR(B218/A218,"")</f>
        <v>2.1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25</v>
      </c>
      <c r="B219" s="63">
        <f>62+8</f>
        <v>70</v>
      </c>
      <c r="C219" s="63"/>
      <c r="D219" s="63"/>
      <c r="E219" s="54"/>
      <c r="F219" s="54"/>
      <c r="G219" s="54"/>
      <c r="H219" s="54"/>
      <c r="I219" s="56">
        <f t="shared" ref="I219:I237" si="8">IF(A219&lt;&gt;0,(B219-(B218-D218))/(A219-A218),"")</f>
        <v>5.6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30</v>
      </c>
      <c r="B220" s="63">
        <f>76+8+21</f>
        <v>105</v>
      </c>
      <c r="C220" s="63">
        <v>1</v>
      </c>
      <c r="D220" s="63">
        <f>8+21</f>
        <v>29</v>
      </c>
      <c r="E220" s="54"/>
      <c r="F220" s="54"/>
      <c r="G220" s="54"/>
      <c r="H220" s="54">
        <v>1</v>
      </c>
      <c r="I220" s="56">
        <f t="shared" si="8"/>
        <v>7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3">
        <v>35</v>
      </c>
      <c r="B221" s="63">
        <f>95+21</f>
        <v>116</v>
      </c>
      <c r="C221" s="63"/>
      <c r="D221" s="63"/>
      <c r="E221" s="54"/>
      <c r="F221" s="54"/>
      <c r="G221" s="54"/>
      <c r="H221" s="54"/>
      <c r="I221" s="56">
        <f t="shared" si="8"/>
        <v>8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3">
        <v>40</v>
      </c>
      <c r="B222" s="63">
        <f>116+21+21</f>
        <v>158</v>
      </c>
      <c r="C222" s="63">
        <v>2</v>
      </c>
      <c r="D222" s="63">
        <f>21+21</f>
        <v>42</v>
      </c>
      <c r="E222" s="54"/>
      <c r="F222" s="54"/>
      <c r="G222" s="54"/>
      <c r="H222" s="54"/>
      <c r="I222" s="56">
        <f t="shared" si="8"/>
        <v>8.4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3">
        <v>45</v>
      </c>
      <c r="B223" s="63">
        <f>137+21</f>
        <v>158</v>
      </c>
      <c r="C223" s="63"/>
      <c r="D223" s="63"/>
      <c r="E223" s="54"/>
      <c r="F223" s="54"/>
      <c r="G223" s="54"/>
      <c r="H223" s="54"/>
      <c r="I223" s="56">
        <f t="shared" si="8"/>
        <v>8.4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3">
        <v>50</v>
      </c>
      <c r="B224" s="63">
        <f>157+21+21</f>
        <v>199</v>
      </c>
      <c r="C224" s="63">
        <v>3</v>
      </c>
      <c r="D224" s="63">
        <f>21+21</f>
        <v>42</v>
      </c>
      <c r="E224" s="54"/>
      <c r="F224" s="54"/>
      <c r="G224" s="54"/>
      <c r="H224" s="54"/>
      <c r="I224" s="56">
        <f t="shared" si="8"/>
        <v>8.1999999999999993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3">
        <v>55</v>
      </c>
      <c r="B225" s="63">
        <f>176+21</f>
        <v>197</v>
      </c>
      <c r="C225" s="63"/>
      <c r="D225" s="63"/>
      <c r="E225" s="54"/>
      <c r="F225" s="54"/>
      <c r="G225" s="54"/>
      <c r="H225" s="54"/>
      <c r="I225" s="56">
        <f t="shared" si="8"/>
        <v>8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3">
        <v>60</v>
      </c>
      <c r="B226" s="53">
        <v>235</v>
      </c>
      <c r="C226" s="53">
        <v>4</v>
      </c>
      <c r="D226" s="53">
        <v>42</v>
      </c>
      <c r="E226" s="54"/>
      <c r="F226" s="54"/>
      <c r="G226" s="54"/>
      <c r="H226" s="54"/>
      <c r="I226" s="56">
        <f t="shared" si="8"/>
        <v>7.6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3">
        <v>65</v>
      </c>
      <c r="B227" s="53">
        <v>229</v>
      </c>
      <c r="C227" s="53"/>
      <c r="D227" s="53"/>
      <c r="E227" s="54"/>
      <c r="F227" s="54"/>
      <c r="G227" s="54"/>
      <c r="H227" s="54"/>
      <c r="I227" s="56">
        <f t="shared" si="8"/>
        <v>7.2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3">
        <v>70</v>
      </c>
      <c r="B228" s="53">
        <v>263</v>
      </c>
      <c r="C228" s="53">
        <v>5</v>
      </c>
      <c r="D228" s="53">
        <v>42</v>
      </c>
      <c r="E228" s="54"/>
      <c r="F228" s="54"/>
      <c r="G228" s="54"/>
      <c r="H228" s="54"/>
      <c r="I228" s="56">
        <f t="shared" si="8"/>
        <v>6.8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3">
        <v>75</v>
      </c>
      <c r="B229" s="53">
        <v>252</v>
      </c>
      <c r="C229" s="53"/>
      <c r="D229" s="53"/>
      <c r="E229" s="54"/>
      <c r="F229" s="54"/>
      <c r="G229" s="54"/>
      <c r="H229" s="54"/>
      <c r="I229" s="56">
        <f t="shared" si="8"/>
        <v>6.2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3">
        <v>80</v>
      </c>
      <c r="B230" s="53">
        <v>282</v>
      </c>
      <c r="C230" s="53">
        <v>6</v>
      </c>
      <c r="D230" s="53">
        <v>42</v>
      </c>
      <c r="E230" s="54"/>
      <c r="F230" s="54"/>
      <c r="G230" s="54"/>
      <c r="H230" s="54"/>
      <c r="I230" s="56">
        <f t="shared" si="8"/>
        <v>6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53">
        <v>90</v>
      </c>
      <c r="B231" s="53">
        <v>296</v>
      </c>
      <c r="C231" s="53">
        <v>7</v>
      </c>
      <c r="D231" s="53">
        <v>42</v>
      </c>
      <c r="E231" s="54"/>
      <c r="F231" s="54"/>
      <c r="G231" s="54"/>
      <c r="H231" s="54"/>
      <c r="I231" s="56">
        <f t="shared" si="8"/>
        <v>5.6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>
        <v>100</v>
      </c>
      <c r="B232" s="53">
        <v>303</v>
      </c>
      <c r="C232" s="53">
        <v>8</v>
      </c>
      <c r="D232" s="53">
        <v>42</v>
      </c>
      <c r="E232" s="54"/>
      <c r="F232" s="54"/>
      <c r="G232" s="54"/>
      <c r="H232" s="54"/>
      <c r="I232" s="56">
        <f t="shared" si="8"/>
        <v>4.9000000000000004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>
        <v>110</v>
      </c>
      <c r="B233" s="53">
        <v>305</v>
      </c>
      <c r="C233" s="53">
        <v>9</v>
      </c>
      <c r="D233" s="53">
        <v>39</v>
      </c>
      <c r="E233" s="54"/>
      <c r="F233" s="54"/>
      <c r="G233" s="54"/>
      <c r="H233" s="54"/>
      <c r="I233" s="56">
        <f t="shared" si="8"/>
        <v>4.4000000000000004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>
        <v>120</v>
      </c>
      <c r="B234" s="53">
        <v>303</v>
      </c>
      <c r="C234" s="53">
        <v>10</v>
      </c>
      <c r="D234" s="53">
        <v>35</v>
      </c>
      <c r="E234" s="54"/>
      <c r="F234" s="54"/>
      <c r="G234" s="54"/>
      <c r="H234" s="54"/>
      <c r="I234" s="56">
        <f t="shared" si="8"/>
        <v>3.7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>
        <v>130</v>
      </c>
      <c r="B235" s="53">
        <v>300</v>
      </c>
      <c r="C235" s="53">
        <v>11</v>
      </c>
      <c r="D235" s="53">
        <v>31</v>
      </c>
      <c r="E235" s="54"/>
      <c r="F235" s="54"/>
      <c r="G235" s="54"/>
      <c r="H235" s="54"/>
      <c r="I235" s="56">
        <f t="shared" si="8"/>
        <v>3.2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>
        <v>140</v>
      </c>
      <c r="B236" s="53">
        <v>296</v>
      </c>
      <c r="C236" s="53">
        <v>12</v>
      </c>
      <c r="D236" s="53">
        <v>27</v>
      </c>
      <c r="E236" s="54"/>
      <c r="F236" s="54"/>
      <c r="G236" s="54"/>
      <c r="H236" s="54"/>
      <c r="I236" s="56">
        <f t="shared" si="8"/>
        <v>2.7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>
        <v>150</v>
      </c>
      <c r="B237" s="53">
        <v>293</v>
      </c>
      <c r="C237" s="53">
        <v>13</v>
      </c>
      <c r="D237" s="53">
        <v>293</v>
      </c>
      <c r="E237" s="54"/>
      <c r="F237" s="54"/>
      <c r="G237" s="54"/>
      <c r="H237" s="54"/>
      <c r="I237" s="56">
        <f t="shared" si="8"/>
        <v>2.4</v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F8" sqref="F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Châtaignier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taeda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Pin maritime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Bouleau verruqueux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Charme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Pin pignon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>Chêne tauzin</v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303.73499739059076</v>
      </c>
      <c r="T3" s="62">
        <f>IF('Données projet'!E9&gt;30,$R$33-$H$33,LOOKUP('Données projet'!$E$9,$A$3:$A$203,R3:R203)-LOOKUP('Données projet'!$E$9,$A$3:$A$203,$H$3:$H$203))</f>
        <v>172.32171001882188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215.66498680344858</v>
      </c>
      <c r="AO3" s="62">
        <f>IF('Données projet'!E10&gt;30,$AM$33-$H$33,LOOKUP('Données projet'!$E$10,$A$3:$A$203,AM3:AM203)-LOOKUP('Données projet'!$E$10,$A$3:$A$203,$H$3:$H$203))</f>
        <v>199.86715787211114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155.11440101086782</v>
      </c>
      <c r="BJ3" s="62">
        <f>IF('Données projet'!E11&gt;30,$BH$33-$H$33,LOOKUP('Données projet'!$E$11,$A$3:$A$203,BH3:BH203)-LOOKUP('Données projet'!$E$11,$A$3:$A$203,$H$3:$H$203))</f>
        <v>239.53454701506638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155.11440101086782</v>
      </c>
      <c r="CE3" s="62">
        <f>IF('Données projet'!E12&gt;30,$CC$33-$H$33,LOOKUP('Données projet'!$E$12,$A$3:$A$203,CC3:CC203)-LOOKUP('Données projet'!$E$12,$A$3:$A$203,$H$3:$H$203))</f>
        <v>239.53454701506638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293.33333333333331</v>
      </c>
      <c r="CY3" s="62">
        <f ca="1">AVERAGE(OFFSET($CX$3,0,0,'Données projet'!$E$13+1,1))-AVERAGE(OFFSET($H$3,0,0,'Données projet'!$E$13+1,1))</f>
        <v>191.03017979797141</v>
      </c>
      <c r="CZ3" s="62">
        <f>IF('Données projet'!E13&gt;30,$CX$33-$H$33,LOOKUP('Données projet'!$E$13,$A$3:$A$203,CX3:CX203)-LOOKUP('Données projet'!$E$13,$A$3:$A$203,$H$3:$H$203))</f>
        <v>222.78252111624278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293.33333333333331</v>
      </c>
      <c r="DT3" s="62">
        <f ca="1">AVERAGE(OFFSET($DS$3,0,0,'Données projet'!$E$14+1,1))-AVERAGE(OFFSET($H$3,0,0,'Données projet'!$E$14+1,1))</f>
        <v>260.93525280373063</v>
      </c>
      <c r="DU3" s="62">
        <f>IF('Données projet'!E14&gt;30,$DS$33-$H$33,LOOKUP('Données projet'!$E$14,$A$3:$A$203,DS3:DS203)-LOOKUP('Données projet'!$E$14,$A$3:$A$203,$H$3:$H$203))</f>
        <v>206.83968452163816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293.33333333333331</v>
      </c>
      <c r="EO3" s="62">
        <f ca="1">AVERAGE(OFFSET($EN$3,0,0,'Données projet'!$E$15+1,1))-AVERAGE(OFFSET($H$3,0,0,'Données projet'!$E$15+1,1))</f>
        <v>118.01099353898547</v>
      </c>
      <c r="EP3" s="62">
        <f>IF('Données projet'!E15&gt;30,$EN$33-$H$33,LOOKUP('Données projet'!$E$15,$A$3:$A$203,EN3:EN203)-LOOKUP('Données projet'!$E$15,$A$3:$A$203,$H$3:$H$203))</f>
        <v>103.17146760845947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293.33333333333331</v>
      </c>
      <c r="FJ3" s="62">
        <f ca="1">AVERAGE(OFFSET($FI$3,0,0,'Données projet'!$E$16+1,1))-AVERAGE(OFFSET($H$3,0,0,'Données projet'!$E$16+1,1))</f>
        <v>343.71044073996887</v>
      </c>
      <c r="FK3" s="62">
        <f>IF('Données projet'!E16&gt;30,$FI$33-$H$33,LOOKUP('Données projet'!$E$16,$A$3:$A$203,FI3:FI203)-LOOKUP('Données projet'!$E$16,$A$3:$A$203,$H$3:$H$203))</f>
        <v>193.51732627292375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2">
        <f t="shared" si="0"/>
        <v>296.09965856715894</v>
      </c>
      <c r="S4" s="62">
        <f ca="1">AVERAGE(OFFSET($R$3,0,0,'Données projet'!$E$9+1,1))-AVERAGE(OFFSET($H$3,0,0,'Données projet'!$E$9+1,1))</f>
        <v>303.73499739059076</v>
      </c>
      <c r="T4" s="62">
        <f>$T$3</f>
        <v>172.32171001882188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2.4666666666666668</v>
      </c>
      <c r="AI4" s="14">
        <f>IF('Données projet'!$A$62&gt;35,AI3+AH4-AQ3,IF(A4&lt;'Données projet'!$A$62,$AF$205^A4,IF(A4='Données projet'!$A$62,'Données projet'!$B$62,AI3+AH4-AQ3)))</f>
        <v>1.2721747796233518</v>
      </c>
      <c r="AJ4" s="14">
        <f>AI4*VLOOKUP('Données projet'!$B$10,Paramètres!$A$1:$I$89,3,0)*VLOOKUP('Données projet'!$B$10,Paramètres!$A$1:$I$89,5,0)</f>
        <v>0.9327585484198414</v>
      </c>
      <c r="AK4" s="14">
        <f>EXP(-1.0587+0.8836*LN(AJ4)+0.284)</f>
        <v>0.43335135961225768</v>
      </c>
      <c r="AL4" s="22">
        <f t="shared" ref="AL4:AL67" si="4">(AJ4+AK4)*0.475*44/12</f>
        <v>2.3793080898225729</v>
      </c>
      <c r="AM4" s="62">
        <f t="shared" ref="AM4:AM67" si="5">AL4+(AD4+AE4)*44/12</f>
        <v>295.7126414231559</v>
      </c>
      <c r="AN4" s="62">
        <f ca="1">AVERAGE(OFFSET($AM$3,0,0,'Données projet'!$E$10+1,1))-AVERAGE(OFFSET($H$3,0,0,'Données projet'!$E$10+1,1))</f>
        <v>215.66498680344858</v>
      </c>
      <c r="AO4" s="62">
        <f>$AO$3</f>
        <v>199.86715787211114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3.2416666666666667</v>
      </c>
      <c r="BD4" s="13">
        <f>IF('Données projet'!$A$88&gt;35,BD3+BC4-BL3,IF(A4&lt;'Données projet'!$A$88,$BA$205^A4,IF(A4='Données projet'!$A$88,'Données projet'!$B$88,BD3+BC4-BL3)))</f>
        <v>1.35673740976754</v>
      </c>
      <c r="BE4" s="14">
        <f>BD4*VLOOKUP('Données projet'!$B$11,Paramètres!$A$1:$I$89,3,0)*VLOOKUP('Données projet'!$B$11,Paramètres!$A$1:$I$89,5,0)</f>
        <v>0.811328971040989</v>
      </c>
      <c r="BF4" s="14">
        <f>EXP(-1.0587+0.8836*LN(BE4)+0.284)</f>
        <v>0.38310561741554328</v>
      </c>
      <c r="BG4" s="22">
        <f t="shared" ref="BG4:BG67" si="7">(BE4+BF4)*0.475*44/12</f>
        <v>2.0803069082284602</v>
      </c>
      <c r="BH4" s="62">
        <f t="shared" ref="BH4:BH67" si="8">BG4+(AY4+AZ4)*44/12</f>
        <v>295.41364024156178</v>
      </c>
      <c r="BI4" s="62">
        <f ca="1">AVERAGE(OFFSET($BH$3,0,0,'Données projet'!$E$11+1,1))-AVERAGE(OFFSET($H$3,0,0,'Données projet'!$E$11+1,1))</f>
        <v>155.11440101086782</v>
      </c>
      <c r="BJ4" s="62">
        <f>$BJ$3</f>
        <v>239.53454701506638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3.2416666666666667</v>
      </c>
      <c r="BY4" s="13">
        <f>IF('Données projet'!$A$114&gt;35,BY3+BX4-CG3,IF(A4&lt;'Données projet'!$A$114,$BV$205^A4,IF(A4='Données projet'!$A$114,'Données projet'!$B$114,BY3+BX4-CG3)))</f>
        <v>1.35673740976754</v>
      </c>
      <c r="BZ4" s="14">
        <f>BY4*VLOOKUP('Données projet'!$B$12,Paramètres!$A$1:$I$89,3,0)*VLOOKUP('Données projet'!$B$12,Paramètres!$A$1:$I$89,5,0)</f>
        <v>0.811328971040989</v>
      </c>
      <c r="CA4" s="14">
        <f>EXP(-1.0587+0.8836*LN(BZ4)+0.284)</f>
        <v>0.38310561741554328</v>
      </c>
      <c r="CB4" s="22">
        <f t="shared" ref="CB4:CB67" si="10">(BZ4+CA4)*0.475*44/12</f>
        <v>2.0803069082284602</v>
      </c>
      <c r="CC4" s="62">
        <f t="shared" ref="CC4:CC67" si="11">CB4+(BT4+BU4)*44/12</f>
        <v>295.41364024156178</v>
      </c>
      <c r="CD4" s="62">
        <f ca="1">AVERAGE(OFFSET($CC$3,0,0,'Données projet'!$E$12+1,1))-AVERAGE(OFFSET($H$3,0,0,'Données projet'!$E$12+1,1))</f>
        <v>155.11440101086782</v>
      </c>
      <c r="CE4" s="62">
        <f>$CE$3</f>
        <v>239.53454701506638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0.9</v>
      </c>
      <c r="CT4" s="13">
        <f>IF('Données projet'!$A$140&gt;35,CT3+CS4-DB3,IF(A4&lt;'Données projet'!$A$140,$CQ$205^A4,IF(A4='Données projet'!$A$140,'Données projet'!$B$140,CT3+CS4-DB3)))</f>
        <v>1.2457309396155174</v>
      </c>
      <c r="CU4" s="18">
        <f>CT4*VLOOKUP('Données projet'!$B$13,Paramètres!$A$1:$I$89,3,0)*VLOOKUP('Données projet'!$B$13,Paramètres!$A$1:$I$89,5,0)</f>
        <v>1.0105369382161078</v>
      </c>
      <c r="CV4" s="14">
        <f>EXP(-1.0587+0.8836*LN(CU4)+0.284)</f>
        <v>0.46513003316107315</v>
      </c>
      <c r="CW4" s="22">
        <f t="shared" ref="CW4:CW67" si="13">(CU4+CV4)*0.475*44/12</f>
        <v>2.5701199751485899</v>
      </c>
      <c r="CX4" s="62">
        <f t="shared" ref="CX4:CX67" si="14">CW4+(CO4+CP4)*44/12</f>
        <v>295.90345330848191</v>
      </c>
      <c r="CY4" s="62">
        <f ca="1">AVERAGE(OFFSET($CX$3,0,0,'Données projet'!$E$13+1,1))-AVERAGE(OFFSET($H$3,0,0,'Données projet'!$E$13+1,1))</f>
        <v>191.03017979797141</v>
      </c>
      <c r="CZ4" s="62">
        <f>$CZ$3</f>
        <v>222.78252111624278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2.4358974358974361</v>
      </c>
      <c r="DO4" s="13">
        <f>IF('Données projet'!$A$166&gt;35,DO3+DN4-DW3,IF(A4&lt;'Données projet'!$A$166,$DL$205^A4,IF(A4='Données projet'!$A$166,'Données projet'!$B$166,DO3+DN4-DW3)))</f>
        <v>1.2711106295585217</v>
      </c>
      <c r="DP4" s="18">
        <f>DO4*VLOOKUP('Données projet'!$B$14,Paramètres!$A$1:$I$89,3,0)*VLOOKUP('Données projet'!$B$14,Paramètres!$A$1:$I$89,5,0)</f>
        <v>1.2095888750878894</v>
      </c>
      <c r="DQ4" s="14">
        <f>EXP(-1.0587+0.8836*LN(DP4)+0.284)</f>
        <v>0.5452187850680178</v>
      </c>
      <c r="DR4" s="22">
        <f t="shared" ref="DR4:DR67" si="16">(DP4+DQ4)*0.475*44/12</f>
        <v>3.0562900081048716</v>
      </c>
      <c r="DS4" s="62">
        <f t="shared" ref="DS4:DS67" si="17">DR4+(DJ4+DK4)*44/12</f>
        <v>296.38962334143821</v>
      </c>
      <c r="DT4" s="62">
        <f ca="1">AVERAGE(OFFSET($DS$3,0,0,'Données projet'!$E$14+1,1))-AVERAGE(OFFSET($H$3,0,0,'Données projet'!$E$14+1,1))</f>
        <v>260.93525280373063</v>
      </c>
      <c r="DU4" s="62">
        <f>$DU$3</f>
        <v>206.83968452163816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1.5341666666666667</v>
      </c>
      <c r="EJ4" s="13">
        <f>IF('Données projet'!$A$192&gt;35,EJ3+EI4-ER3,IF(A4&lt;'Données projet'!$A$192,$EG$205^A4,IF(A4='Données projet'!$A$192,'Données projet'!$B$192,EJ3+EI4-ER3)))</f>
        <v>1.3139754596796083</v>
      </c>
      <c r="EK4" s="18">
        <f>EJ4*VLOOKUP('Données projet'!$B$15,Paramètres!$A$1:$I$89,3,0)*VLOOKUP('Données projet'!$B$15,Paramètres!$A$1:$I$89,5,0)</f>
        <v>1.5136997295509085</v>
      </c>
      <c r="EL4" s="14">
        <f>EXP(-1.0587+0.8836*LN(EK4)+0.284)</f>
        <v>0.66471453171137918</v>
      </c>
      <c r="EM4" s="22">
        <f t="shared" ref="EM4:EM67" si="19">(EK4+EL4)*0.475*44/12</f>
        <v>3.7940715050318166</v>
      </c>
      <c r="EN4" s="62">
        <f t="shared" ref="EN4:EN67" si="20">EM4+(EE4+EF4)*44/12</f>
        <v>297.12740483836512</v>
      </c>
      <c r="EO4" s="62">
        <f ca="1">AVERAGE(OFFSET($EN$3,0,0,'Données projet'!$E$15+1,1))-AVERAGE(OFFSET($H$3,0,0,'Données projet'!$E$15+1,1))</f>
        <v>118.01099353898547</v>
      </c>
      <c r="EP4" s="62">
        <f>$EP$3</f>
        <v>103.17146760845947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2.1</v>
      </c>
      <c r="FE4" s="13">
        <f>IF('Données projet'!$A$218&gt;35,FE3+FD4-FM3,IF(A4&lt;'Données projet'!$A$218,$FB$205^A4,IF(A4='Données projet'!$A$218,'Données projet'!$B$218,FE3+FD4-FM3)))</f>
        <v>1.2054868146447177</v>
      </c>
      <c r="FF4" s="18">
        <f>FE4*VLOOKUP('Données projet'!$B$16,Paramètres!$A$1:$I$89,3,0)*VLOOKUP('Données projet'!$B$16,Paramètres!$A$1:$I$89,5,0)</f>
        <v>1.2035580357412863</v>
      </c>
      <c r="FG4" s="14">
        <f>EXP(-1.0587+0.8836*LN(FF4)+0.284)</f>
        <v>0.54281612277887337</v>
      </c>
      <c r="FH4" s="22">
        <f t="shared" ref="FH4:FH67" si="22">(FF4+FG4)*0.475*44/12</f>
        <v>3.0416016594226112</v>
      </c>
      <c r="FI4" s="62">
        <f t="shared" ref="FI4:FI67" si="23">FH4+(EZ4+FA4)*44/12</f>
        <v>296.37493499275593</v>
      </c>
      <c r="FJ4" s="62">
        <f ca="1">AVERAGE(OFFSET($FI$3,0,0,'Données projet'!$E$16+1,1))-AVERAGE(OFFSET($H$3,0,0,'Données projet'!$E$16+1,1))</f>
        <v>343.71044073996887</v>
      </c>
      <c r="FK4" s="62">
        <f>$FK$3</f>
        <v>193.51732627292375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2">
        <f t="shared" si="0"/>
        <v>296.64562104315422</v>
      </c>
      <c r="S5" s="62">
        <f ca="1">AVERAGE(OFFSET($R$3,0,0,'Données projet'!$E$9+1,1))-AVERAGE(OFFSET($H$3,0,0,'Données projet'!$E$9+1,1))</f>
        <v>303.73499739059076</v>
      </c>
      <c r="T5" s="62">
        <f t="shared" ref="T5:T68" si="34">$T$3</f>
        <v>172.32171001882188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2.4666666666666668</v>
      </c>
      <c r="AI5" s="14">
        <f>IF('Données projet'!$A$62&gt;35,AI4+AH5-AQ4,IF(A5&lt;'Données projet'!$A$62,$AF$205^A5,IF(A5='Données projet'!$A$62,'Données projet'!$B$62,AI4+AH5-AQ4)))</f>
        <v>1.6184286699097237</v>
      </c>
      <c r="AJ5" s="14">
        <f>AI5*VLOOKUP('Données projet'!$B$10,Paramètres!$A$1:$I$89,3,0)*VLOOKUP('Données projet'!$B$10,Paramètres!$A$1:$I$89,5,0)</f>
        <v>1.1866319007778094</v>
      </c>
      <c r="AK5" s="14">
        <f t="shared" ref="AK5:AK68" si="35">EXP(-1.0587+0.8836*LN(AJ5)+0.284)</f>
        <v>0.53606530474621483</v>
      </c>
      <c r="AL5" s="22">
        <f t="shared" si="4"/>
        <v>3.0003642996210083</v>
      </c>
      <c r="AM5" s="62">
        <f t="shared" si="5"/>
        <v>296.33369763295434</v>
      </c>
      <c r="AN5" s="62">
        <f ca="1">AVERAGE(OFFSET($AM$3,0,0,'Données projet'!$E$10+1,1))-AVERAGE(OFFSET($H$3,0,0,'Données projet'!$E$10+1,1))</f>
        <v>215.66498680344858</v>
      </c>
      <c r="AO5" s="62">
        <f t="shared" ref="AO5:AO68" si="36">$AO$3</f>
        <v>199.86715787211114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3.2416666666666667</v>
      </c>
      <c r="BD5" s="13">
        <f>IF('Données projet'!$A$88&gt;35,BD4+BC5-BL4,IF(A5&lt;'Données projet'!$A$88,$BA$205^A5,IF(A5='Données projet'!$A$88,'Données projet'!$B$88,BD4+BC5-BL4)))</f>
        <v>1.8407363990627337</v>
      </c>
      <c r="BE5" s="14">
        <f>BD5*VLOOKUP('Données projet'!$B$11,Paramètres!$A$1:$I$89,3,0)*VLOOKUP('Données projet'!$B$11,Paramètres!$A$1:$I$89,5,0)</f>
        <v>1.1007603666395147</v>
      </c>
      <c r="BF5" s="14">
        <f t="shared" ref="BF5:BF68" si="37">EXP(-1.0587+0.8836*LN(BE5)+0.284)</f>
        <v>0.50163959551967263</v>
      </c>
      <c r="BG5" s="22">
        <f t="shared" si="7"/>
        <v>2.7908466007605846</v>
      </c>
      <c r="BH5" s="62">
        <f t="shared" si="8"/>
        <v>296.12417993409389</v>
      </c>
      <c r="BI5" s="62">
        <f ca="1">AVERAGE(OFFSET($BH$3,0,0,'Données projet'!$E$11+1,1))-AVERAGE(OFFSET($H$3,0,0,'Données projet'!$E$11+1,1))</f>
        <v>155.11440101086782</v>
      </c>
      <c r="BJ5" s="62">
        <f t="shared" ref="BJ5:BJ68" si="38">$BJ$3</f>
        <v>239.53454701506638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3.2416666666666667</v>
      </c>
      <c r="BY5" s="13">
        <f>IF('Données projet'!$A$114&gt;35,BY4+BX5-CG4,IF(A5&lt;'Données projet'!$A$114,$BV$205^A5,IF(A5='Données projet'!$A$114,'Données projet'!$B$114,BY4+BX5-CG4)))</f>
        <v>1.8407363990627337</v>
      </c>
      <c r="BZ5" s="14">
        <f>BY5*VLOOKUP('Données projet'!$B$12,Paramètres!$A$1:$I$89,3,0)*VLOOKUP('Données projet'!$B$12,Paramètres!$A$1:$I$89,5,0)</f>
        <v>1.1007603666395147</v>
      </c>
      <c r="CA5" s="14">
        <f t="shared" ref="CA5:CA68" si="39">EXP(-1.0587+0.8836*LN(BZ5)+0.284)</f>
        <v>0.50163959551967263</v>
      </c>
      <c r="CB5" s="22">
        <f t="shared" si="10"/>
        <v>2.7908466007605846</v>
      </c>
      <c r="CC5" s="62">
        <f t="shared" si="11"/>
        <v>296.12417993409389</v>
      </c>
      <c r="CD5" s="62">
        <f ca="1">AVERAGE(OFFSET($CC$3,0,0,'Données projet'!$E$12+1,1))-AVERAGE(OFFSET($H$3,0,0,'Données projet'!$E$12+1,1))</f>
        <v>155.11440101086782</v>
      </c>
      <c r="CE5" s="62">
        <f t="shared" ref="CE5:CE68" si="40">$CE$3</f>
        <v>239.53454701506638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0.9</v>
      </c>
      <c r="CT5" s="13">
        <f>IF('Données projet'!$A$140&gt;35,CT4+CS5-DB4,IF(A5&lt;'Données projet'!$A$140,$CQ$205^A5,IF(A5='Données projet'!$A$140,'Données projet'!$B$140,CT4+CS5-DB4)))</f>
        <v>1.5518455739153598</v>
      </c>
      <c r="CU5" s="18">
        <f>CT5*VLOOKUP('Données projet'!$B$13,Paramètres!$A$1:$I$89,3,0)*VLOOKUP('Données projet'!$B$13,Paramètres!$A$1:$I$89,5,0)</f>
        <v>1.2588571295601401</v>
      </c>
      <c r="CV5" s="14">
        <f t="shared" ref="CV5:CV68" si="41">EXP(-1.0587+0.8836*LN(CU5)+0.284)</f>
        <v>0.56479552972512193</v>
      </c>
      <c r="CW5" s="22">
        <f t="shared" si="13"/>
        <v>3.1761950482551646</v>
      </c>
      <c r="CX5" s="62">
        <f t="shared" si="14"/>
        <v>296.5095283815885</v>
      </c>
      <c r="CY5" s="62">
        <f ca="1">AVERAGE(OFFSET($CX$3,0,0,'Données projet'!$E$13+1,1))-AVERAGE(OFFSET($H$3,0,0,'Données projet'!$E$13+1,1))</f>
        <v>191.03017979797141</v>
      </c>
      <c r="CZ5" s="62">
        <f t="shared" ref="CZ5:CZ68" si="42">$CZ$3</f>
        <v>222.78252111624278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2.4358974358974361</v>
      </c>
      <c r="DO5" s="13">
        <f>IF('Données projet'!$A$166&gt;35,DO4+DN5-DW4,IF(A5&lt;'Données projet'!$A$166,$DL$205^A5,IF(A5='Données projet'!$A$166,'Données projet'!$B$166,DO4+DN5-DW4)))</f>
        <v>1.6157222325766614</v>
      </c>
      <c r="DP5" s="18">
        <f>DO5*VLOOKUP('Données projet'!$B$14,Paramètres!$A$1:$I$89,3,0)*VLOOKUP('Données projet'!$B$14,Paramètres!$A$1:$I$89,5,0)</f>
        <v>1.5375212765199511</v>
      </c>
      <c r="DQ5" s="14">
        <f t="shared" ref="DQ5:DQ68" si="43">EXP(-1.0587+0.8836*LN(DP5)+0.284)</f>
        <v>0.67394928852564717</v>
      </c>
      <c r="DR5" s="22">
        <f t="shared" si="16"/>
        <v>3.8516445674544162</v>
      </c>
      <c r="DS5" s="62">
        <f t="shared" si="17"/>
        <v>297.18497790078771</v>
      </c>
      <c r="DT5" s="62">
        <f ca="1">AVERAGE(OFFSET($DS$3,0,0,'Données projet'!$E$14+1,1))-AVERAGE(OFFSET($H$3,0,0,'Données projet'!$E$14+1,1))</f>
        <v>260.93525280373063</v>
      </c>
      <c r="DU5" s="62">
        <f t="shared" ref="DU5:DU68" si="44">$DU$3</f>
        <v>206.83968452163816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1.5341666666666667</v>
      </c>
      <c r="EJ5" s="13">
        <f>IF('Données projet'!$A$192&gt;35,EJ4+EI5-ER4,IF(A5&lt;'Données projet'!$A$192,$EG$205^A5,IF(A5='Données projet'!$A$192,'Données projet'!$B$192,EJ4+EI5-ER4)))</f>
        <v>1.726531508640238</v>
      </c>
      <c r="EK5" s="18">
        <f>EJ5*VLOOKUP('Données projet'!$B$15,Paramètres!$A$1:$I$89,3,0)*VLOOKUP('Données projet'!$B$15,Paramètres!$A$1:$I$89,5,0)</f>
        <v>1.988964297953554</v>
      </c>
      <c r="EL5" s="14">
        <f t="shared" ref="EL5:EL68" si="45">EXP(-1.0587+0.8836*LN(EK5)+0.284)</f>
        <v>0.84609449833706862</v>
      </c>
      <c r="EM5" s="22">
        <f t="shared" si="19"/>
        <v>4.9377274035395011</v>
      </c>
      <c r="EN5" s="62">
        <f t="shared" si="20"/>
        <v>298.27106073687281</v>
      </c>
      <c r="EO5" s="62">
        <f ca="1">AVERAGE(OFFSET($EN$3,0,0,'Données projet'!$E$15+1,1))-AVERAGE(OFFSET($H$3,0,0,'Données projet'!$E$15+1,1))</f>
        <v>118.01099353898547</v>
      </c>
      <c r="EP5" s="62">
        <f t="shared" ref="EP5:EP68" si="46">$EP$3</f>
        <v>103.17146760845947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2.1</v>
      </c>
      <c r="FE5" s="13">
        <f>IF('Données projet'!$A$218&gt;35,FE4+FD5-FM4,IF(A5&lt;'Données projet'!$A$218,$FB$205^A5,IF(A5='Données projet'!$A$218,'Données projet'!$B$218,FE4+FD5-FM4)))</f>
        <v>1.4531984602822681</v>
      </c>
      <c r="FF5" s="18">
        <f>FE5*VLOOKUP('Données projet'!$B$16,Paramètres!$A$1:$I$89,3,0)*VLOOKUP('Données projet'!$B$16,Paramètres!$A$1:$I$89,5,0)</f>
        <v>1.4508733427458165</v>
      </c>
      <c r="FG5" s="14">
        <f t="shared" ref="FG5:FG68" si="47">EXP(-1.0587+0.8836*LN(FF5)+0.284)</f>
        <v>0.64027698656724041</v>
      </c>
      <c r="FH5" s="22">
        <f t="shared" si="22"/>
        <v>3.6420868235535733</v>
      </c>
      <c r="FI5" s="62">
        <f t="shared" si="23"/>
        <v>296.97542015688691</v>
      </c>
      <c r="FJ5" s="62">
        <f ca="1">AVERAGE(OFFSET($FI$3,0,0,'Données projet'!$E$16+1,1))-AVERAGE(OFFSET($H$3,0,0,'Données projet'!$E$16+1,1))</f>
        <v>343.71044073996887</v>
      </c>
      <c r="FK5" s="62">
        <f t="shared" ref="FK5:FK68" si="48">$FK$3</f>
        <v>193.51732627292375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1.5850391202371266</v>
      </c>
      <c r="P6" s="14">
        <f t="shared" si="33"/>
        <v>0.69232082604846479</v>
      </c>
      <c r="Q6" s="22">
        <f t="shared" si="2"/>
        <v>3.966401906447405</v>
      </c>
      <c r="R6" s="62">
        <f t="shared" si="0"/>
        <v>297.29973523978072</v>
      </c>
      <c r="S6" s="62">
        <f ca="1">AVERAGE(OFFSET($R$3,0,0,'Données projet'!$E$9+1,1))-AVERAGE(OFFSET($H$3,0,0,'Données projet'!$E$9+1,1))</f>
        <v>303.73499739059076</v>
      </c>
      <c r="T6" s="62">
        <f t="shared" si="34"/>
        <v>172.32171001882188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2.4666666666666668</v>
      </c>
      <c r="AI6" s="14">
        <f>IF('Données projet'!$A$62&gt;35,AI5+AH6-AQ5,IF(A6&lt;'Données projet'!$A$62,$AF$205^A6,IF(A6='Données projet'!$A$62,'Données projet'!$B$62,AI5+AH6-AQ5)))</f>
        <v>2.0589241364785171</v>
      </c>
      <c r="AJ6" s="14">
        <f>AI6*VLOOKUP('Données projet'!$B$10,Paramètres!$A$1:$I$89,3,0)*VLOOKUP('Données projet'!$B$10,Paramètres!$A$1:$I$89,5,0)</f>
        <v>1.5096031768660487</v>
      </c>
      <c r="AK6" s="14">
        <f t="shared" si="35"/>
        <v>0.66312474757151718</v>
      </c>
      <c r="AL6" s="22">
        <f t="shared" si="4"/>
        <v>3.7841678017287599</v>
      </c>
      <c r="AM6" s="62">
        <f t="shared" si="5"/>
        <v>297.11750113506207</v>
      </c>
      <c r="AN6" s="62">
        <f ca="1">AVERAGE(OFFSET($AM$3,0,0,'Données projet'!$E$10+1,1))-AVERAGE(OFFSET($H$3,0,0,'Données projet'!$E$10+1,1))</f>
        <v>215.66498680344858</v>
      </c>
      <c r="AO6" s="62">
        <f t="shared" si="36"/>
        <v>199.86715787211114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3.2416666666666667</v>
      </c>
      <c r="BD6" s="13">
        <f>IF('Données projet'!$A$88&gt;35,BD5+BC6-BL5,IF(A6&lt;'Données projet'!$A$88,$BA$205^A6,IF(A6='Données projet'!$A$88,'Données projet'!$B$88,BD5+BC6-BL5)))</f>
        <v>2.497395934129202</v>
      </c>
      <c r="BE6" s="14">
        <f>BD6*VLOOKUP('Données projet'!$B$11,Paramètres!$A$1:$I$89,3,0)*VLOOKUP('Données projet'!$B$11,Paramètres!$A$1:$I$89,5,0)</f>
        <v>1.4934427686092631</v>
      </c>
      <c r="BF6" s="14">
        <f t="shared" si="37"/>
        <v>0.65684832681581917</v>
      </c>
      <c r="BG6" s="22">
        <f t="shared" si="7"/>
        <v>3.745090324532018</v>
      </c>
      <c r="BH6" s="62">
        <f t="shared" si="8"/>
        <v>297.07842365786536</v>
      </c>
      <c r="BI6" s="62">
        <f ca="1">AVERAGE(OFFSET($BH$3,0,0,'Données projet'!$E$11+1,1))-AVERAGE(OFFSET($H$3,0,0,'Données projet'!$E$11+1,1))</f>
        <v>155.11440101086782</v>
      </c>
      <c r="BJ6" s="62">
        <f t="shared" si="38"/>
        <v>239.53454701506638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3.2416666666666667</v>
      </c>
      <c r="BY6" s="13">
        <f>IF('Données projet'!$A$114&gt;35,BY5+BX6-CG5,IF(A6&lt;'Données projet'!$A$114,$BV$205^A6,IF(A6='Données projet'!$A$114,'Données projet'!$B$114,BY5+BX6-CG5)))</f>
        <v>2.497395934129202</v>
      </c>
      <c r="BZ6" s="14">
        <f>BY6*VLOOKUP('Données projet'!$B$12,Paramètres!$A$1:$I$89,3,0)*VLOOKUP('Données projet'!$B$12,Paramètres!$A$1:$I$89,5,0)</f>
        <v>1.4934427686092631</v>
      </c>
      <c r="CA6" s="14">
        <f t="shared" si="39"/>
        <v>0.65684832681581917</v>
      </c>
      <c r="CB6" s="22">
        <f t="shared" si="10"/>
        <v>3.745090324532018</v>
      </c>
      <c r="CC6" s="62">
        <f t="shared" si="11"/>
        <v>297.07842365786536</v>
      </c>
      <c r="CD6" s="62">
        <f ca="1">AVERAGE(OFFSET($CC$3,0,0,'Données projet'!$E$12+1,1))-AVERAGE(OFFSET($H$3,0,0,'Données projet'!$E$12+1,1))</f>
        <v>155.11440101086782</v>
      </c>
      <c r="CE6" s="62">
        <f t="shared" si="40"/>
        <v>239.53454701506638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0.9</v>
      </c>
      <c r="CT6" s="13">
        <f>IF('Données projet'!$A$140&gt;35,CT5+CS6-DB5,IF(A6&lt;'Données projet'!$A$140,$CQ$205^A6,IF(A6='Données projet'!$A$140,'Données projet'!$B$140,CT5+CS6-DB5)))</f>
        <v>1.9331820449317632</v>
      </c>
      <c r="CU6" s="18">
        <f>CT6*VLOOKUP('Données projet'!$B$13,Paramètres!$A$1:$I$89,3,0)*VLOOKUP('Données projet'!$B$13,Paramètres!$A$1:$I$89,5,0)</f>
        <v>1.5681972748486466</v>
      </c>
      <c r="CV6" s="14">
        <f t="shared" si="41"/>
        <v>0.68581679886281277</v>
      </c>
      <c r="CW6" s="22">
        <f t="shared" si="13"/>
        <v>3.9257411783807914</v>
      </c>
      <c r="CX6" s="62">
        <f t="shared" si="14"/>
        <v>297.25907451171412</v>
      </c>
      <c r="CY6" s="62">
        <f ca="1">AVERAGE(OFFSET($CX$3,0,0,'Données projet'!$E$13+1,1))-AVERAGE(OFFSET($H$3,0,0,'Données projet'!$E$13+1,1))</f>
        <v>191.03017979797141</v>
      </c>
      <c r="CZ6" s="62">
        <f t="shared" si="42"/>
        <v>222.78252111624278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2.4358974358974361</v>
      </c>
      <c r="DO6" s="13">
        <f>IF('Données projet'!$A$166&gt;35,DO5+DN6-DW5,IF(A6&lt;'Données projet'!$A$166,$DL$205^A6,IF(A6='Données projet'!$A$166,'Données projet'!$B$166,DO5+DN6-DW5)))</f>
        <v>2.0537617042422203</v>
      </c>
      <c r="DP6" s="18">
        <f>DO6*VLOOKUP('Données projet'!$B$14,Paramètres!$A$1:$I$89,3,0)*VLOOKUP('Données projet'!$B$14,Paramètres!$A$1:$I$89,5,0)</f>
        <v>1.9543596377568968</v>
      </c>
      <c r="DQ6" s="14">
        <f t="shared" si="43"/>
        <v>0.83307409051865666</v>
      </c>
      <c r="DR6" s="22">
        <f t="shared" si="16"/>
        <v>4.8547804100799219</v>
      </c>
      <c r="DS6" s="62">
        <f t="shared" si="17"/>
        <v>298.18811374341323</v>
      </c>
      <c r="DT6" s="62">
        <f ca="1">AVERAGE(OFFSET($DS$3,0,0,'Données projet'!$E$14+1,1))-AVERAGE(OFFSET($H$3,0,0,'Données projet'!$E$14+1,1))</f>
        <v>260.93525280373063</v>
      </c>
      <c r="DU6" s="62">
        <f t="shared" si="44"/>
        <v>206.83968452163816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1.5341666666666667</v>
      </c>
      <c r="EJ6" s="13">
        <f>IF('Données projet'!$A$192&gt;35,EJ5+EI6-ER5,IF(A6&lt;'Données projet'!$A$192,$EG$205^A6,IF(A6='Données projet'!$A$192,'Données projet'!$B$192,EJ5+EI6-ER5)))</f>
        <v>2.2686200327168842</v>
      </c>
      <c r="EK6" s="18">
        <f>EJ6*VLOOKUP('Données projet'!$B$15,Paramètres!$A$1:$I$89,3,0)*VLOOKUP('Données projet'!$B$15,Paramètres!$A$1:$I$89,5,0)</f>
        <v>2.6134502776898505</v>
      </c>
      <c r="EL6" s="14">
        <f t="shared" si="45"/>
        <v>1.0769674288196409</v>
      </c>
      <c r="EM6" s="22">
        <f t="shared" si="19"/>
        <v>6.4274775055040303</v>
      </c>
      <c r="EN6" s="62">
        <f t="shared" si="20"/>
        <v>299.76081083883736</v>
      </c>
      <c r="EO6" s="62">
        <f ca="1">AVERAGE(OFFSET($EN$3,0,0,'Données projet'!$E$15+1,1))-AVERAGE(OFFSET($H$3,0,0,'Données projet'!$E$15+1,1))</f>
        <v>118.01099353898547</v>
      </c>
      <c r="EP6" s="62">
        <f t="shared" si="46"/>
        <v>103.17146760845947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2.1</v>
      </c>
      <c r="FE6" s="13">
        <f>IF('Données projet'!$A$218&gt;35,FE5+FD6-FM5,IF(A6&lt;'Données projet'!$A$218,$FB$205^A6,IF(A6='Données projet'!$A$218,'Données projet'!$B$218,FE5+FD6-FM5)))</f>
        <v>1.7518115829322798</v>
      </c>
      <c r="FF6" s="18">
        <f>FE6*VLOOKUP('Données projet'!$B$16,Paramètres!$A$1:$I$89,3,0)*VLOOKUP('Données projet'!$B$16,Paramètres!$A$1:$I$89,5,0)</f>
        <v>1.7490086843995882</v>
      </c>
      <c r="FG6" s="14">
        <f t="shared" si="47"/>
        <v>0.75523663046137834</v>
      </c>
      <c r="FH6" s="22">
        <f t="shared" si="22"/>
        <v>4.3615605900495167</v>
      </c>
      <c r="FI6" s="62">
        <f t="shared" si="23"/>
        <v>297.69489392338284</v>
      </c>
      <c r="FJ6" s="62">
        <f ca="1">AVERAGE(OFFSET($FI$3,0,0,'Données projet'!$E$16+1,1))-AVERAGE(OFFSET($H$3,0,0,'Données projet'!$E$16+1,1))</f>
        <v>343.71044073996887</v>
      </c>
      <c r="FK6" s="62">
        <f t="shared" si="48"/>
        <v>193.51732627292375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1.9107437601419195</v>
      </c>
      <c r="P7" s="14">
        <f t="shared" si="33"/>
        <v>0.81662477151702284</v>
      </c>
      <c r="Q7" s="22">
        <f t="shared" si="2"/>
        <v>4.7501668593059909</v>
      </c>
      <c r="R7" s="62">
        <f t="shared" si="0"/>
        <v>298.08350019263929</v>
      </c>
      <c r="S7" s="62">
        <f ca="1">AVERAGE(OFFSET($R$3,0,0,'Données projet'!$E$9+1,1))-AVERAGE(OFFSET($H$3,0,0,'Données projet'!$E$9+1,1))</f>
        <v>303.73499739059076</v>
      </c>
      <c r="T7" s="62">
        <f t="shared" si="34"/>
        <v>172.32171001882188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2.4666666666666668</v>
      </c>
      <c r="AI7" s="14">
        <f>IF('Données projet'!$A$62&gt;35,AI6+AH7-AQ6,IF(A7&lt;'Données projet'!$A$62,$AF$205^A7,IF(A7='Données projet'!$A$62,'Données projet'!$B$62,AI6+AH7-AQ6)))</f>
        <v>2.6193113595857573</v>
      </c>
      <c r="AJ7" s="14">
        <f>AI7*VLOOKUP('Données projet'!$B$10,Paramètres!$A$1:$I$89,3,0)*VLOOKUP('Données projet'!$B$10,Paramètres!$A$1:$I$89,5,0)</f>
        <v>1.9204790888482772</v>
      </c>
      <c r="AK7" s="14">
        <f t="shared" si="35"/>
        <v>0.82030011446080875</v>
      </c>
      <c r="AL7" s="22">
        <f t="shared" si="4"/>
        <v>4.7735237790966574</v>
      </c>
      <c r="AM7" s="62">
        <f t="shared" si="5"/>
        <v>298.10685711242996</v>
      </c>
      <c r="AN7" s="62">
        <f ca="1">AVERAGE(OFFSET($AM$3,0,0,'Données projet'!$E$10+1,1))-AVERAGE(OFFSET($H$3,0,0,'Données projet'!$E$10+1,1))</f>
        <v>215.66498680344858</v>
      </c>
      <c r="AO7" s="62">
        <f t="shared" si="36"/>
        <v>199.86715787211114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3.2416666666666667</v>
      </c>
      <c r="BD7" s="13">
        <f>IF('Données projet'!$A$88&gt;35,BD6+BC7-BL6,IF(A7&lt;'Données projet'!$A$88,$BA$205^A7,IF(A7='Données projet'!$A$88,'Données projet'!$B$88,BD6+BC7-BL6)))</f>
        <v>3.3883104908344395</v>
      </c>
      <c r="BE7" s="14">
        <f>BD7*VLOOKUP('Données projet'!$B$11,Paramètres!$A$1:$I$89,3,0)*VLOOKUP('Données projet'!$B$11,Paramètres!$A$1:$I$89,5,0)</f>
        <v>2.0262096735189949</v>
      </c>
      <c r="BF7" s="14">
        <f t="shared" si="37"/>
        <v>0.86007908525199539</v>
      </c>
      <c r="BG7" s="22">
        <f t="shared" si="7"/>
        <v>5.0269529215261413</v>
      </c>
      <c r="BH7" s="62">
        <f t="shared" si="8"/>
        <v>298.36028625485943</v>
      </c>
      <c r="BI7" s="62">
        <f ca="1">AVERAGE(OFFSET($BH$3,0,0,'Données projet'!$E$11+1,1))-AVERAGE(OFFSET($H$3,0,0,'Données projet'!$E$11+1,1))</f>
        <v>155.11440101086782</v>
      </c>
      <c r="BJ7" s="62">
        <f t="shared" si="38"/>
        <v>239.53454701506638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3.2416666666666667</v>
      </c>
      <c r="BY7" s="13">
        <f>IF('Données projet'!$A$114&gt;35,BY6+BX7-CG6,IF(A7&lt;'Données projet'!$A$114,$BV$205^A7,IF(A7='Données projet'!$A$114,'Données projet'!$B$114,BY6+BX7-CG6)))</f>
        <v>3.3883104908344395</v>
      </c>
      <c r="BZ7" s="14">
        <f>BY7*VLOOKUP('Données projet'!$B$12,Paramètres!$A$1:$I$89,3,0)*VLOOKUP('Données projet'!$B$12,Paramètres!$A$1:$I$89,5,0)</f>
        <v>2.0262096735189949</v>
      </c>
      <c r="CA7" s="14">
        <f t="shared" si="39"/>
        <v>0.86007908525199539</v>
      </c>
      <c r="CB7" s="22">
        <f t="shared" si="10"/>
        <v>5.0269529215261413</v>
      </c>
      <c r="CC7" s="62">
        <f t="shared" si="11"/>
        <v>298.36028625485943</v>
      </c>
      <c r="CD7" s="62">
        <f ca="1">AVERAGE(OFFSET($CC$3,0,0,'Données projet'!$E$12+1,1))-AVERAGE(OFFSET($H$3,0,0,'Données projet'!$E$12+1,1))</f>
        <v>155.11440101086782</v>
      </c>
      <c r="CE7" s="62">
        <f t="shared" si="40"/>
        <v>239.53454701506638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0.9</v>
      </c>
      <c r="CT7" s="13">
        <f>IF('Données projet'!$A$140&gt;35,CT6+CS7-DB6,IF(A7&lt;'Données projet'!$A$140,$CQ$205^A7,IF(A7='Données projet'!$A$140,'Données projet'!$B$140,CT6+CS7-DB6)))</f>
        <v>2.4082246852806923</v>
      </c>
      <c r="CU7" s="18">
        <f>CT7*VLOOKUP('Données projet'!$B$13,Paramètres!$A$1:$I$89,3,0)*VLOOKUP('Données projet'!$B$13,Paramètres!$A$1:$I$89,5,0)</f>
        <v>1.9535518646996977</v>
      </c>
      <c r="CV7" s="14">
        <f t="shared" si="41"/>
        <v>0.83276983766381052</v>
      </c>
      <c r="CW7" s="22">
        <f t="shared" si="13"/>
        <v>4.8528436316164436</v>
      </c>
      <c r="CX7" s="62">
        <f t="shared" si="14"/>
        <v>298.18617696494977</v>
      </c>
      <c r="CY7" s="62">
        <f ca="1">AVERAGE(OFFSET($CX$3,0,0,'Données projet'!$E$13+1,1))-AVERAGE(OFFSET($H$3,0,0,'Données projet'!$E$13+1,1))</f>
        <v>191.03017979797141</v>
      </c>
      <c r="CZ7" s="62">
        <f t="shared" si="42"/>
        <v>222.78252111624278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2.4358974358974361</v>
      </c>
      <c r="DO7" s="13">
        <f>IF('Données projet'!$A$166&gt;35,DO6+DN7-DW6,IF(A7&lt;'Données projet'!$A$166,$DL$205^A7,IF(A7='Données projet'!$A$166,'Données projet'!$B$166,DO6+DN7-DW6)))</f>
        <v>2.610558332842511</v>
      </c>
      <c r="DP7" s="18">
        <f>DO7*VLOOKUP('Données projet'!$B$14,Paramètres!$A$1:$I$89,3,0)*VLOOKUP('Données projet'!$B$14,Paramètres!$A$1:$I$89,5,0)</f>
        <v>2.4842073095329336</v>
      </c>
      <c r="DQ7" s="14">
        <f t="shared" si="43"/>
        <v>1.029769527335997</v>
      </c>
      <c r="DR7" s="22">
        <f t="shared" si="16"/>
        <v>6.1201763242133866</v>
      </c>
      <c r="DS7" s="62">
        <f t="shared" si="17"/>
        <v>299.4535096575467</v>
      </c>
      <c r="DT7" s="62">
        <f ca="1">AVERAGE(OFFSET($DS$3,0,0,'Données projet'!$E$14+1,1))-AVERAGE(OFFSET($H$3,0,0,'Données projet'!$E$14+1,1))</f>
        <v>260.93525280373063</v>
      </c>
      <c r="DU7" s="62">
        <f t="shared" si="44"/>
        <v>206.83968452163816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1.5341666666666667</v>
      </c>
      <c r="EJ7" s="13">
        <f>IF('Données projet'!$A$192&gt;35,EJ6+EI7-ER6,IF(A7&lt;'Données projet'!$A$192,$EG$205^A7,IF(A7='Données projet'!$A$192,'Données projet'!$B$192,EJ6+EI7-ER6)))</f>
        <v>2.9809110503275362</v>
      </c>
      <c r="EK7" s="18">
        <f>EJ7*VLOOKUP('Données projet'!$B$15,Paramètres!$A$1:$I$89,3,0)*VLOOKUP('Données projet'!$B$15,Paramètres!$A$1:$I$89,5,0)</f>
        <v>3.4340095299773217</v>
      </c>
      <c r="EL7" s="14">
        <f t="shared" si="45"/>
        <v>1.3708384170066097</v>
      </c>
      <c r="EM7" s="22">
        <f t="shared" si="19"/>
        <v>8.3684435076636809</v>
      </c>
      <c r="EN7" s="62">
        <f t="shared" si="20"/>
        <v>301.70177684099701</v>
      </c>
      <c r="EO7" s="62">
        <f ca="1">AVERAGE(OFFSET($EN$3,0,0,'Données projet'!$E$15+1,1))-AVERAGE(OFFSET($H$3,0,0,'Données projet'!$E$15+1,1))</f>
        <v>118.01099353898547</v>
      </c>
      <c r="EP7" s="62">
        <f t="shared" si="46"/>
        <v>103.17146760845947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2.1</v>
      </c>
      <c r="FE7" s="13">
        <f>IF('Données projet'!$A$218&gt;35,FE6+FD7-FM6,IF(A7&lt;'Données projet'!$A$218,$FB$205^A7,IF(A7='Données projet'!$A$218,'Données projet'!$B$218,FE6+FD7-FM6)))</f>
        <v>2.1117857649667546</v>
      </c>
      <c r="FF7" s="18">
        <f>FE7*VLOOKUP('Données projet'!$B$16,Paramètres!$A$1:$I$89,3,0)*VLOOKUP('Données projet'!$B$16,Paramètres!$A$1:$I$89,5,0)</f>
        <v>2.108406907742808</v>
      </c>
      <c r="FG7" s="14">
        <f t="shared" si="47"/>
        <v>0.89083690333567267</v>
      </c>
      <c r="FH7" s="22">
        <f t="shared" si="22"/>
        <v>5.2236829709616872</v>
      </c>
      <c r="FI7" s="62">
        <f t="shared" si="23"/>
        <v>298.55701630429502</v>
      </c>
      <c r="FJ7" s="62">
        <f ca="1">AVERAGE(OFFSET($FI$3,0,0,'Données projet'!$E$16+1,1))-AVERAGE(OFFSET($H$3,0,0,'Données projet'!$E$16+1,1))</f>
        <v>343.71044073996887</v>
      </c>
      <c r="FK7" s="62">
        <f t="shared" si="48"/>
        <v>193.51732627292375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2.3033764090157529</v>
      </c>
      <c r="P8" s="14">
        <f t="shared" si="33"/>
        <v>0.96324708482559218</v>
      </c>
      <c r="Q8" s="22">
        <f t="shared" si="2"/>
        <v>5.6893692517736758</v>
      </c>
      <c r="R8" s="62">
        <f t="shared" si="0"/>
        <v>299.02270258510697</v>
      </c>
      <c r="S8" s="62">
        <f ca="1">AVERAGE(OFFSET($R$3,0,0,'Données projet'!$E$9+1,1))-AVERAGE(OFFSET($H$3,0,0,'Données projet'!$E$9+1,1))</f>
        <v>303.73499739059076</v>
      </c>
      <c r="T8" s="62">
        <f t="shared" si="34"/>
        <v>172.32171001882188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2.4666666666666668</v>
      </c>
      <c r="AI8" s="14">
        <f>IF('Données projet'!$A$62&gt;35,AI7+AH8-AQ7,IF(A8&lt;'Données projet'!$A$62,$AF$205^A8,IF(A8='Données projet'!$A$62,'Données projet'!$B$62,AI7+AH8-AQ7)))</f>
        <v>3.332221851645953</v>
      </c>
      <c r="AJ8" s="14">
        <f>AI8*VLOOKUP('Données projet'!$B$10,Paramètres!$A$1:$I$89,3,0)*VLOOKUP('Données projet'!$B$10,Paramètres!$A$1:$I$89,5,0)</f>
        <v>2.4431850616268127</v>
      </c>
      <c r="AK8" s="14">
        <f t="shared" si="35"/>
        <v>1.0147295516396715</v>
      </c>
      <c r="AL8" s="22">
        <f t="shared" si="4"/>
        <v>6.0225346181057935</v>
      </c>
      <c r="AM8" s="62">
        <f t="shared" si="5"/>
        <v>299.35586795143911</v>
      </c>
      <c r="AN8" s="62">
        <f ca="1">AVERAGE(OFFSET($AM$3,0,0,'Données projet'!$E$10+1,1))-AVERAGE(OFFSET($H$3,0,0,'Données projet'!$E$10+1,1))</f>
        <v>215.66498680344858</v>
      </c>
      <c r="AO8" s="62">
        <f t="shared" si="36"/>
        <v>199.86715787211114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3.2416666666666667</v>
      </c>
      <c r="BD8" s="13">
        <f>IF('Données projet'!$A$88&gt;35,BD7+BC8-BL7,IF(A8&lt;'Données projet'!$A$88,$BA$205^A8,IF(A8='Données projet'!$A$88,'Données projet'!$B$88,BD7+BC8-BL7)))</f>
        <v>4.5970475988228996</v>
      </c>
      <c r="BE8" s="14">
        <f>BD8*VLOOKUP('Données projet'!$B$11,Paramètres!$A$1:$I$89,3,0)*VLOOKUP('Données projet'!$B$11,Paramètres!$A$1:$I$89,5,0)</f>
        <v>2.749034464096094</v>
      </c>
      <c r="BF8" s="14">
        <f t="shared" si="37"/>
        <v>1.126190023919071</v>
      </c>
      <c r="BG8" s="22">
        <f t="shared" si="7"/>
        <v>6.7493493166264118</v>
      </c>
      <c r="BH8" s="62">
        <f t="shared" si="8"/>
        <v>300.08268264995974</v>
      </c>
      <c r="BI8" s="62">
        <f ca="1">AVERAGE(OFFSET($BH$3,0,0,'Données projet'!$E$11+1,1))-AVERAGE(OFFSET($H$3,0,0,'Données projet'!$E$11+1,1))</f>
        <v>155.11440101086782</v>
      </c>
      <c r="BJ8" s="62">
        <f t="shared" si="38"/>
        <v>239.53454701506638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3.2416666666666667</v>
      </c>
      <c r="BY8" s="13">
        <f>IF('Données projet'!$A$114&gt;35,BY7+BX8-CG7,IF(A8&lt;'Données projet'!$A$114,$BV$205^A8,IF(A8='Données projet'!$A$114,'Données projet'!$B$114,BY7+BX8-CG7)))</f>
        <v>4.5970475988228996</v>
      </c>
      <c r="BZ8" s="14">
        <f>BY8*VLOOKUP('Données projet'!$B$12,Paramètres!$A$1:$I$89,3,0)*VLOOKUP('Données projet'!$B$12,Paramètres!$A$1:$I$89,5,0)</f>
        <v>2.749034464096094</v>
      </c>
      <c r="CA8" s="14">
        <f t="shared" si="39"/>
        <v>1.126190023919071</v>
      </c>
      <c r="CB8" s="22">
        <f t="shared" si="10"/>
        <v>6.7493493166264118</v>
      </c>
      <c r="CC8" s="62">
        <f t="shared" si="11"/>
        <v>300.08268264995974</v>
      </c>
      <c r="CD8" s="62">
        <f ca="1">AVERAGE(OFFSET($CC$3,0,0,'Données projet'!$E$12+1,1))-AVERAGE(OFFSET($H$3,0,0,'Données projet'!$E$12+1,1))</f>
        <v>155.11440101086782</v>
      </c>
      <c r="CE8" s="62">
        <f t="shared" si="40"/>
        <v>239.53454701506638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0.9</v>
      </c>
      <c r="CT8" s="13">
        <f>IF('Données projet'!$A$140&gt;35,CT7+CS8-DB7,IF(A8&lt;'Données projet'!$A$140,$CQ$205^A8,IF(A8='Données projet'!$A$140,'Données projet'!$B$140,CT7+CS8-DB7)))</f>
        <v>3.0000000000000004</v>
      </c>
      <c r="CU8" s="18">
        <f>CT8*VLOOKUP('Données projet'!$B$13,Paramètres!$A$1:$I$89,3,0)*VLOOKUP('Données projet'!$B$13,Paramètres!$A$1:$I$89,5,0)</f>
        <v>2.4336000000000007</v>
      </c>
      <c r="CV8" s="14">
        <f t="shared" si="41"/>
        <v>1.0112111626203177</v>
      </c>
      <c r="CW8" s="22">
        <f t="shared" si="13"/>
        <v>5.9997127748970547</v>
      </c>
      <c r="CX8" s="62">
        <f t="shared" si="14"/>
        <v>299.33304610823035</v>
      </c>
      <c r="CY8" s="62">
        <f ca="1">AVERAGE(OFFSET($CX$3,0,0,'Données projet'!$E$13+1,1))-AVERAGE(OFFSET($H$3,0,0,'Données projet'!$E$13+1,1))</f>
        <v>191.03017979797141</v>
      </c>
      <c r="CZ8" s="62">
        <f t="shared" si="42"/>
        <v>222.78252111624278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2.4358974358974361</v>
      </c>
      <c r="DO8" s="13">
        <f>IF('Données projet'!$A$166&gt;35,DO7+DN8-DW7,IF(A8&lt;'Données projet'!$A$166,$DL$205^A8,IF(A8='Données projet'!$A$166,'Données projet'!$B$166,DO7+DN8-DW7)))</f>
        <v>3.3183084459586891</v>
      </c>
      <c r="DP8" s="18">
        <f>DO8*VLOOKUP('Données projet'!$B$14,Paramètres!$A$1:$I$89,3,0)*VLOOKUP('Données projet'!$B$14,Paramètres!$A$1:$I$89,5,0)</f>
        <v>3.1577023171742886</v>
      </c>
      <c r="DQ8" s="14">
        <f t="shared" si="43"/>
        <v>1.2729063254981332</v>
      </c>
      <c r="DR8" s="22">
        <f t="shared" si="16"/>
        <v>7.7166433859878012</v>
      </c>
      <c r="DS8" s="62">
        <f t="shared" si="17"/>
        <v>301.04997671932114</v>
      </c>
      <c r="DT8" s="62">
        <f ca="1">AVERAGE(OFFSET($DS$3,0,0,'Données projet'!$E$14+1,1))-AVERAGE(OFFSET($H$3,0,0,'Données projet'!$E$14+1,1))</f>
        <v>260.93525280373063</v>
      </c>
      <c r="DU8" s="62">
        <f t="shared" si="44"/>
        <v>206.83968452163816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1.5341666666666667</v>
      </c>
      <c r="EJ8" s="13">
        <f>IF('Données projet'!$A$192&gt;35,EJ7+EI8-ER7,IF(A8&lt;'Données projet'!$A$192,$EG$205^A8,IF(A8='Données projet'!$A$192,'Données projet'!$B$192,EJ7+EI8-ER7)))</f>
        <v>3.9168439676181483</v>
      </c>
      <c r="EK8" s="18">
        <f>EJ8*VLOOKUP('Données projet'!$B$15,Paramètres!$A$1:$I$89,3,0)*VLOOKUP('Données projet'!$B$15,Paramètres!$A$1:$I$89,5,0)</f>
        <v>4.5122042506961062</v>
      </c>
      <c r="EL8" s="14">
        <f t="shared" si="45"/>
        <v>1.7448976777327356</v>
      </c>
      <c r="EM8" s="22">
        <f t="shared" si="19"/>
        <v>10.897785858680232</v>
      </c>
      <c r="EN8" s="62">
        <f t="shared" si="20"/>
        <v>304.23111919201352</v>
      </c>
      <c r="EO8" s="62">
        <f ca="1">AVERAGE(OFFSET($EN$3,0,0,'Données projet'!$E$15+1,1))-AVERAGE(OFFSET($H$3,0,0,'Données projet'!$E$15+1,1))</f>
        <v>118.01099353898547</v>
      </c>
      <c r="EP8" s="62">
        <f t="shared" si="46"/>
        <v>103.17146760845947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2.1</v>
      </c>
      <c r="FE8" s="13">
        <f>IF('Données projet'!$A$218&gt;35,FE7+FD8-FM7,IF(A8&lt;'Données projet'!$A$218,$FB$205^A8,IF(A8='Données projet'!$A$218,'Données projet'!$B$218,FE7+FD8-FM7)))</f>
        <v>2.5457298950218314</v>
      </c>
      <c r="FF8" s="18">
        <f>FE8*VLOOKUP('Données projet'!$B$16,Paramètres!$A$1:$I$89,3,0)*VLOOKUP('Données projet'!$B$16,Paramètres!$A$1:$I$89,5,0)</f>
        <v>2.5416567271897965</v>
      </c>
      <c r="FG8" s="14">
        <f t="shared" si="47"/>
        <v>1.0507837627789343</v>
      </c>
      <c r="FH8" s="22">
        <f t="shared" si="22"/>
        <v>6.2568338533622061</v>
      </c>
      <c r="FI8" s="62">
        <f t="shared" si="23"/>
        <v>299.59016718669551</v>
      </c>
      <c r="FJ8" s="62">
        <f ca="1">AVERAGE(OFFSET($FI$3,0,0,'Données projet'!$E$16+1,1))-AVERAGE(OFFSET($H$3,0,0,'Données projet'!$E$16+1,1))</f>
        <v>343.71044073996887</v>
      </c>
      <c r="FK8" s="62">
        <f t="shared" si="48"/>
        <v>193.51732627292375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2.7766898902321886</v>
      </c>
      <c r="P9" s="14">
        <f t="shared" si="33"/>
        <v>1.1361949561012803</v>
      </c>
      <c r="Q9" s="22">
        <f t="shared" si="2"/>
        <v>6.8149411073641248</v>
      </c>
      <c r="R9" s="62">
        <f t="shared" si="0"/>
        <v>300.14827444069743</v>
      </c>
      <c r="S9" s="62">
        <f ca="1">AVERAGE(OFFSET($R$3,0,0,'Données projet'!$E$9+1,1))-AVERAGE(OFFSET($H$3,0,0,'Données projet'!$E$9+1,1))</f>
        <v>303.73499739059076</v>
      </c>
      <c r="T9" s="62">
        <f t="shared" si="34"/>
        <v>172.32171001882188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2.4666666666666668</v>
      </c>
      <c r="AI9" s="14">
        <f>IF('Données projet'!$A$62&gt;35,AI8+AH9-AQ8,IF(A9&lt;'Données projet'!$A$62,$AF$205^A9,IF(A9='Données projet'!$A$62,'Données projet'!$B$62,AI8+AH9-AQ8)))</f>
        <v>4.2391685997738069</v>
      </c>
      <c r="AJ9" s="14">
        <f>AI9*VLOOKUP('Données projet'!$B$10,Paramètres!$A$1:$I$89,3,0)*VLOOKUP('Données projet'!$B$10,Paramètres!$A$1:$I$89,5,0)</f>
        <v>3.1081584173541552</v>
      </c>
      <c r="AK9" s="14">
        <f t="shared" si="35"/>
        <v>1.2552431053208675</v>
      </c>
      <c r="AL9" s="22">
        <f t="shared" si="4"/>
        <v>7.5995909853256647</v>
      </c>
      <c r="AM9" s="62">
        <f t="shared" si="5"/>
        <v>300.93292431865899</v>
      </c>
      <c r="AN9" s="62">
        <f ca="1">AVERAGE(OFFSET($AM$3,0,0,'Données projet'!$E$10+1,1))-AVERAGE(OFFSET($H$3,0,0,'Données projet'!$E$10+1,1))</f>
        <v>215.66498680344858</v>
      </c>
      <c r="AO9" s="62">
        <f t="shared" si="36"/>
        <v>199.86715787211114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3.2416666666666667</v>
      </c>
      <c r="BD9" s="13">
        <f>IF('Données projet'!$A$88&gt;35,BD8+BC9-BL8,IF(A9&lt;'Données projet'!$A$88,$BA$205^A9,IF(A9='Données projet'!$A$88,'Données projet'!$B$88,BD8+BC9-BL8)))</f>
        <v>6.2369864518050697</v>
      </c>
      <c r="BE9" s="14">
        <f>BD9*VLOOKUP('Données projet'!$B$11,Paramètres!$A$1:$I$89,3,0)*VLOOKUP('Données projet'!$B$11,Paramètres!$A$1:$I$89,5,0)</f>
        <v>3.7297178981794317</v>
      </c>
      <c r="BF9" s="14">
        <f t="shared" si="37"/>
        <v>1.4746364511389511</v>
      </c>
      <c r="BG9" s="22">
        <f t="shared" si="7"/>
        <v>9.0642504917295152</v>
      </c>
      <c r="BH9" s="62">
        <f t="shared" si="8"/>
        <v>302.39758382506284</v>
      </c>
      <c r="BI9" s="62">
        <f ca="1">AVERAGE(OFFSET($BH$3,0,0,'Données projet'!$E$11+1,1))-AVERAGE(OFFSET($H$3,0,0,'Données projet'!$E$11+1,1))</f>
        <v>155.11440101086782</v>
      </c>
      <c r="BJ9" s="62">
        <f t="shared" si="38"/>
        <v>239.53454701506638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3.2416666666666667</v>
      </c>
      <c r="BY9" s="13">
        <f>IF('Données projet'!$A$114&gt;35,BY8+BX9-CG8,IF(A9&lt;'Données projet'!$A$114,$BV$205^A9,IF(A9='Données projet'!$A$114,'Données projet'!$B$114,BY8+BX9-CG8)))</f>
        <v>6.2369864518050697</v>
      </c>
      <c r="BZ9" s="14">
        <f>BY9*VLOOKUP('Données projet'!$B$12,Paramètres!$A$1:$I$89,3,0)*VLOOKUP('Données projet'!$B$12,Paramètres!$A$1:$I$89,5,0)</f>
        <v>3.7297178981794317</v>
      </c>
      <c r="CA9" s="14">
        <f t="shared" si="39"/>
        <v>1.4746364511389511</v>
      </c>
      <c r="CB9" s="22">
        <f t="shared" si="10"/>
        <v>9.0642504917295152</v>
      </c>
      <c r="CC9" s="62">
        <f t="shared" si="11"/>
        <v>302.39758382506284</v>
      </c>
      <c r="CD9" s="62">
        <f ca="1">AVERAGE(OFFSET($CC$3,0,0,'Données projet'!$E$12+1,1))-AVERAGE(OFFSET($H$3,0,0,'Données projet'!$E$12+1,1))</f>
        <v>155.11440101086782</v>
      </c>
      <c r="CE9" s="62">
        <f t="shared" si="40"/>
        <v>239.53454701506638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0.9</v>
      </c>
      <c r="CT9" s="13">
        <f>IF('Données projet'!$A$140&gt;35,CT8+CS9-DB8,IF(A9&lt;'Données projet'!$A$140,$CQ$205^A9,IF(A9='Données projet'!$A$140,'Données projet'!$B$140,CT8+CS9-DB8)))</f>
        <v>3.7371928188465526</v>
      </c>
      <c r="CU9" s="18">
        <f>CT9*VLOOKUP('Données projet'!$B$13,Paramètres!$A$1:$I$89,3,0)*VLOOKUP('Données projet'!$B$13,Paramètres!$A$1:$I$89,5,0)</f>
        <v>3.0316108146483236</v>
      </c>
      <c r="CV9" s="14">
        <f t="shared" si="41"/>
        <v>1.2278879099133964</v>
      </c>
      <c r="CW9" s="22">
        <f t="shared" si="13"/>
        <v>7.4186269452783291</v>
      </c>
      <c r="CX9" s="62">
        <f t="shared" si="14"/>
        <v>300.75196027861165</v>
      </c>
      <c r="CY9" s="62">
        <f ca="1">AVERAGE(OFFSET($CX$3,0,0,'Données projet'!$E$13+1,1))-AVERAGE(OFFSET($H$3,0,0,'Données projet'!$E$13+1,1))</f>
        <v>191.03017979797141</v>
      </c>
      <c r="CZ9" s="62">
        <f t="shared" si="42"/>
        <v>222.78252111624278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2.4358974358974361</v>
      </c>
      <c r="DO9" s="13">
        <f>IF('Données projet'!$A$166&gt;35,DO8+DN9-DW8,IF(A9&lt;'Données projet'!$A$166,$DL$205^A9,IF(A9='Données projet'!$A$166,'Données projet'!$B$166,DO8+DN9-DW8)))</f>
        <v>4.2179371378119086</v>
      </c>
      <c r="DP9" s="18">
        <f>DO9*VLOOKUP('Données projet'!$B$14,Paramètres!$A$1:$I$89,3,0)*VLOOKUP('Données projet'!$B$14,Paramètres!$A$1:$I$89,5,0)</f>
        <v>4.0137889803418121</v>
      </c>
      <c r="DQ9" s="14">
        <f t="shared" si="43"/>
        <v>1.5734496608040387</v>
      </c>
      <c r="DR9" s="22">
        <f t="shared" si="16"/>
        <v>9.7311072999956902</v>
      </c>
      <c r="DS9" s="62">
        <f t="shared" si="17"/>
        <v>303.06444063332901</v>
      </c>
      <c r="DT9" s="62">
        <f ca="1">AVERAGE(OFFSET($DS$3,0,0,'Données projet'!$E$14+1,1))-AVERAGE(OFFSET($H$3,0,0,'Données projet'!$E$14+1,1))</f>
        <v>260.93525280373063</v>
      </c>
      <c r="DU9" s="62">
        <f t="shared" si="44"/>
        <v>206.83968452163816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1.5341666666666667</v>
      </c>
      <c r="EJ9" s="13">
        <f>IF('Données projet'!$A$192&gt;35,EJ8+EI9-ER8,IF(A9&lt;'Données projet'!$A$192,$EG$205^A9,IF(A9='Données projet'!$A$192,'Données projet'!$B$192,EJ8+EI9-ER8)))</f>
        <v>5.1466368528443578</v>
      </c>
      <c r="EK9" s="18">
        <f>EJ9*VLOOKUP('Données projet'!$B$15,Paramètres!$A$1:$I$89,3,0)*VLOOKUP('Données projet'!$B$15,Paramètres!$A$1:$I$89,5,0)</f>
        <v>5.9289256544766999</v>
      </c>
      <c r="EL9" s="14">
        <f t="shared" si="45"/>
        <v>2.2210261019715896</v>
      </c>
      <c r="EM9" s="22">
        <f t="shared" si="19"/>
        <v>14.194499309147433</v>
      </c>
      <c r="EN9" s="62">
        <f t="shared" si="20"/>
        <v>307.52783264248075</v>
      </c>
      <c r="EO9" s="62">
        <f ca="1">AVERAGE(OFFSET($EN$3,0,0,'Données projet'!$E$15+1,1))-AVERAGE(OFFSET($H$3,0,0,'Données projet'!$E$15+1,1))</f>
        <v>118.01099353898547</v>
      </c>
      <c r="EP9" s="62">
        <f t="shared" si="46"/>
        <v>103.17146760845947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2.1</v>
      </c>
      <c r="FE9" s="13">
        <f>IF('Données projet'!$A$218&gt;35,FE8+FD9-FM8,IF(A9&lt;'Données projet'!$A$218,$FB$205^A9,IF(A9='Données projet'!$A$218,'Données projet'!$B$218,FE8+FD9-FM8)))</f>
        <v>3.0688438220956993</v>
      </c>
      <c r="FF9" s="18">
        <f>FE9*VLOOKUP('Données projet'!$B$16,Paramètres!$A$1:$I$89,3,0)*VLOOKUP('Données projet'!$B$16,Paramètres!$A$1:$I$89,5,0)</f>
        <v>3.0639336719803465</v>
      </c>
      <c r="FG9" s="14">
        <f t="shared" si="47"/>
        <v>1.239448558973546</v>
      </c>
      <c r="FH9" s="22">
        <f t="shared" si="22"/>
        <v>7.4950573855780291</v>
      </c>
      <c r="FI9" s="62">
        <f t="shared" si="23"/>
        <v>300.82839071891135</v>
      </c>
      <c r="FJ9" s="62">
        <f ca="1">AVERAGE(OFFSET($FI$3,0,0,'Données projet'!$E$16+1,1))-AVERAGE(OFFSET($H$3,0,0,'Données projet'!$E$16+1,1))</f>
        <v>343.71044073996887</v>
      </c>
      <c r="FK9" s="62">
        <f t="shared" si="48"/>
        <v>193.51732627292375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3.3472630510321921</v>
      </c>
      <c r="P10" s="14">
        <f t="shared" si="33"/>
        <v>1.34019505338418</v>
      </c>
      <c r="Q10" s="22">
        <f t="shared" si="2"/>
        <v>8.1639895318585136</v>
      </c>
      <c r="R10" s="62">
        <f t="shared" si="0"/>
        <v>301.49732286519185</v>
      </c>
      <c r="S10" s="62">
        <f ca="1">AVERAGE(OFFSET($R$3,0,0,'Données projet'!$E$9+1,1))-AVERAGE(OFFSET($H$3,0,0,'Données projet'!$E$9+1,1))</f>
        <v>303.73499739059076</v>
      </c>
      <c r="T10" s="62">
        <f t="shared" si="34"/>
        <v>172.32171001882188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2.4666666666666668</v>
      </c>
      <c r="AI10" s="14">
        <f>IF('Données projet'!$A$62&gt;35,AI9+AH10-AQ9,IF(A10&lt;'Données projet'!$A$62,$AF$205^A10,IF(A10='Données projet'!$A$62,'Données projet'!$B$62,AI9+AH10-AQ9)))</f>
        <v>5.3929633792034757</v>
      </c>
      <c r="AJ10" s="14">
        <f>AI10*VLOOKUP('Données projet'!$B$10,Paramètres!$A$1:$I$89,3,0)*VLOOKUP('Données projet'!$B$10,Paramètres!$A$1:$I$89,5,0)</f>
        <v>3.9541207496319881</v>
      </c>
      <c r="AK10" s="14">
        <f t="shared" si="35"/>
        <v>1.5527637397664751</v>
      </c>
      <c r="AL10" s="22">
        <f t="shared" si="4"/>
        <v>9.5911571523689911</v>
      </c>
      <c r="AM10" s="62">
        <f t="shared" si="5"/>
        <v>302.92449048570228</v>
      </c>
      <c r="AN10" s="62">
        <f ca="1">AVERAGE(OFFSET($AM$3,0,0,'Données projet'!$E$10+1,1))-AVERAGE(OFFSET($H$3,0,0,'Données projet'!$E$10+1,1))</f>
        <v>215.66498680344858</v>
      </c>
      <c r="AO10" s="62">
        <f t="shared" si="36"/>
        <v>199.86715787211114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3.2416666666666667</v>
      </c>
      <c r="BD10" s="13">
        <f>IF('Données projet'!$A$88&gt;35,BD9+BC10-BL9,IF(A10&lt;'Données projet'!$A$88,$BA$205^A10,IF(A10='Données projet'!$A$88,'Données projet'!$B$88,BD9+BC10-BL9)))</f>
        <v>8.4619528433772508</v>
      </c>
      <c r="BE10" s="14">
        <f>BD10*VLOOKUP('Données projet'!$B$11,Paramètres!$A$1:$I$89,3,0)*VLOOKUP('Données projet'!$B$11,Paramètres!$A$1:$I$89,5,0)</f>
        <v>5.0602478003395959</v>
      </c>
      <c r="BF10" s="14">
        <f t="shared" si="37"/>
        <v>1.9308932034936452</v>
      </c>
      <c r="BG10" s="22">
        <f t="shared" si="7"/>
        <v>12.176237248342895</v>
      </c>
      <c r="BH10" s="62">
        <f t="shared" si="8"/>
        <v>305.5095705816762</v>
      </c>
      <c r="BI10" s="62">
        <f ca="1">AVERAGE(OFFSET($BH$3,0,0,'Données projet'!$E$11+1,1))-AVERAGE(OFFSET($H$3,0,0,'Données projet'!$E$11+1,1))</f>
        <v>155.11440101086782</v>
      </c>
      <c r="BJ10" s="62">
        <f t="shared" si="38"/>
        <v>239.53454701506638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3.2416666666666667</v>
      </c>
      <c r="BY10" s="13">
        <f>IF('Données projet'!$A$114&gt;35,BY9+BX10-CG9,IF(A10&lt;'Données projet'!$A$114,$BV$205^A10,IF(A10='Données projet'!$A$114,'Données projet'!$B$114,BY9+BX10-CG9)))</f>
        <v>8.4619528433772508</v>
      </c>
      <c r="BZ10" s="14">
        <f>BY10*VLOOKUP('Données projet'!$B$12,Paramètres!$A$1:$I$89,3,0)*VLOOKUP('Données projet'!$B$12,Paramètres!$A$1:$I$89,5,0)</f>
        <v>5.0602478003395959</v>
      </c>
      <c r="CA10" s="14">
        <f t="shared" si="39"/>
        <v>1.9308932034936452</v>
      </c>
      <c r="CB10" s="22">
        <f t="shared" si="10"/>
        <v>12.176237248342895</v>
      </c>
      <c r="CC10" s="62">
        <f t="shared" si="11"/>
        <v>305.5095705816762</v>
      </c>
      <c r="CD10" s="62">
        <f ca="1">AVERAGE(OFFSET($CC$3,0,0,'Données projet'!$E$12+1,1))-AVERAGE(OFFSET($H$3,0,0,'Données projet'!$E$12+1,1))</f>
        <v>155.11440101086782</v>
      </c>
      <c r="CE10" s="62">
        <f t="shared" si="40"/>
        <v>239.53454701506638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0.9</v>
      </c>
      <c r="CT10" s="13">
        <f>IF('Données projet'!$A$140&gt;35,CT9+CS10-DB9,IF(A10&lt;'Données projet'!$A$140,$CQ$205^A10,IF(A10='Données projet'!$A$140,'Données projet'!$B$140,CT9+CS10-DB9)))</f>
        <v>4.6555367217460804</v>
      </c>
      <c r="CU10" s="18">
        <f>CT10*VLOOKUP('Données projet'!$B$13,Paramètres!$A$1:$I$89,3,0)*VLOOKUP('Données projet'!$B$13,Paramètres!$A$1:$I$89,5,0)</f>
        <v>3.7765713886804204</v>
      </c>
      <c r="CV10" s="14">
        <f t="shared" si="41"/>
        <v>1.490992954829151</v>
      </c>
      <c r="CW10" s="22">
        <f t="shared" si="13"/>
        <v>9.1743412316125035</v>
      </c>
      <c r="CX10" s="62">
        <f t="shared" si="14"/>
        <v>302.50767456494583</v>
      </c>
      <c r="CY10" s="62">
        <f ca="1">AVERAGE(OFFSET($CX$3,0,0,'Données projet'!$E$13+1,1))-AVERAGE(OFFSET($H$3,0,0,'Données projet'!$E$13+1,1))</f>
        <v>191.03017979797141</v>
      </c>
      <c r="CZ10" s="62">
        <f t="shared" si="42"/>
        <v>222.78252111624278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2.4358974358974361</v>
      </c>
      <c r="DO10" s="13">
        <f>IF('Données projet'!$A$166&gt;35,DO9+DN10-DW9,IF(A10&lt;'Données projet'!$A$166,$DL$205^A10,IF(A10='Données projet'!$A$166,'Données projet'!$B$166,DO9+DN10-DW9)))</f>
        <v>5.3614647306823651</v>
      </c>
      <c r="DP10" s="18">
        <f>DO10*VLOOKUP('Données projet'!$B$14,Paramètres!$A$1:$I$89,3,0)*VLOOKUP('Données projet'!$B$14,Paramètres!$A$1:$I$89,5,0)</f>
        <v>5.1019698377173386</v>
      </c>
      <c r="DQ10" s="14">
        <f t="shared" si="43"/>
        <v>1.9449536745097864</v>
      </c>
      <c r="DR10" s="22">
        <f t="shared" si="16"/>
        <v>12.273391783795576</v>
      </c>
      <c r="DS10" s="62">
        <f t="shared" si="17"/>
        <v>305.60672511712892</v>
      </c>
      <c r="DT10" s="62">
        <f ca="1">AVERAGE(OFFSET($DS$3,0,0,'Données projet'!$E$14+1,1))-AVERAGE(OFFSET($H$3,0,0,'Données projet'!$E$14+1,1))</f>
        <v>260.93525280373063</v>
      </c>
      <c r="DU10" s="62">
        <f t="shared" si="44"/>
        <v>206.83968452163816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1.5341666666666667</v>
      </c>
      <c r="EJ10" s="13">
        <f>IF('Données projet'!$A$192&gt;35,EJ9+EI10-ER9,IF(A10&lt;'Données projet'!$A$192,$EG$205^A10,IF(A10='Données projet'!$A$192,'Données projet'!$B$192,EJ9+EI10-ER9)))</f>
        <v>6.7625545245201764</v>
      </c>
      <c r="EK10" s="18">
        <f>EJ10*VLOOKUP('Données projet'!$B$15,Paramètres!$A$1:$I$89,3,0)*VLOOKUP('Données projet'!$B$15,Paramètres!$A$1:$I$89,5,0)</f>
        <v>7.7904628122472417</v>
      </c>
      <c r="EL10" s="14">
        <f t="shared" si="45"/>
        <v>2.8270751967810739</v>
      </c>
      <c r="EM10" s="22">
        <f t="shared" si="19"/>
        <v>18.492212032390984</v>
      </c>
      <c r="EN10" s="62">
        <f t="shared" si="20"/>
        <v>311.82554536572428</v>
      </c>
      <c r="EO10" s="62">
        <f ca="1">AVERAGE(OFFSET($EN$3,0,0,'Données projet'!$E$15+1,1))-AVERAGE(OFFSET($H$3,0,0,'Données projet'!$E$15+1,1))</f>
        <v>118.01099353898547</v>
      </c>
      <c r="EP10" s="62">
        <f t="shared" si="46"/>
        <v>103.17146760845947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2.1</v>
      </c>
      <c r="FE10" s="13">
        <f>IF('Données projet'!$A$218&gt;35,FE9+FD10-FM9,IF(A10&lt;'Données projet'!$A$218,$FB$205^A10,IF(A10='Données projet'!$A$218,'Données projet'!$B$218,FE9+FD10-FM9)))</f>
        <v>3.6994507637402658</v>
      </c>
      <c r="FF10" s="18">
        <f>FE10*VLOOKUP('Données projet'!$B$16,Paramètres!$A$1:$I$89,3,0)*VLOOKUP('Données projet'!$B$16,Paramètres!$A$1:$I$89,5,0)</f>
        <v>3.6935316425182818</v>
      </c>
      <c r="FG10" s="14">
        <f t="shared" si="47"/>
        <v>1.4619875037646497</v>
      </c>
      <c r="FH10" s="22">
        <f t="shared" si="22"/>
        <v>8.9791958464427726</v>
      </c>
      <c r="FI10" s="62">
        <f t="shared" si="23"/>
        <v>302.31252917977611</v>
      </c>
      <c r="FJ10" s="62">
        <f ca="1">AVERAGE(OFFSET($FI$3,0,0,'Données projet'!$E$16+1,1))-AVERAGE(OFFSET($H$3,0,0,'Données projet'!$E$16+1,1))</f>
        <v>343.71044073996887</v>
      </c>
      <c r="FK10" s="62">
        <f t="shared" si="48"/>
        <v>193.51732627292375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4.0350814731667564</v>
      </c>
      <c r="P11" s="14">
        <f t="shared" si="33"/>
        <v>1.5808227025391921</v>
      </c>
      <c r="Q11" s="22">
        <f t="shared" si="2"/>
        <v>9.7810331060211926</v>
      </c>
      <c r="R11" s="62">
        <f t="shared" si="0"/>
        <v>303.11436643935451</v>
      </c>
      <c r="S11" s="62">
        <f ca="1">AVERAGE(OFFSET($R$3,0,0,'Données projet'!$E$9+1,1))-AVERAGE(OFFSET($H$3,0,0,'Données projet'!$E$9+1,1))</f>
        <v>303.73499739059076</v>
      </c>
      <c r="T11" s="62">
        <f t="shared" si="34"/>
        <v>172.32171001882188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2.4666666666666668</v>
      </c>
      <c r="AI11" s="14">
        <f>IF('Données projet'!$A$62&gt;35,AI10+AH11-AQ10,IF(A11&lt;'Données projet'!$A$62,$AF$205^A11,IF(A11='Données projet'!$A$62,'Données projet'!$B$62,AI10+AH11-AQ10)))</f>
        <v>6.8607919984549888</v>
      </c>
      <c r="AJ11" s="14">
        <f>AI11*VLOOKUP('Données projet'!$B$10,Paramètres!$A$1:$I$89,3,0)*VLOOKUP('Données projet'!$B$10,Paramètres!$A$1:$I$89,5,0)</f>
        <v>5.0303326932671979</v>
      </c>
      <c r="AK11" s="14">
        <f t="shared" si="35"/>
        <v>1.9208034055819379</v>
      </c>
      <c r="AL11" s="22">
        <f t="shared" si="4"/>
        <v>12.106562038828912</v>
      </c>
      <c r="AM11" s="62">
        <f t="shared" si="5"/>
        <v>305.43989537216225</v>
      </c>
      <c r="AN11" s="62">
        <f ca="1">AVERAGE(OFFSET($AM$3,0,0,'Données projet'!$E$10+1,1))-AVERAGE(OFFSET($H$3,0,0,'Données projet'!$E$10+1,1))</f>
        <v>215.66498680344858</v>
      </c>
      <c r="AO11" s="62">
        <f t="shared" si="36"/>
        <v>199.86715787211114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3.2416666666666667</v>
      </c>
      <c r="BD11" s="13">
        <f>IF('Données projet'!$A$88&gt;35,BD10+BC11-BL10,IF(A11&lt;'Données projet'!$A$88,$BA$205^A11,IF(A11='Données projet'!$A$88,'Données projet'!$B$88,BD10+BC11-BL10)))</f>
        <v>11.48064798229872</v>
      </c>
      <c r="BE11" s="14">
        <f>BD11*VLOOKUP('Données projet'!$B$11,Paramètres!$A$1:$I$89,3,0)*VLOOKUP('Données projet'!$B$11,Paramètres!$A$1:$I$89,5,0)</f>
        <v>6.8654274934146358</v>
      </c>
      <c r="BF11" s="14">
        <f t="shared" si="37"/>
        <v>2.5283171051538313</v>
      </c>
      <c r="BG11" s="22">
        <f t="shared" si="7"/>
        <v>16.360771842506747</v>
      </c>
      <c r="BH11" s="62">
        <f t="shared" si="8"/>
        <v>309.69410517584004</v>
      </c>
      <c r="BI11" s="62">
        <f ca="1">AVERAGE(OFFSET($BH$3,0,0,'Données projet'!$E$11+1,1))-AVERAGE(OFFSET($H$3,0,0,'Données projet'!$E$11+1,1))</f>
        <v>155.11440101086782</v>
      </c>
      <c r="BJ11" s="62">
        <f t="shared" si="38"/>
        <v>239.53454701506638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3.2416666666666667</v>
      </c>
      <c r="BY11" s="13">
        <f>IF('Données projet'!$A$114&gt;35,BY10+BX11-CG10,IF(A11&lt;'Données projet'!$A$114,$BV$205^A11,IF(A11='Données projet'!$A$114,'Données projet'!$B$114,BY10+BX11-CG10)))</f>
        <v>11.48064798229872</v>
      </c>
      <c r="BZ11" s="14">
        <f>BY11*VLOOKUP('Données projet'!$B$12,Paramètres!$A$1:$I$89,3,0)*VLOOKUP('Données projet'!$B$12,Paramètres!$A$1:$I$89,5,0)</f>
        <v>6.8654274934146358</v>
      </c>
      <c r="CA11" s="14">
        <f t="shared" si="39"/>
        <v>2.5283171051538313</v>
      </c>
      <c r="CB11" s="22">
        <f t="shared" si="10"/>
        <v>16.360771842506747</v>
      </c>
      <c r="CC11" s="62">
        <f t="shared" si="11"/>
        <v>309.69410517584004</v>
      </c>
      <c r="CD11" s="62">
        <f ca="1">AVERAGE(OFFSET($CC$3,0,0,'Données projet'!$E$12+1,1))-AVERAGE(OFFSET($H$3,0,0,'Données projet'!$E$12+1,1))</f>
        <v>155.11440101086782</v>
      </c>
      <c r="CE11" s="62">
        <f t="shared" si="40"/>
        <v>239.53454701506638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0.9</v>
      </c>
      <c r="CT11" s="13">
        <f>IF('Données projet'!$A$140&gt;35,CT10+CS11-DB10,IF(A11&lt;'Données projet'!$A$140,$CQ$205^A11,IF(A11='Données projet'!$A$140,'Données projet'!$B$140,CT10+CS11-DB10)))</f>
        <v>5.7995461347952899</v>
      </c>
      <c r="CU11" s="18">
        <f>CT11*VLOOKUP('Données projet'!$B$13,Paramètres!$A$1:$I$89,3,0)*VLOOKUP('Données projet'!$B$13,Paramètres!$A$1:$I$89,5,0)</f>
        <v>4.7045918245459397</v>
      </c>
      <c r="CV11" s="14">
        <f t="shared" si="41"/>
        <v>1.8104746967554695</v>
      </c>
      <c r="CW11" s="22">
        <f t="shared" si="13"/>
        <v>11.347074191266621</v>
      </c>
      <c r="CX11" s="62">
        <f t="shared" si="14"/>
        <v>304.68040752459996</v>
      </c>
      <c r="CY11" s="62">
        <f ca="1">AVERAGE(OFFSET($CX$3,0,0,'Données projet'!$E$13+1,1))-AVERAGE(OFFSET($H$3,0,0,'Données projet'!$E$13+1,1))</f>
        <v>191.03017979797141</v>
      </c>
      <c r="CZ11" s="62">
        <f t="shared" si="42"/>
        <v>222.78252111624278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2.4358974358974361</v>
      </c>
      <c r="DO11" s="13">
        <f>IF('Données projet'!$A$166&gt;35,DO10+DN11-DW10,IF(A11&lt;'Données projet'!$A$166,$DL$205^A11,IF(A11='Données projet'!$A$166,'Données projet'!$B$166,DO10+DN11-DW10)))</f>
        <v>6.815014809173471</v>
      </c>
      <c r="DP11" s="18">
        <f>DO11*VLOOKUP('Données projet'!$B$14,Paramètres!$A$1:$I$89,3,0)*VLOOKUP('Données projet'!$B$14,Paramètres!$A$1:$I$89,5,0)</f>
        <v>6.4851680924094746</v>
      </c>
      <c r="DQ11" s="14">
        <f t="shared" si="43"/>
        <v>2.4041727487208409</v>
      </c>
      <c r="DR11" s="22">
        <f t="shared" si="16"/>
        <v>15.4822686316353</v>
      </c>
      <c r="DS11" s="62">
        <f t="shared" si="17"/>
        <v>308.81560196496861</v>
      </c>
      <c r="DT11" s="62">
        <f ca="1">AVERAGE(OFFSET($DS$3,0,0,'Données projet'!$E$14+1,1))-AVERAGE(OFFSET($H$3,0,0,'Données projet'!$E$14+1,1))</f>
        <v>260.93525280373063</v>
      </c>
      <c r="DU11" s="62">
        <f t="shared" si="44"/>
        <v>206.83968452163816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1.5341666666666667</v>
      </c>
      <c r="EJ11" s="13">
        <f>IF('Données projet'!$A$192&gt;35,EJ10+EI11-ER10,IF(A11&lt;'Données projet'!$A$192,$EG$205^A11,IF(A11='Données projet'!$A$192,'Données projet'!$B$192,EJ10+EI11-ER10)))</f>
        <v>8.8858306899648145</v>
      </c>
      <c r="EK11" s="18">
        <f>EJ11*VLOOKUP('Données projet'!$B$15,Paramètres!$A$1:$I$89,3,0)*VLOOKUP('Données projet'!$B$15,Paramètres!$A$1:$I$89,5,0)</f>
        <v>10.236476954839466</v>
      </c>
      <c r="EL11" s="14">
        <f t="shared" si="45"/>
        <v>3.5984962811377996</v>
      </c>
      <c r="EM11" s="22">
        <f t="shared" si="19"/>
        <v>24.095911719327074</v>
      </c>
      <c r="EN11" s="62">
        <f t="shared" si="20"/>
        <v>317.42924505266041</v>
      </c>
      <c r="EO11" s="62">
        <f ca="1">AVERAGE(OFFSET($EN$3,0,0,'Données projet'!$E$15+1,1))-AVERAGE(OFFSET($H$3,0,0,'Données projet'!$E$15+1,1))</f>
        <v>118.01099353898547</v>
      </c>
      <c r="EP11" s="62">
        <f t="shared" si="46"/>
        <v>103.17146760845947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2.1</v>
      </c>
      <c r="FE11" s="13">
        <f>IF('Données projet'!$A$218&gt;35,FE10+FD11-FM10,IF(A11&lt;'Données projet'!$A$218,$FB$205^A11,IF(A11='Données projet'!$A$218,'Données projet'!$B$218,FE10+FD11-FM10)))</f>
        <v>4.4596391171162209</v>
      </c>
      <c r="FF11" s="18">
        <f>FE11*VLOOKUP('Données projet'!$B$16,Paramètres!$A$1:$I$89,3,0)*VLOOKUP('Données projet'!$B$16,Paramètres!$A$1:$I$89,5,0)</f>
        <v>4.4525036945288354</v>
      </c>
      <c r="FG11" s="14">
        <f t="shared" si="47"/>
        <v>1.7244825900109102</v>
      </c>
      <c r="FH11" s="22">
        <f t="shared" si="22"/>
        <v>10.758251112240055</v>
      </c>
      <c r="FI11" s="62">
        <f t="shared" si="23"/>
        <v>304.09158444557335</v>
      </c>
      <c r="FJ11" s="62">
        <f ca="1">AVERAGE(OFFSET($FI$3,0,0,'Données projet'!$E$16+1,1))-AVERAGE(OFFSET($H$3,0,0,'Données projet'!$E$16+1,1))</f>
        <v>343.71044073996887</v>
      </c>
      <c r="FK11" s="62">
        <f t="shared" si="48"/>
        <v>193.51732627292375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4.8642375119197085</v>
      </c>
      <c r="P12" s="14">
        <f t="shared" si="33"/>
        <v>1.8646542609995393</v>
      </c>
      <c r="Q12" s="22">
        <f t="shared" si="2"/>
        <v>11.719486504501022</v>
      </c>
      <c r="R12" s="62">
        <f t="shared" si="0"/>
        <v>305.05281983783436</v>
      </c>
      <c r="S12" s="62">
        <f ca="1">AVERAGE(OFFSET($R$3,0,0,'Données projet'!$E$9+1,1))-AVERAGE(OFFSET($H$3,0,0,'Données projet'!$E$9+1,1))</f>
        <v>303.73499739059076</v>
      </c>
      <c r="T12" s="62">
        <f t="shared" si="34"/>
        <v>172.32171001882188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2.4666666666666668</v>
      </c>
      <c r="AI12" s="14">
        <f>IF('Données projet'!$A$62&gt;35,AI11+AH12-AQ11,IF(A12&lt;'Données projet'!$A$62,$AF$205^A12,IF(A12='Données projet'!$A$62,'Données projet'!$B$62,AI11+AH12-AQ11)))</f>
        <v>8.7281265486761299</v>
      </c>
      <c r="AJ12" s="14">
        <f>AI12*VLOOKUP('Données projet'!$B$10,Paramètres!$A$1:$I$89,3,0)*VLOOKUP('Données projet'!$B$10,Paramètres!$A$1:$I$89,5,0)</f>
        <v>6.399462385489338</v>
      </c>
      <c r="AK12" s="14">
        <f t="shared" si="35"/>
        <v>2.3760766872686268</v>
      </c>
      <c r="AL12" s="22">
        <f t="shared" si="4"/>
        <v>15.284063885053456</v>
      </c>
      <c r="AM12" s="62">
        <f t="shared" si="5"/>
        <v>308.61739721838677</v>
      </c>
      <c r="AN12" s="62">
        <f ca="1">AVERAGE(OFFSET($AM$3,0,0,'Données projet'!$E$10+1,1))-AVERAGE(OFFSET($H$3,0,0,'Données projet'!$E$10+1,1))</f>
        <v>215.66498680344858</v>
      </c>
      <c r="AO12" s="62">
        <f t="shared" si="36"/>
        <v>199.86715787211114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3.2416666666666667</v>
      </c>
      <c r="BD12" s="13">
        <f>IF('Données projet'!$A$88&gt;35,BD11+BC12-BL11,IF(A12&lt;'Données projet'!$A$88,$BA$205^A12,IF(A12='Données projet'!$A$88,'Données projet'!$B$88,BD11+BC12-BL11)))</f>
        <v>15.576224605956899</v>
      </c>
      <c r="BE12" s="14">
        <f>BD12*VLOOKUP('Données projet'!$B$11,Paramètres!$A$1:$I$89,3,0)*VLOOKUP('Données projet'!$B$11,Paramètres!$A$1:$I$89,5,0)</f>
        <v>9.3145823143622266</v>
      </c>
      <c r="BF12" s="14">
        <f t="shared" si="37"/>
        <v>3.3105856774716673</v>
      </c>
      <c r="BG12" s="22">
        <f t="shared" si="7"/>
        <v>21.988834252444033</v>
      </c>
      <c r="BH12" s="62">
        <f t="shared" si="8"/>
        <v>315.32216758577732</v>
      </c>
      <c r="BI12" s="62">
        <f ca="1">AVERAGE(OFFSET($BH$3,0,0,'Données projet'!$E$11+1,1))-AVERAGE(OFFSET($H$3,0,0,'Données projet'!$E$11+1,1))</f>
        <v>155.11440101086782</v>
      </c>
      <c r="BJ12" s="62">
        <f t="shared" si="38"/>
        <v>239.53454701506638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3.2416666666666667</v>
      </c>
      <c r="BY12" s="13">
        <f>IF('Données projet'!$A$114&gt;35,BY11+BX12-CG11,IF(A12&lt;'Données projet'!$A$114,$BV$205^A12,IF(A12='Données projet'!$A$114,'Données projet'!$B$114,BY11+BX12-CG11)))</f>
        <v>15.576224605956899</v>
      </c>
      <c r="BZ12" s="14">
        <f>BY12*VLOOKUP('Données projet'!$B$12,Paramètres!$A$1:$I$89,3,0)*VLOOKUP('Données projet'!$B$12,Paramètres!$A$1:$I$89,5,0)</f>
        <v>9.3145823143622266</v>
      </c>
      <c r="CA12" s="14">
        <f t="shared" si="39"/>
        <v>3.3105856774716673</v>
      </c>
      <c r="CB12" s="22">
        <f t="shared" si="10"/>
        <v>21.988834252444033</v>
      </c>
      <c r="CC12" s="62">
        <f t="shared" si="11"/>
        <v>315.32216758577732</v>
      </c>
      <c r="CD12" s="62">
        <f ca="1">AVERAGE(OFFSET($CC$3,0,0,'Données projet'!$E$12+1,1))-AVERAGE(OFFSET($H$3,0,0,'Données projet'!$E$12+1,1))</f>
        <v>155.11440101086782</v>
      </c>
      <c r="CE12" s="62">
        <f t="shared" si="40"/>
        <v>239.53454701506638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0.9</v>
      </c>
      <c r="CT12" s="13">
        <f>IF('Données projet'!$A$140&gt;35,CT11+CS12-DB11,IF(A12&lt;'Données projet'!$A$140,$CQ$205^A12,IF(A12='Données projet'!$A$140,'Données projet'!$B$140,CT11+CS12-DB11)))</f>
        <v>7.2246740558420788</v>
      </c>
      <c r="CU12" s="18">
        <f>CT12*VLOOKUP('Données projet'!$B$13,Paramètres!$A$1:$I$89,3,0)*VLOOKUP('Données projet'!$B$13,Paramètres!$A$1:$I$89,5,0)</f>
        <v>5.8606555940990948</v>
      </c>
      <c r="CV12" s="14">
        <f t="shared" si="41"/>
        <v>2.1984132231982314</v>
      </c>
      <c r="CW12" s="22">
        <f t="shared" si="13"/>
        <v>14.036211523459508</v>
      </c>
      <c r="CX12" s="62">
        <f t="shared" si="14"/>
        <v>307.3695448567928</v>
      </c>
      <c r="CY12" s="62">
        <f ca="1">AVERAGE(OFFSET($CX$3,0,0,'Données projet'!$E$13+1,1))-AVERAGE(OFFSET($H$3,0,0,'Données projet'!$E$13+1,1))</f>
        <v>191.03017979797141</v>
      </c>
      <c r="CZ12" s="62">
        <f t="shared" si="42"/>
        <v>222.78252111624278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2.4358974358974361</v>
      </c>
      <c r="DO12" s="13">
        <f>IF('Données projet'!$A$166&gt;35,DO11+DN12-DW11,IF(A12&lt;'Données projet'!$A$166,$DL$205^A12,IF(A12='Données projet'!$A$166,'Données projet'!$B$166,DO11+DN12-DW11)))</f>
        <v>8.6626377645391397</v>
      </c>
      <c r="DP12" s="18">
        <f>DO12*VLOOKUP('Données projet'!$B$14,Paramètres!$A$1:$I$89,3,0)*VLOOKUP('Données projet'!$B$14,Paramètres!$A$1:$I$89,5,0)</f>
        <v>8.2433660967354445</v>
      </c>
      <c r="DQ12" s="14">
        <f t="shared" si="43"/>
        <v>2.9718171087795939</v>
      </c>
      <c r="DR12" s="22">
        <f t="shared" si="16"/>
        <v>19.53311074960536</v>
      </c>
      <c r="DS12" s="62">
        <f t="shared" si="17"/>
        <v>312.8664440829387</v>
      </c>
      <c r="DT12" s="62">
        <f ca="1">AVERAGE(OFFSET($DS$3,0,0,'Données projet'!$E$14+1,1))-AVERAGE(OFFSET($H$3,0,0,'Données projet'!$E$14+1,1))</f>
        <v>260.93525280373063</v>
      </c>
      <c r="DU12" s="62">
        <f t="shared" si="44"/>
        <v>206.83968452163816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1.5341666666666667</v>
      </c>
      <c r="EJ12" s="13">
        <f>IF('Données projet'!$A$192&gt;35,EJ11+EI12-ER11,IF(A12&lt;'Données projet'!$A$192,$EG$205^A12,IF(A12='Données projet'!$A$192,'Données projet'!$B$192,EJ11+EI12-ER11)))</f>
        <v>11.675763465481689</v>
      </c>
      <c r="EK12" s="18">
        <f>EJ12*VLOOKUP('Données projet'!$B$15,Paramètres!$A$1:$I$89,3,0)*VLOOKUP('Données projet'!$B$15,Paramètres!$A$1:$I$89,5,0)</f>
        <v>13.450479512234905</v>
      </c>
      <c r="EL12" s="14">
        <f t="shared" si="45"/>
        <v>4.5804142387533915</v>
      </c>
      <c r="EM12" s="22">
        <f t="shared" si="19"/>
        <v>31.403806616304621</v>
      </c>
      <c r="EN12" s="62">
        <f t="shared" si="20"/>
        <v>324.73713994963794</v>
      </c>
      <c r="EO12" s="62">
        <f ca="1">AVERAGE(OFFSET($EN$3,0,0,'Données projet'!$E$15+1,1))-AVERAGE(OFFSET($H$3,0,0,'Données projet'!$E$15+1,1))</f>
        <v>118.01099353898547</v>
      </c>
      <c r="EP12" s="62">
        <f t="shared" si="46"/>
        <v>103.17146760845947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2.1</v>
      </c>
      <c r="FE12" s="13">
        <f>IF('Données projet'!$A$218&gt;35,FE11+FD12-FM11,IF(A12&lt;'Données projet'!$A$218,$FB$205^A12,IF(A12='Données projet'!$A$218,'Données projet'!$B$218,FE11+FD12-FM11)))</f>
        <v>5.3760361537574148</v>
      </c>
      <c r="FF12" s="18">
        <f>FE12*VLOOKUP('Données projet'!$B$16,Paramètres!$A$1:$I$89,3,0)*VLOOKUP('Données projet'!$B$16,Paramètres!$A$1:$I$89,5,0)</f>
        <v>5.3674344959114038</v>
      </c>
      <c r="FG12" s="14">
        <f t="shared" si="47"/>
        <v>2.0341078125449323</v>
      </c>
      <c r="FH12" s="22">
        <f t="shared" si="22"/>
        <v>12.891019520561452</v>
      </c>
      <c r="FI12" s="62">
        <f t="shared" si="23"/>
        <v>306.22435285389474</v>
      </c>
      <c r="FJ12" s="62">
        <f ca="1">AVERAGE(OFFSET($FI$3,0,0,'Données projet'!$E$16+1,1))-AVERAGE(OFFSET($H$3,0,0,'Données projet'!$E$16+1,1))</f>
        <v>343.71044073996887</v>
      </c>
      <c r="FK12" s="62">
        <f t="shared" si="48"/>
        <v>193.51732627292375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5.8637741839194364</v>
      </c>
      <c r="P13" s="14">
        <f t="shared" si="33"/>
        <v>2.1994468497187687</v>
      </c>
      <c r="Q13" s="22">
        <f t="shared" si="2"/>
        <v>14.043443300253207</v>
      </c>
      <c r="R13" s="62">
        <f t="shared" si="0"/>
        <v>307.37677663358653</v>
      </c>
      <c r="S13" s="62">
        <f ca="1">AVERAGE(OFFSET($R$3,0,0,'Données projet'!$E$9+1,1))-AVERAGE(OFFSET($H$3,0,0,'Données projet'!$E$9+1,1))</f>
        <v>303.73499739059076</v>
      </c>
      <c r="T13" s="62">
        <f t="shared" si="34"/>
        <v>172.32171001882188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2.4666666666666668</v>
      </c>
      <c r="AI13" s="14">
        <f>IF('Données projet'!$A$62&gt;35,AI12+AH13-AQ12,IF(A13&lt;'Données projet'!$A$62,$AF$205^A13,IF(A13='Données projet'!$A$62,'Données projet'!$B$62,AI12+AH13-AQ12)))</f>
        <v>11.103702468586782</v>
      </c>
      <c r="AJ13" s="14">
        <f>AI13*VLOOKUP('Données projet'!$B$10,Paramètres!$A$1:$I$89,3,0)*VLOOKUP('Données projet'!$B$10,Paramètres!$A$1:$I$89,5,0)</f>
        <v>8.1412346499678296</v>
      </c>
      <c r="AK13" s="14">
        <f t="shared" si="35"/>
        <v>2.9392598989436851</v>
      </c>
      <c r="AL13" s="22">
        <f t="shared" si="4"/>
        <v>19.298528006020888</v>
      </c>
      <c r="AM13" s="62">
        <f t="shared" si="5"/>
        <v>312.6318613393542</v>
      </c>
      <c r="AN13" s="62">
        <f ca="1">AVERAGE(OFFSET($AM$3,0,0,'Données projet'!$E$10+1,1))-AVERAGE(OFFSET($H$3,0,0,'Données projet'!$E$10+1,1))</f>
        <v>215.66498680344858</v>
      </c>
      <c r="AO13" s="62">
        <f t="shared" si="36"/>
        <v>199.86715787211114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3.2416666666666667</v>
      </c>
      <c r="BD13" s="13">
        <f>IF('Données projet'!$A$88&gt;35,BD12+BC13-BL12,IF(A13&lt;'Données projet'!$A$88,$BA$205^A13,IF(A13='Données projet'!$A$88,'Données projet'!$B$88,BD12+BC13-BL12)))</f>
        <v>21.132846625843385</v>
      </c>
      <c r="BE13" s="14">
        <f>BD13*VLOOKUP('Données projet'!$B$11,Paramètres!$A$1:$I$89,3,0)*VLOOKUP('Données projet'!$B$11,Paramètres!$A$1:$I$89,5,0)</f>
        <v>12.637442282254346</v>
      </c>
      <c r="BF13" s="14">
        <f t="shared" si="37"/>
        <v>4.3348903923243052</v>
      </c>
      <c r="BG13" s="22">
        <f t="shared" si="7"/>
        <v>29.560146074891151</v>
      </c>
      <c r="BH13" s="62">
        <f t="shared" si="8"/>
        <v>322.89347940822449</v>
      </c>
      <c r="BI13" s="62">
        <f ca="1">AVERAGE(OFFSET($BH$3,0,0,'Données projet'!$E$11+1,1))-AVERAGE(OFFSET($H$3,0,0,'Données projet'!$E$11+1,1))</f>
        <v>155.11440101086782</v>
      </c>
      <c r="BJ13" s="62">
        <f t="shared" si="38"/>
        <v>239.53454701506638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3.2416666666666667</v>
      </c>
      <c r="BY13" s="13">
        <f>IF('Données projet'!$A$114&gt;35,BY12+BX13-CG12,IF(A13&lt;'Données projet'!$A$114,$BV$205^A13,IF(A13='Données projet'!$A$114,'Données projet'!$B$114,BY12+BX13-CG12)))</f>
        <v>21.132846625843385</v>
      </c>
      <c r="BZ13" s="14">
        <f>BY13*VLOOKUP('Données projet'!$B$12,Paramètres!$A$1:$I$89,3,0)*VLOOKUP('Données projet'!$B$12,Paramètres!$A$1:$I$89,5,0)</f>
        <v>12.637442282254346</v>
      </c>
      <c r="CA13" s="14">
        <f t="shared" si="39"/>
        <v>4.3348903923243052</v>
      </c>
      <c r="CB13" s="22">
        <f t="shared" si="10"/>
        <v>29.560146074891151</v>
      </c>
      <c r="CC13" s="62">
        <f t="shared" si="11"/>
        <v>322.89347940822449</v>
      </c>
      <c r="CD13" s="62">
        <f ca="1">AVERAGE(OFFSET($CC$3,0,0,'Données projet'!$E$12+1,1))-AVERAGE(OFFSET($H$3,0,0,'Données projet'!$E$12+1,1))</f>
        <v>155.11440101086782</v>
      </c>
      <c r="CE13" s="62">
        <f t="shared" si="40"/>
        <v>239.53454701506638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>
        <f>VLOOKUP(A13,'Données projet'!$A$139:$I$159,2,0)</f>
        <v>9</v>
      </c>
      <c r="CR13" s="13">
        <f>VLOOKUP(A13,'Données projet'!$A$139:$I$159,9,0)</f>
        <v>0.9</v>
      </c>
      <c r="CS13" s="13">
        <f t="array" ref="CS13">INDEX(CR:CR,MIN(IF(ISNUMBER(CR13:CR209),ROW(CR13:CR209),"")))</f>
        <v>0.9</v>
      </c>
      <c r="CT13" s="13">
        <f>IF('Données projet'!$A$140&gt;35,CT12+CS13-DB12,IF(A13&lt;'Données projet'!$A$140,$CQ$205^A13,IF(A13='Données projet'!$A$140,'Données projet'!$B$140,CT12+CS13-DB12)))</f>
        <v>9</v>
      </c>
      <c r="CU13" s="18">
        <f>CT13*VLOOKUP('Données projet'!$B$13,Paramètres!$A$1:$I$89,3,0)*VLOOKUP('Données projet'!$B$13,Paramètres!$A$1:$I$89,5,0)</f>
        <v>7.3007999999999997</v>
      </c>
      <c r="CV13" s="14">
        <f t="shared" si="41"/>
        <v>2.6694770761469542</v>
      </c>
      <c r="CW13" s="22">
        <f t="shared" si="13"/>
        <v>17.364899240955943</v>
      </c>
      <c r="CX13" s="62">
        <f t="shared" si="14"/>
        <v>310.69823257428925</v>
      </c>
      <c r="CY13" s="62">
        <f ca="1">AVERAGE(OFFSET($CX$3,0,0,'Données projet'!$E$13+1,1))-AVERAGE(OFFSET($H$3,0,0,'Données projet'!$E$13+1,1))</f>
        <v>191.03017979797141</v>
      </c>
      <c r="CZ13" s="62">
        <f t="shared" si="42"/>
        <v>222.78252111624278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2.4358974358974361</v>
      </c>
      <c r="DO13" s="13">
        <f>IF('Données projet'!$A$166&gt;35,DO12+DN13-DW12,IF(A13&lt;'Données projet'!$A$166,$DL$205^A13,IF(A13='Données projet'!$A$166,'Données projet'!$B$166,DO12+DN13-DW12)))</f>
        <v>11.011170942520771</v>
      </c>
      <c r="DP13" s="18">
        <f>DO13*VLOOKUP('Données projet'!$B$14,Paramètres!$A$1:$I$89,3,0)*VLOOKUP('Données projet'!$B$14,Paramètres!$A$1:$I$89,5,0)</f>
        <v>10.478230268902767</v>
      </c>
      <c r="DQ13" s="14">
        <f t="shared" si="43"/>
        <v>3.67348682940279</v>
      </c>
      <c r="DR13" s="22">
        <f t="shared" si="16"/>
        <v>24.647573946215513</v>
      </c>
      <c r="DS13" s="62">
        <f t="shared" si="17"/>
        <v>317.98090727954883</v>
      </c>
      <c r="DT13" s="62">
        <f ca="1">AVERAGE(OFFSET($DS$3,0,0,'Données projet'!$E$14+1,1))-AVERAGE(OFFSET($H$3,0,0,'Données projet'!$E$14+1,1))</f>
        <v>260.93525280373063</v>
      </c>
      <c r="DU13" s="62">
        <f t="shared" si="44"/>
        <v>206.83968452163816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>
        <f>VLOOKUP(A13,'Données projet'!$A$191:$I$211,2,0)</f>
        <v>15.341666666666667</v>
      </c>
      <c r="EH13" s="13">
        <f>VLOOKUP(A13,'Données projet'!$A$191:$I$211,9,0)</f>
        <v>1.5341666666666667</v>
      </c>
      <c r="EI13" s="13">
        <f t="array" ref="EI13">INDEX(EH:EH,MIN(IF(ISNUMBER(EH13:EH209),ROW(EH13:EH209),"")))</f>
        <v>1.5341666666666667</v>
      </c>
      <c r="EJ13" s="13">
        <f>IF('Données projet'!$A$192&gt;35,EJ12+EI13-ER12,IF(A13&lt;'Données projet'!$A$192,$EG$205^A13,IF(A13='Données projet'!$A$192,'Données projet'!$B$192,EJ12+EI13-ER12)))</f>
        <v>15.341666666666667</v>
      </c>
      <c r="EK13" s="18">
        <f>EJ13*VLOOKUP('Données projet'!$B$15,Paramètres!$A$1:$I$89,3,0)*VLOOKUP('Données projet'!$B$15,Paramètres!$A$1:$I$89,5,0)</f>
        <v>17.6736</v>
      </c>
      <c r="EL13" s="14">
        <f t="shared" si="45"/>
        <v>5.8302671336764922</v>
      </c>
      <c r="EM13" s="22">
        <f t="shared" si="19"/>
        <v>40.935901924486565</v>
      </c>
      <c r="EN13" s="62">
        <f t="shared" si="20"/>
        <v>334.2692352578199</v>
      </c>
      <c r="EO13" s="62">
        <f ca="1">AVERAGE(OFFSET($EN$3,0,0,'Données projet'!$E$15+1,1))-AVERAGE(OFFSET($H$3,0,0,'Données projet'!$E$15+1,1))</f>
        <v>118.01099353898547</v>
      </c>
      <c r="EP13" s="62">
        <f t="shared" si="46"/>
        <v>103.17146760845947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2.1</v>
      </c>
      <c r="FE13" s="13">
        <f>IF('Données projet'!$A$218&gt;35,FE12+FD13-FM12,IF(A13&lt;'Données projet'!$A$218,$FB$205^A13,IF(A13='Données projet'!$A$218,'Données projet'!$B$218,FE12+FD13-FM12)))</f>
        <v>6.4807406984078657</v>
      </c>
      <c r="FF13" s="18">
        <f>FE13*VLOOKUP('Données projet'!$B$16,Paramètres!$A$1:$I$89,3,0)*VLOOKUP('Données projet'!$B$16,Paramètres!$A$1:$I$89,5,0)</f>
        <v>6.4703715132904138</v>
      </c>
      <c r="FG13" s="14">
        <f t="shared" si="47"/>
        <v>2.3993252335647837</v>
      </c>
      <c r="FH13" s="22">
        <f t="shared" si="22"/>
        <v>15.448055167439469</v>
      </c>
      <c r="FI13" s="62">
        <f t="shared" si="23"/>
        <v>308.78138850077278</v>
      </c>
      <c r="FJ13" s="62">
        <f ca="1">AVERAGE(OFFSET($FI$3,0,0,'Données projet'!$E$16+1,1))-AVERAGE(OFFSET($H$3,0,0,'Données projet'!$E$16+1,1))</f>
        <v>343.71044073996887</v>
      </c>
      <c r="FK13" s="62">
        <f t="shared" si="48"/>
        <v>193.51732627292375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7.0687024627689707</v>
      </c>
      <c r="P14" s="14">
        <f t="shared" si="33"/>
        <v>2.5943503554083325</v>
      </c>
      <c r="Q14" s="22">
        <f t="shared" si="2"/>
        <v>16.829816991658799</v>
      </c>
      <c r="R14" s="62">
        <f t="shared" si="0"/>
        <v>310.1631503249921</v>
      </c>
      <c r="S14" s="62">
        <f ca="1">AVERAGE(OFFSET($R$3,0,0,'Données projet'!$E$9+1,1))-AVERAGE(OFFSET($H$3,0,0,'Données projet'!$E$9+1,1))</f>
        <v>303.73499739059076</v>
      </c>
      <c r="T14" s="62">
        <f t="shared" si="34"/>
        <v>172.32171001882188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2.4666666666666668</v>
      </c>
      <c r="AI14" s="14">
        <f>IF('Données projet'!$A$62&gt;35,AI13+AH14-AQ13,IF(A14&lt;'Données projet'!$A$62,$AF$205^A14,IF(A14='Données projet'!$A$62,'Données projet'!$B$62,AI13+AH14-AQ13)))</f>
        <v>14.125850240977657</v>
      </c>
      <c r="AJ14" s="14">
        <f>AI14*VLOOKUP('Données projet'!$B$10,Paramètres!$A$1:$I$89,3,0)*VLOOKUP('Données projet'!$B$10,Paramètres!$A$1:$I$89,5,0)</f>
        <v>10.357073396684818</v>
      </c>
      <c r="AK14" s="14">
        <f t="shared" si="35"/>
        <v>3.6359301026893722</v>
      </c>
      <c r="AL14" s="22">
        <f t="shared" si="4"/>
        <v>24.371147761410047</v>
      </c>
      <c r="AM14" s="62">
        <f t="shared" si="5"/>
        <v>317.70448109474336</v>
      </c>
      <c r="AN14" s="62">
        <f ca="1">AVERAGE(OFFSET($AM$3,0,0,'Données projet'!$E$10+1,1))-AVERAGE(OFFSET($H$3,0,0,'Données projet'!$E$10+1,1))</f>
        <v>215.66498680344858</v>
      </c>
      <c r="AO14" s="62">
        <f t="shared" si="36"/>
        <v>199.86715787211114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3.2416666666666667</v>
      </c>
      <c r="BD14" s="13">
        <f>IF('Données projet'!$A$88&gt;35,BD13+BC14-BL13,IF(A14&lt;'Données projet'!$A$88,$BA$205^A14,IF(A14='Données projet'!$A$88,'Données projet'!$B$88,BD13+BC14-BL13)))</f>
        <v>28.671723592161449</v>
      </c>
      <c r="BE14" s="14">
        <f>BD14*VLOOKUP('Données projet'!$B$11,Paramètres!$A$1:$I$89,3,0)*VLOOKUP('Données projet'!$B$11,Paramètres!$A$1:$I$89,5,0)</f>
        <v>17.14569070811255</v>
      </c>
      <c r="BF14" s="14">
        <f t="shared" si="37"/>
        <v>5.676117927211199</v>
      </c>
      <c r="BG14" s="22">
        <f t="shared" si="7"/>
        <v>39.747983373188866</v>
      </c>
      <c r="BH14" s="62">
        <f t="shared" si="8"/>
        <v>333.08131670652216</v>
      </c>
      <c r="BI14" s="62">
        <f ca="1">AVERAGE(OFFSET($BH$3,0,0,'Données projet'!$E$11+1,1))-AVERAGE(OFFSET($H$3,0,0,'Données projet'!$E$11+1,1))</f>
        <v>155.11440101086782</v>
      </c>
      <c r="BJ14" s="62">
        <f t="shared" si="38"/>
        <v>239.53454701506638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3.2416666666666667</v>
      </c>
      <c r="BY14" s="13">
        <f>IF('Données projet'!$A$114&gt;35,BY13+BX14-CG13,IF(A14&lt;'Données projet'!$A$114,$BV$205^A14,IF(A14='Données projet'!$A$114,'Données projet'!$B$114,BY13+BX14-CG13)))</f>
        <v>28.671723592161449</v>
      </c>
      <c r="BZ14" s="14">
        <f>BY14*VLOOKUP('Données projet'!$B$12,Paramètres!$A$1:$I$89,3,0)*VLOOKUP('Données projet'!$B$12,Paramètres!$A$1:$I$89,5,0)</f>
        <v>17.14569070811255</v>
      </c>
      <c r="CA14" s="14">
        <f t="shared" si="39"/>
        <v>5.676117927211199</v>
      </c>
      <c r="CB14" s="22">
        <f t="shared" si="10"/>
        <v>39.747983373188866</v>
      </c>
      <c r="CC14" s="62">
        <f t="shared" si="11"/>
        <v>333.08131670652216</v>
      </c>
      <c r="CD14" s="62">
        <f ca="1">AVERAGE(OFFSET($CC$3,0,0,'Données projet'!$E$12+1,1))-AVERAGE(OFFSET($H$3,0,0,'Données projet'!$E$12+1,1))</f>
        <v>155.11440101086782</v>
      </c>
      <c r="CE14" s="62">
        <f t="shared" si="40"/>
        <v>239.53454701506638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8</v>
      </c>
      <c r="CT14" s="13">
        <f>IF('Données projet'!$A$140&gt;35,CT13+CS14-DB13,IF(A14&lt;'Données projet'!$A$140,$CQ$205^A14,IF(A14='Données projet'!$A$140,'Données projet'!$B$140,CT13+CS14-DB13)))</f>
        <v>17</v>
      </c>
      <c r="CU14" s="18">
        <f>CT14*VLOOKUP('Données projet'!$B$13,Paramètres!$A$1:$I$89,3,0)*VLOOKUP('Données projet'!$B$13,Paramètres!$A$1:$I$89,5,0)</f>
        <v>13.7904</v>
      </c>
      <c r="CV14" s="14">
        <f t="shared" si="41"/>
        <v>4.6825473896592289</v>
      </c>
      <c r="CW14" s="22">
        <f t="shared" si="13"/>
        <v>32.173716703656488</v>
      </c>
      <c r="CX14" s="62">
        <f t="shared" si="14"/>
        <v>325.50705003698982</v>
      </c>
      <c r="CY14" s="62">
        <f ca="1">AVERAGE(OFFSET($CX$3,0,0,'Données projet'!$E$13+1,1))-AVERAGE(OFFSET($H$3,0,0,'Données projet'!$E$13+1,1))</f>
        <v>191.03017979797141</v>
      </c>
      <c r="CZ14" s="62">
        <f t="shared" si="42"/>
        <v>222.78252111624278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2.4358974358974361</v>
      </c>
      <c r="DO14" s="13">
        <f>IF('Données projet'!$A$166&gt;35,DO13+DN14-DW13,IF(A14&lt;'Données projet'!$A$166,$DL$205^A14,IF(A14='Données projet'!$A$166,'Données projet'!$B$166,DO13+DN14-DW13)))</f>
        <v>13.996416428924077</v>
      </c>
      <c r="DP14" s="18">
        <f>DO14*VLOOKUP('Données projet'!$B$14,Paramètres!$A$1:$I$89,3,0)*VLOOKUP('Données projet'!$B$14,Paramètres!$A$1:$I$89,5,0)</f>
        <v>13.318989873764153</v>
      </c>
      <c r="DQ14" s="14">
        <f t="shared" si="43"/>
        <v>4.5408263671169857</v>
      </c>
      <c r="DR14" s="22">
        <f t="shared" si="16"/>
        <v>31.105846619534645</v>
      </c>
      <c r="DS14" s="62">
        <f t="shared" si="17"/>
        <v>324.43917995286796</v>
      </c>
      <c r="DT14" s="62">
        <f ca="1">AVERAGE(OFFSET($DS$3,0,0,'Données projet'!$E$14+1,1))-AVERAGE(OFFSET($H$3,0,0,'Données projet'!$E$14+1,1))</f>
        <v>260.93525280373063</v>
      </c>
      <c r="DU14" s="62">
        <f t="shared" si="44"/>
        <v>206.83968452163816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1.9558333333333331</v>
      </c>
      <c r="EJ14" s="13">
        <f>IF('Données projet'!$A$192&gt;35,EJ13+EI14-ER13,IF(A14&lt;'Données projet'!$A$192,$EG$205^A14,IF(A14='Données projet'!$A$192,'Données projet'!$B$192,EJ13+EI14-ER13)))</f>
        <v>17.297499999999999</v>
      </c>
      <c r="EK14" s="18">
        <f>EJ14*VLOOKUP('Données projet'!$B$15,Paramètres!$A$1:$I$89,3,0)*VLOOKUP('Données projet'!$B$15,Paramètres!$A$1:$I$89,5,0)</f>
        <v>19.92672</v>
      </c>
      <c r="EL14" s="14">
        <f t="shared" si="45"/>
        <v>6.4823660887173542</v>
      </c>
      <c r="EM14" s="22">
        <f t="shared" si="19"/>
        <v>45.995824937849385</v>
      </c>
      <c r="EN14" s="62">
        <f t="shared" si="20"/>
        <v>339.32915827118268</v>
      </c>
      <c r="EO14" s="62">
        <f ca="1">AVERAGE(OFFSET($EN$3,0,0,'Données projet'!$E$15+1,1))-AVERAGE(OFFSET($H$3,0,0,'Données projet'!$E$15+1,1))</f>
        <v>118.01099353898547</v>
      </c>
      <c r="EP14" s="62">
        <f t="shared" si="46"/>
        <v>103.17146760845947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2.1</v>
      </c>
      <c r="FE14" s="13">
        <f>IF('Données projet'!$A$218&gt;35,FE13+FD14-FM13,IF(A14&lt;'Données projet'!$A$218,$FB$205^A14,IF(A14='Données projet'!$A$218,'Données projet'!$B$218,FE13+FD14-FM13)))</f>
        <v>7.8124474610620815</v>
      </c>
      <c r="FF14" s="18">
        <f>FE14*VLOOKUP('Données projet'!$B$16,Paramètres!$A$1:$I$89,3,0)*VLOOKUP('Données projet'!$B$16,Paramètres!$A$1:$I$89,5,0)</f>
        <v>7.7999475451243825</v>
      </c>
      <c r="FG14" s="14">
        <f t="shared" si="47"/>
        <v>2.8301162509268609</v>
      </c>
      <c r="FH14" s="22">
        <f t="shared" si="22"/>
        <v>18.514027778122582</v>
      </c>
      <c r="FI14" s="62">
        <f t="shared" si="23"/>
        <v>311.84736111145588</v>
      </c>
      <c r="FJ14" s="62">
        <f ca="1">AVERAGE(OFFSET($FI$3,0,0,'Données projet'!$E$16+1,1))-AVERAGE(OFFSET($H$3,0,0,'Données projet'!$E$16+1,1))</f>
        <v>343.71044073996887</v>
      </c>
      <c r="FK14" s="62">
        <f t="shared" si="48"/>
        <v>193.51732627292375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8.521227615514638</v>
      </c>
      <c r="P15" s="14">
        <f t="shared" si="33"/>
        <v>3.0601574970852128</v>
      </c>
      <c r="Q15" s="22">
        <f t="shared" si="2"/>
        <v>20.170912404444739</v>
      </c>
      <c r="R15" s="62">
        <f t="shared" si="0"/>
        <v>313.50424573777804</v>
      </c>
      <c r="S15" s="62">
        <f ca="1">AVERAGE(OFFSET($R$3,0,0,'Données projet'!$E$9+1,1))-AVERAGE(OFFSET($H$3,0,0,'Données projet'!$E$9+1,1))</f>
        <v>303.73499739059076</v>
      </c>
      <c r="T15" s="62">
        <f t="shared" si="34"/>
        <v>172.32171001882188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2.4666666666666668</v>
      </c>
      <c r="AI15" s="14">
        <f>IF('Données projet'!$A$62&gt;35,AI14+AH15-AQ14,IF(A15&lt;'Données projet'!$A$62,$AF$205^A15,IF(A15='Données projet'!$A$62,'Données projet'!$B$62,AI14+AH15-AQ14)))</f>
        <v>17.970550417308221</v>
      </c>
      <c r="AJ15" s="14">
        <f>AI15*VLOOKUP('Données projet'!$B$10,Paramètres!$A$1:$I$89,3,0)*VLOOKUP('Données projet'!$B$10,Paramètres!$A$1:$I$89,5,0)</f>
        <v>13.176007565970389</v>
      </c>
      <c r="AK15" s="14">
        <f t="shared" si="35"/>
        <v>4.4977266952111856</v>
      </c>
      <c r="AL15" s="22">
        <f t="shared" si="4"/>
        <v>30.781753838224574</v>
      </c>
      <c r="AM15" s="62">
        <f t="shared" si="5"/>
        <v>324.11508717155789</v>
      </c>
      <c r="AN15" s="62">
        <f ca="1">AVERAGE(OFFSET($AM$3,0,0,'Données projet'!$E$10+1,1))-AVERAGE(OFFSET($H$3,0,0,'Données projet'!$E$10+1,1))</f>
        <v>215.66498680344858</v>
      </c>
      <c r="AO15" s="62">
        <f t="shared" si="36"/>
        <v>199.86715787211114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>
        <f>VLOOKUP(A15,'Données projet'!$A$87:$I$107,2,0)</f>
        <v>38.9</v>
      </c>
      <c r="BB15" s="13">
        <f>VLOOKUP(A15,'Données projet'!$A$87:$I$107,9,0)</f>
        <v>3.2416666666666667</v>
      </c>
      <c r="BC15" s="13">
        <f t="array" ref="BC15">INDEX(BB:BB,MIN(IF(ISNUMBER(BB15:BB211),ROW(BB15:BB211),"")))</f>
        <v>3.2416666666666667</v>
      </c>
      <c r="BD15" s="13">
        <f>IF('Données projet'!$A$88&gt;35,BD14+BC15-BL14,IF(A15&lt;'Données projet'!$A$88,$BA$205^A15,IF(A15='Données projet'!$A$88,'Données projet'!$B$88,BD14+BC15-BL14)))</f>
        <v>38.9</v>
      </c>
      <c r="BE15" s="14">
        <f>BD15*VLOOKUP('Données projet'!$B$11,Paramètres!$A$1:$I$89,3,0)*VLOOKUP('Données projet'!$B$11,Paramètres!$A$1:$I$89,5,0)</f>
        <v>23.2622</v>
      </c>
      <c r="BF15" s="14">
        <f t="shared" si="37"/>
        <v>7.432325112684885</v>
      </c>
      <c r="BG15" s="22">
        <f t="shared" si="7"/>
        <v>53.459631237926175</v>
      </c>
      <c r="BH15" s="62">
        <f t="shared" si="8"/>
        <v>346.79296457125952</v>
      </c>
      <c r="BI15" s="62">
        <f ca="1">AVERAGE(OFFSET($BH$3,0,0,'Données projet'!$E$11+1,1))-AVERAGE(OFFSET($H$3,0,0,'Données projet'!$E$11+1,1))</f>
        <v>155.11440101086782</v>
      </c>
      <c r="BJ15" s="62">
        <f t="shared" si="38"/>
        <v>239.53454701506638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>
        <f>VLOOKUP(A15,'Données projet'!$A$113:$I$133,2,0)</f>
        <v>38.9</v>
      </c>
      <c r="BW15" s="13">
        <f>VLOOKUP(A15,'Données projet'!$A$113:$I$133,9,0)</f>
        <v>3.2416666666666667</v>
      </c>
      <c r="BX15" s="13">
        <f t="array" ref="BX15">INDEX(BW:BW,MIN(IF(ISNUMBER(BW15:BW211),ROW(BW15:BW211),"")))</f>
        <v>3.2416666666666667</v>
      </c>
      <c r="BY15" s="13">
        <f>IF('Données projet'!$A$114&gt;35,BY14+BX15-CG14,IF(A15&lt;'Données projet'!$A$114,$BV$205^A15,IF(A15='Données projet'!$A$114,'Données projet'!$B$114,BY14+BX15-CG14)))</f>
        <v>38.9</v>
      </c>
      <c r="BZ15" s="14">
        <f>BY15*VLOOKUP('Données projet'!$B$12,Paramètres!$A$1:$I$89,3,0)*VLOOKUP('Données projet'!$B$12,Paramètres!$A$1:$I$89,5,0)</f>
        <v>23.2622</v>
      </c>
      <c r="CA15" s="14">
        <f t="shared" si="39"/>
        <v>7.432325112684885</v>
      </c>
      <c r="CB15" s="22">
        <f t="shared" si="10"/>
        <v>53.459631237926175</v>
      </c>
      <c r="CC15" s="62">
        <f t="shared" si="11"/>
        <v>346.79296457125952</v>
      </c>
      <c r="CD15" s="62">
        <f ca="1">AVERAGE(OFFSET($CC$3,0,0,'Données projet'!$E$12+1,1))-AVERAGE(OFFSET($H$3,0,0,'Données projet'!$E$12+1,1))</f>
        <v>155.11440101086782</v>
      </c>
      <c r="CE15" s="62">
        <f t="shared" si="40"/>
        <v>239.53454701506638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8</v>
      </c>
      <c r="CT15" s="13">
        <f>IF('Données projet'!$A$140&gt;35,CT14+CS15-DB14,IF(A15&lt;'Données projet'!$A$140,$CQ$205^A15,IF(A15='Données projet'!$A$140,'Données projet'!$B$140,CT14+CS15-DB14)))</f>
        <v>25</v>
      </c>
      <c r="CU15" s="18">
        <f>CT15*VLOOKUP('Données projet'!$B$13,Paramètres!$A$1:$I$89,3,0)*VLOOKUP('Données projet'!$B$13,Paramètres!$A$1:$I$89,5,0)</f>
        <v>20.28</v>
      </c>
      <c r="CV15" s="14">
        <f t="shared" si="41"/>
        <v>6.5838102554415308</v>
      </c>
      <c r="CW15" s="22">
        <f t="shared" si="13"/>
        <v>46.787802861560664</v>
      </c>
      <c r="CX15" s="62">
        <f t="shared" si="14"/>
        <v>340.12113619489401</v>
      </c>
      <c r="CY15" s="62">
        <f ca="1">AVERAGE(OFFSET($CX$3,0,0,'Données projet'!$E$13+1,1))-AVERAGE(OFFSET($H$3,0,0,'Données projet'!$E$13+1,1))</f>
        <v>191.03017979797141</v>
      </c>
      <c r="CZ15" s="62">
        <f t="shared" si="42"/>
        <v>222.78252111624278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2.4358974358974361</v>
      </c>
      <c r="DO15" s="13">
        <f>IF('Données projet'!$A$166&gt;35,DO14+DN15-DW14,IF(A15&lt;'Données projet'!$A$166,$DL$205^A15,IF(A15='Données projet'!$A$166,'Données projet'!$B$166,DO14+DN15-DW14)))</f>
        <v>17.790993698532919</v>
      </c>
      <c r="DP15" s="18">
        <f>DO15*VLOOKUP('Données projet'!$B$14,Paramètres!$A$1:$I$89,3,0)*VLOOKUP('Données projet'!$B$14,Paramètres!$A$1:$I$89,5,0)</f>
        <v>16.929909603523928</v>
      </c>
      <c r="DQ15" s="14">
        <f t="shared" si="43"/>
        <v>5.6129516870098515</v>
      </c>
      <c r="DR15" s="22">
        <f t="shared" si="16"/>
        <v>39.262150081012997</v>
      </c>
      <c r="DS15" s="62">
        <f t="shared" si="17"/>
        <v>332.59548341434629</v>
      </c>
      <c r="DT15" s="62">
        <f ca="1">AVERAGE(OFFSET($DS$3,0,0,'Données projet'!$E$14+1,1))-AVERAGE(OFFSET($H$3,0,0,'Données projet'!$E$14+1,1))</f>
        <v>260.93525280373063</v>
      </c>
      <c r="DU15" s="62">
        <f t="shared" si="44"/>
        <v>206.83968452163816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1.9558333333333331</v>
      </c>
      <c r="EJ15" s="13">
        <f>IF('Données projet'!$A$192&gt;35,EJ14+EI15-ER14,IF(A15&lt;'Données projet'!$A$192,$EG$205^A15,IF(A15='Données projet'!$A$192,'Données projet'!$B$192,EJ14+EI15-ER14)))</f>
        <v>19.253333333333334</v>
      </c>
      <c r="EK15" s="18">
        <f>EJ15*VLOOKUP('Données projet'!$B$15,Paramètres!$A$1:$I$89,3,0)*VLOOKUP('Données projet'!$B$15,Paramètres!$A$1:$I$89,5,0)</f>
        <v>22.179839999999999</v>
      </c>
      <c r="EL15" s="14">
        <f t="shared" si="45"/>
        <v>7.1259195506874313</v>
      </c>
      <c r="EM15" s="22">
        <f t="shared" si="19"/>
        <v>51.040864550780604</v>
      </c>
      <c r="EN15" s="62">
        <f t="shared" si="20"/>
        <v>344.37419788411393</v>
      </c>
      <c r="EO15" s="62">
        <f ca="1">AVERAGE(OFFSET($EN$3,0,0,'Données projet'!$E$15+1,1))-AVERAGE(OFFSET($H$3,0,0,'Données projet'!$E$15+1,1))</f>
        <v>118.01099353898547</v>
      </c>
      <c r="EP15" s="62">
        <f t="shared" si="46"/>
        <v>103.17146760845947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2.1</v>
      </c>
      <c r="FE15" s="13">
        <f>IF('Données projet'!$A$218&gt;35,FE14+FD15-FM14,IF(A15&lt;'Données projet'!$A$218,$FB$205^A15,IF(A15='Données projet'!$A$218,'Données projet'!$B$218,FE14+FD15-FM14)))</f>
        <v>9.4178024044149407</v>
      </c>
      <c r="FF15" s="18">
        <f>FE15*VLOOKUP('Données projet'!$B$16,Paramètres!$A$1:$I$89,3,0)*VLOOKUP('Données projet'!$B$16,Paramètres!$A$1:$I$89,5,0)</f>
        <v>9.4027339205678775</v>
      </c>
      <c r="FG15" s="14">
        <f t="shared" si="47"/>
        <v>3.3382543899061803</v>
      </c>
      <c r="FH15" s="22">
        <f t="shared" si="22"/>
        <v>22.190554640742317</v>
      </c>
      <c r="FI15" s="62">
        <f t="shared" si="23"/>
        <v>315.52388797407565</v>
      </c>
      <c r="FJ15" s="62">
        <f ca="1">AVERAGE(OFFSET($FI$3,0,0,'Données projet'!$E$16+1,1))-AVERAGE(OFFSET($H$3,0,0,'Données projet'!$E$16+1,1))</f>
        <v>343.71044073996887</v>
      </c>
      <c r="FK15" s="62">
        <f t="shared" si="48"/>
        <v>193.51732627292375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10.272227535089344</v>
      </c>
      <c r="P16" s="14">
        <f t="shared" si="33"/>
        <v>3.6095987912522753</v>
      </c>
      <c r="Q16" s="22">
        <f t="shared" si="2"/>
        <v>24.177514185044988</v>
      </c>
      <c r="R16" s="62">
        <f t="shared" si="0"/>
        <v>317.51084751837828</v>
      </c>
      <c r="S16" s="62">
        <f ca="1">AVERAGE(OFFSET($R$3,0,0,'Données projet'!$E$9+1,1))-AVERAGE(OFFSET($H$3,0,0,'Données projet'!$E$9+1,1))</f>
        <v>303.73499739059076</v>
      </c>
      <c r="T16" s="62">
        <f t="shared" si="34"/>
        <v>172.32171001882188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2.4666666666666668</v>
      </c>
      <c r="AI16" s="14">
        <f>IF('Données projet'!$A$62&gt;35,AI15+AH16-AQ15,IF(A16&lt;'Données projet'!$A$62,$AF$205^A16,IF(A16='Données projet'!$A$62,'Données projet'!$B$62,AI15+AH16-AQ15)))</f>
        <v>22.86168101684942</v>
      </c>
      <c r="AJ16" s="14">
        <f>AI16*VLOOKUP('Données projet'!$B$10,Paramètres!$A$1:$I$89,3,0)*VLOOKUP('Données projet'!$B$10,Paramètres!$A$1:$I$89,5,0)</f>
        <v>16.762184521553994</v>
      </c>
      <c r="AK16" s="14">
        <f t="shared" si="35"/>
        <v>5.5637883164619248</v>
      </c>
      <c r="AL16" s="22">
        <f t="shared" si="4"/>
        <v>38.884402692877721</v>
      </c>
      <c r="AM16" s="62">
        <f t="shared" si="5"/>
        <v>332.21773602621101</v>
      </c>
      <c r="AN16" s="62">
        <f ca="1">AVERAGE(OFFSET($AM$3,0,0,'Données projet'!$E$10+1,1))-AVERAGE(OFFSET($H$3,0,0,'Données projet'!$E$10+1,1))</f>
        <v>215.66498680344858</v>
      </c>
      <c r="AO16" s="62">
        <f t="shared" si="36"/>
        <v>199.86715787211114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>
        <f>VLOOKUP(A16,'Données projet'!$A$87:$I$107,2,0)</f>
        <v>53.7</v>
      </c>
      <c r="BB16" s="13">
        <f>VLOOKUP(A16,'Données projet'!$A$87:$I$107,9,0)</f>
        <v>14.800000000000004</v>
      </c>
      <c r="BC16" s="13">
        <f t="array" ref="BC16">INDEX(BB:BB,MIN(IF(ISNUMBER(BB16:BB212),ROW(BB16:BB212),"")))</f>
        <v>14.800000000000004</v>
      </c>
      <c r="BD16" s="13">
        <f>IF('Données projet'!$A$88&gt;35,BD15+BC16-BL15,IF(A16&lt;'Données projet'!$A$88,$BA$205^A16,IF(A16='Données projet'!$A$88,'Données projet'!$B$88,BD15+BC16-BL15)))</f>
        <v>53.7</v>
      </c>
      <c r="BE16" s="14">
        <f>BD16*VLOOKUP('Données projet'!$B$11,Paramètres!$A$1:$I$89,3,0)*VLOOKUP('Données projet'!$B$11,Paramètres!$A$1:$I$89,5,0)</f>
        <v>32.1126</v>
      </c>
      <c r="BF16" s="14">
        <f t="shared" si="37"/>
        <v>9.8821287968694467</v>
      </c>
      <c r="BG16" s="22">
        <f t="shared" si="7"/>
        <v>73.140819321214281</v>
      </c>
      <c r="BH16" s="62">
        <f t="shared" si="8"/>
        <v>366.47415265454759</v>
      </c>
      <c r="BI16" s="62">
        <f ca="1">AVERAGE(OFFSET($BH$3,0,0,'Données projet'!$E$11+1,1))-AVERAGE(OFFSET($H$3,0,0,'Données projet'!$E$11+1,1))</f>
        <v>155.11440101086782</v>
      </c>
      <c r="BJ16" s="62">
        <f t="shared" si="38"/>
        <v>239.53454701506638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>
        <f>VLOOKUP(A16,'Données projet'!$A$113:$I$133,2,0)</f>
        <v>53.7</v>
      </c>
      <c r="BW16" s="13">
        <f>VLOOKUP(A16,'Données projet'!$A$113:$I$133,9,0)</f>
        <v>14.800000000000004</v>
      </c>
      <c r="BX16" s="13">
        <f t="array" ref="BX16">INDEX(BW:BW,MIN(IF(ISNUMBER(BW16:BW212),ROW(BW16:BW212),"")))</f>
        <v>14.800000000000004</v>
      </c>
      <c r="BY16" s="13">
        <f>IF('Données projet'!$A$114&gt;35,BY15+BX16-CG15,IF(A16&lt;'Données projet'!$A$114,$BV$205^A16,IF(A16='Données projet'!$A$114,'Données projet'!$B$114,BY15+BX16-CG15)))</f>
        <v>53.7</v>
      </c>
      <c r="BZ16" s="14">
        <f>BY16*VLOOKUP('Données projet'!$B$12,Paramètres!$A$1:$I$89,3,0)*VLOOKUP('Données projet'!$B$12,Paramètres!$A$1:$I$89,5,0)</f>
        <v>32.1126</v>
      </c>
      <c r="CA16" s="14">
        <f t="shared" si="39"/>
        <v>9.8821287968694467</v>
      </c>
      <c r="CB16" s="22">
        <f t="shared" si="10"/>
        <v>73.140819321214281</v>
      </c>
      <c r="CC16" s="62">
        <f t="shared" si="11"/>
        <v>366.47415265454759</v>
      </c>
      <c r="CD16" s="62">
        <f ca="1">AVERAGE(OFFSET($CC$3,0,0,'Données projet'!$E$12+1,1))-AVERAGE(OFFSET($H$3,0,0,'Données projet'!$E$12+1,1))</f>
        <v>155.11440101086782</v>
      </c>
      <c r="CE16" s="62">
        <f t="shared" si="40"/>
        <v>239.53454701506638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8</v>
      </c>
      <c r="CT16" s="13">
        <f>IF('Données projet'!$A$140&gt;35,CT15+CS16-DB15,IF(A16&lt;'Données projet'!$A$140,$CQ$205^A16,IF(A16='Données projet'!$A$140,'Données projet'!$B$140,CT15+CS16-DB15)))</f>
        <v>33</v>
      </c>
      <c r="CU16" s="18">
        <f>CT16*VLOOKUP('Données projet'!$B$13,Paramètres!$A$1:$I$89,3,0)*VLOOKUP('Données projet'!$B$13,Paramètres!$A$1:$I$89,5,0)</f>
        <v>26.769600000000001</v>
      </c>
      <c r="CV16" s="14">
        <f t="shared" si="41"/>
        <v>8.4142697673415618</v>
      </c>
      <c r="CW16" s="22">
        <f t="shared" si="13"/>
        <v>61.278573178119878</v>
      </c>
      <c r="CX16" s="62">
        <f t="shared" si="14"/>
        <v>354.61190651145318</v>
      </c>
      <c r="CY16" s="62">
        <f ca="1">AVERAGE(OFFSET($CX$3,0,0,'Données projet'!$E$13+1,1))-AVERAGE(OFFSET($H$3,0,0,'Données projet'!$E$13+1,1))</f>
        <v>191.03017979797141</v>
      </c>
      <c r="CZ16" s="62">
        <f t="shared" si="42"/>
        <v>222.78252111624278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2.4358974358974361</v>
      </c>
      <c r="DO16" s="13">
        <f>IF('Données projet'!$A$166&gt;35,DO15+DN16-DW15,IF(A16&lt;'Données projet'!$A$166,$DL$205^A16,IF(A16='Données projet'!$A$166,'Données projet'!$B$166,DO15+DN16-DW15)))</f>
        <v>22.614321200613873</v>
      </c>
      <c r="DP16" s="18">
        <f>DO16*VLOOKUP('Données projet'!$B$14,Paramètres!$A$1:$I$89,3,0)*VLOOKUP('Données projet'!$B$14,Paramètres!$A$1:$I$89,5,0)</f>
        <v>21.519788054504161</v>
      </c>
      <c r="DQ16" s="14">
        <f t="shared" si="43"/>
        <v>6.9382143454892127</v>
      </c>
      <c r="DR16" s="22">
        <f t="shared" si="16"/>
        <v>49.564354179988463</v>
      </c>
      <c r="DS16" s="62">
        <f t="shared" si="17"/>
        <v>342.89768751332178</v>
      </c>
      <c r="DT16" s="62">
        <f ca="1">AVERAGE(OFFSET($DS$3,0,0,'Données projet'!$E$14+1,1))-AVERAGE(OFFSET($H$3,0,0,'Données projet'!$E$14+1,1))</f>
        <v>260.93525280373063</v>
      </c>
      <c r="DU16" s="62">
        <f t="shared" si="44"/>
        <v>206.83968452163816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1.9558333333333331</v>
      </c>
      <c r="EJ16" s="13">
        <f>IF('Données projet'!$A$192&gt;35,EJ15+EI16-ER15,IF(A16&lt;'Données projet'!$A$192,$EG$205^A16,IF(A16='Données projet'!$A$192,'Données projet'!$B$192,EJ15+EI16-ER15)))</f>
        <v>21.209166666666668</v>
      </c>
      <c r="EK16" s="18">
        <f>EJ16*VLOOKUP('Données projet'!$B$15,Paramètres!$A$1:$I$89,3,0)*VLOOKUP('Données projet'!$B$15,Paramètres!$A$1:$I$89,5,0)</f>
        <v>24.432960000000001</v>
      </c>
      <c r="EL16" s="14">
        <f t="shared" si="45"/>
        <v>7.7618944497956903</v>
      </c>
      <c r="EM16" s="22">
        <f t="shared" si="19"/>
        <v>56.072704833394162</v>
      </c>
      <c r="EN16" s="62">
        <f t="shared" si="20"/>
        <v>349.40603816672746</v>
      </c>
      <c r="EO16" s="62">
        <f ca="1">AVERAGE(OFFSET($EN$3,0,0,'Données projet'!$E$15+1,1))-AVERAGE(OFFSET($H$3,0,0,'Données projet'!$E$15+1,1))</f>
        <v>118.01099353898547</v>
      </c>
      <c r="EP16" s="62">
        <f t="shared" si="46"/>
        <v>103.17146760845947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2.1</v>
      </c>
      <c r="FE16" s="13">
        <f>IF('Données projet'!$A$218&gt;35,FE15+FD16-FM15,IF(A16&lt;'Données projet'!$A$218,$FB$205^A16,IF(A16='Données projet'!$A$218,'Données projet'!$B$218,FE15+FD16-FM15)))</f>
        <v>11.35303662145153</v>
      </c>
      <c r="FF16" s="18">
        <f>FE16*VLOOKUP('Données projet'!$B$16,Paramètres!$A$1:$I$89,3,0)*VLOOKUP('Données projet'!$B$16,Paramètres!$A$1:$I$89,5,0)</f>
        <v>11.334871762857208</v>
      </c>
      <c r="FG16" s="14">
        <f t="shared" si="47"/>
        <v>3.9376270738271817</v>
      </c>
      <c r="FH16" s="22">
        <f t="shared" si="22"/>
        <v>26.599602140558645</v>
      </c>
      <c r="FI16" s="62">
        <f t="shared" si="23"/>
        <v>319.93293547389197</v>
      </c>
      <c r="FJ16" s="62">
        <f ca="1">AVERAGE(OFFSET($FI$3,0,0,'Données projet'!$E$16+1,1))-AVERAGE(OFFSET($H$3,0,0,'Données projet'!$E$16+1,1))</f>
        <v>343.71044073996887</v>
      </c>
      <c r="FK16" s="62">
        <f t="shared" si="48"/>
        <v>193.51732627292375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12.383034850580612</v>
      </c>
      <c r="P17" s="14">
        <f t="shared" si="33"/>
        <v>4.2576904771143838</v>
      </c>
      <c r="Q17" s="22">
        <f t="shared" si="2"/>
        <v>28.982596612402116</v>
      </c>
      <c r="R17" s="62">
        <f t="shared" si="0"/>
        <v>322.31592994573543</v>
      </c>
      <c r="S17" s="62">
        <f ca="1">AVERAGE(OFFSET($R$3,0,0,'Données projet'!$E$9+1,1))-AVERAGE(OFFSET($H$3,0,0,'Données projet'!$E$9+1,1))</f>
        <v>303.73499739059076</v>
      </c>
      <c r="T17" s="62">
        <f t="shared" si="34"/>
        <v>172.32171001882188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2.4666666666666668</v>
      </c>
      <c r="AI17" s="14">
        <f>IF('Données projet'!$A$62&gt;35,AI16+AH17-AQ16,IF(A17&lt;'Données projet'!$A$62,$AF$205^A17,IF(A17='Données projet'!$A$62,'Données projet'!$B$62,AI16+AH17-AQ16)))</f>
        <v>29.084054009429774</v>
      </c>
      <c r="AJ17" s="14">
        <f>AI17*VLOOKUP('Données projet'!$B$10,Paramètres!$A$1:$I$89,3,0)*VLOOKUP('Données projet'!$B$10,Paramètres!$A$1:$I$89,5,0)</f>
        <v>21.324428399713909</v>
      </c>
      <c r="AK17" s="14">
        <f t="shared" si="35"/>
        <v>6.8825303376831179</v>
      </c>
      <c r="AL17" s="22">
        <f t="shared" si="4"/>
        <v>49.127119800966483</v>
      </c>
      <c r="AM17" s="62">
        <f t="shared" si="5"/>
        <v>342.46045313429977</v>
      </c>
      <c r="AN17" s="62">
        <f ca="1">AVERAGE(OFFSET($AM$3,0,0,'Données projet'!$E$10+1,1))-AVERAGE(OFFSET($H$3,0,0,'Données projet'!$E$10+1,1))</f>
        <v>215.66498680344858</v>
      </c>
      <c r="AO17" s="62">
        <f t="shared" si="36"/>
        <v>199.86715787211114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>
        <f>VLOOKUP(A17,'Données projet'!$A$87:$I$107,2,0)</f>
        <v>70.400000000000006</v>
      </c>
      <c r="BB17" s="13">
        <f>VLOOKUP(A17,'Données projet'!$A$87:$I$107,9,0)</f>
        <v>16.700000000000003</v>
      </c>
      <c r="BC17" s="13">
        <f t="array" ref="BC17">INDEX(BB:BB,MIN(IF(ISNUMBER(BB17:BB213),ROW(BB17:BB213),"")))</f>
        <v>16.700000000000003</v>
      </c>
      <c r="BD17" s="13">
        <f>IF('Données projet'!$A$88&gt;35,BD16+BC17-BL16,IF(A17&lt;'Données projet'!$A$88,$BA$205^A17,IF(A17='Données projet'!$A$88,'Données projet'!$B$88,BD16+BC17-BL16)))</f>
        <v>70.400000000000006</v>
      </c>
      <c r="BE17" s="14">
        <f>BD17*VLOOKUP('Données projet'!$B$11,Paramètres!$A$1:$I$89,3,0)*VLOOKUP('Données projet'!$B$11,Paramètres!$A$1:$I$89,5,0)</f>
        <v>42.09920000000001</v>
      </c>
      <c r="BF17" s="14">
        <f t="shared" si="37"/>
        <v>12.553372982508934</v>
      </c>
      <c r="BG17" s="22">
        <f t="shared" si="7"/>
        <v>95.186564611203053</v>
      </c>
      <c r="BH17" s="62">
        <f t="shared" si="8"/>
        <v>388.51989794453635</v>
      </c>
      <c r="BI17" s="62">
        <f ca="1">AVERAGE(OFFSET($BH$3,0,0,'Données projet'!$E$11+1,1))-AVERAGE(OFFSET($H$3,0,0,'Données projet'!$E$11+1,1))</f>
        <v>155.11440101086782</v>
      </c>
      <c r="BJ17" s="62">
        <f t="shared" si="38"/>
        <v>239.53454701506638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>
        <f>VLOOKUP(A17,'Données projet'!$A$113:$I$133,2,0)</f>
        <v>70.400000000000006</v>
      </c>
      <c r="BW17" s="13">
        <f>VLOOKUP(A17,'Données projet'!$A$113:$I$133,9,0)</f>
        <v>16.700000000000003</v>
      </c>
      <c r="BX17" s="13">
        <f t="array" ref="BX17">INDEX(BW:BW,MIN(IF(ISNUMBER(BW17:BW213),ROW(BW17:BW213),"")))</f>
        <v>16.700000000000003</v>
      </c>
      <c r="BY17" s="13">
        <f>IF('Données projet'!$A$114&gt;35,BY16+BX17-CG16,IF(A17&lt;'Données projet'!$A$114,$BV$205^A17,IF(A17='Données projet'!$A$114,'Données projet'!$B$114,BY16+BX17-CG16)))</f>
        <v>70.400000000000006</v>
      </c>
      <c r="BZ17" s="14">
        <f>BY17*VLOOKUP('Données projet'!$B$12,Paramètres!$A$1:$I$89,3,0)*VLOOKUP('Données projet'!$B$12,Paramètres!$A$1:$I$89,5,0)</f>
        <v>42.09920000000001</v>
      </c>
      <c r="CA17" s="14">
        <f t="shared" si="39"/>
        <v>12.553372982508934</v>
      </c>
      <c r="CB17" s="22">
        <f t="shared" si="10"/>
        <v>95.186564611203053</v>
      </c>
      <c r="CC17" s="62">
        <f t="shared" si="11"/>
        <v>388.51989794453635</v>
      </c>
      <c r="CD17" s="62">
        <f ca="1">AVERAGE(OFFSET($CC$3,0,0,'Données projet'!$E$12+1,1))-AVERAGE(OFFSET($H$3,0,0,'Données projet'!$E$12+1,1))</f>
        <v>155.11440101086782</v>
      </c>
      <c r="CE17" s="62">
        <f t="shared" si="40"/>
        <v>239.53454701506638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8</v>
      </c>
      <c r="CT17" s="13">
        <f>IF('Données projet'!$A$140&gt;35,CT16+CS17-DB16,IF(A17&lt;'Données projet'!$A$140,$CQ$205^A17,IF(A17='Données projet'!$A$140,'Données projet'!$B$140,CT16+CS17-DB16)))</f>
        <v>41</v>
      </c>
      <c r="CU17" s="18">
        <f>CT17*VLOOKUP('Données projet'!$B$13,Paramètres!$A$1:$I$89,3,0)*VLOOKUP('Données projet'!$B$13,Paramètres!$A$1:$I$89,5,0)</f>
        <v>33.2592</v>
      </c>
      <c r="CV17" s="14">
        <f t="shared" si="41"/>
        <v>10.193265358024187</v>
      </c>
      <c r="CW17" s="22">
        <f t="shared" si="13"/>
        <v>75.679710498558791</v>
      </c>
      <c r="CX17" s="62">
        <f t="shared" si="14"/>
        <v>369.01304383189211</v>
      </c>
      <c r="CY17" s="62">
        <f ca="1">AVERAGE(OFFSET($CX$3,0,0,'Données projet'!$E$13+1,1))-AVERAGE(OFFSET($H$3,0,0,'Données projet'!$E$13+1,1))</f>
        <v>191.03017979797141</v>
      </c>
      <c r="CZ17" s="62">
        <f t="shared" si="42"/>
        <v>222.78252111624278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2.4358974358974361</v>
      </c>
      <c r="DO17" s="13">
        <f>IF('Données projet'!$A$166&gt;35,DO16+DN17-DW16,IF(A17&lt;'Données projet'!$A$166,$DL$205^A17,IF(A17='Données projet'!$A$166,'Données projet'!$B$166,DO16+DN17-DW16)))</f>
        <v>28.745304058350921</v>
      </c>
      <c r="DP17" s="18">
        <f>DO17*VLOOKUP('Données projet'!$B$14,Paramètres!$A$1:$I$89,3,0)*VLOOKUP('Données projet'!$B$14,Paramètres!$A$1:$I$89,5,0)</f>
        <v>27.354031341926738</v>
      </c>
      <c r="DQ17" s="14">
        <f t="shared" si="43"/>
        <v>8.5763820870506962</v>
      </c>
      <c r="DR17" s="22">
        <f t="shared" si="16"/>
        <v>62.578803388802356</v>
      </c>
      <c r="DS17" s="62">
        <f t="shared" si="17"/>
        <v>355.91213672213564</v>
      </c>
      <c r="DT17" s="62">
        <f ca="1">AVERAGE(OFFSET($DS$3,0,0,'Données projet'!$E$14+1,1))-AVERAGE(OFFSET($H$3,0,0,'Données projet'!$E$14+1,1))</f>
        <v>260.93525280373063</v>
      </c>
      <c r="DU17" s="62">
        <f t="shared" si="44"/>
        <v>206.83968452163816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1.9558333333333331</v>
      </c>
      <c r="EJ17" s="13">
        <f>IF('Données projet'!$A$192&gt;35,EJ16+EI17-ER16,IF(A17&lt;'Données projet'!$A$192,$EG$205^A17,IF(A17='Données projet'!$A$192,'Données projet'!$B$192,EJ16+EI17-ER16)))</f>
        <v>23.165000000000003</v>
      </c>
      <c r="EK17" s="18">
        <f>EJ17*VLOOKUP('Données projet'!$B$15,Paramètres!$A$1:$I$89,3,0)*VLOOKUP('Données projet'!$B$15,Paramètres!$A$1:$I$89,5,0)</f>
        <v>26.68608</v>
      </c>
      <c r="EL17" s="14">
        <f t="shared" si="45"/>
        <v>8.3910691422038557</v>
      </c>
      <c r="EM17" s="22">
        <f t="shared" si="19"/>
        <v>61.092701422671723</v>
      </c>
      <c r="EN17" s="62">
        <f t="shared" si="20"/>
        <v>354.42603475600504</v>
      </c>
      <c r="EO17" s="62">
        <f ca="1">AVERAGE(OFFSET($EN$3,0,0,'Données projet'!$E$15+1,1))-AVERAGE(OFFSET($H$3,0,0,'Données projet'!$E$15+1,1))</f>
        <v>118.01099353898547</v>
      </c>
      <c r="EP17" s="62">
        <f t="shared" si="46"/>
        <v>103.17146760845947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2.1</v>
      </c>
      <c r="FE17" s="13">
        <f>IF('Données projet'!$A$218&gt;35,FE16+FD17-FM16,IF(A17&lt;'Données projet'!$A$218,$FB$205^A17,IF(A17='Données projet'!$A$218,'Données projet'!$B$218,FE16+FD17-FM16)))</f>
        <v>13.685935953338433</v>
      </c>
      <c r="FF17" s="18">
        <f>FE17*VLOOKUP('Données projet'!$B$16,Paramètres!$A$1:$I$89,3,0)*VLOOKUP('Données projet'!$B$16,Paramètres!$A$1:$I$89,5,0)</f>
        <v>13.664038455813092</v>
      </c>
      <c r="FG17" s="14">
        <f t="shared" si="47"/>
        <v>4.6446151675614402</v>
      </c>
      <c r="FH17" s="22">
        <f t="shared" si="22"/>
        <v>31.887571727377306</v>
      </c>
      <c r="FI17" s="62">
        <f t="shared" si="23"/>
        <v>325.22090506071061</v>
      </c>
      <c r="FJ17" s="62">
        <f ca="1">AVERAGE(OFFSET($FI$3,0,0,'Données projet'!$E$16+1,1))-AVERAGE(OFFSET($H$3,0,0,'Données projet'!$E$16+1,1))</f>
        <v>343.71044073996887</v>
      </c>
      <c r="FK17" s="62">
        <f t="shared" si="48"/>
        <v>193.51732627292375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14.927585237660953</v>
      </c>
      <c r="P18" s="14">
        <f t="shared" si="33"/>
        <v>5.0221449106318534</v>
      </c>
      <c r="Q18" s="22">
        <f t="shared" si="2"/>
        <v>34.745780008276633</v>
      </c>
      <c r="R18" s="62">
        <f t="shared" si="0"/>
        <v>328.07911334160997</v>
      </c>
      <c r="S18" s="62">
        <f ca="1">AVERAGE(OFFSET($R$3,0,0,'Données projet'!$E$9+1,1))-AVERAGE(OFFSET($H$3,0,0,'Données projet'!$E$9+1,1))</f>
        <v>303.73499739059076</v>
      </c>
      <c r="T18" s="62">
        <f t="shared" si="34"/>
        <v>172.32171001882188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>
        <f>VLOOKUP(A18,'Données projet'!$A$61:$I$81,2,0)</f>
        <v>37</v>
      </c>
      <c r="AG18" s="13">
        <f>VLOOKUP(A18,'Données projet'!$A$61:$I$81,9,0)</f>
        <v>2.4666666666666668</v>
      </c>
      <c r="AH18" s="13">
        <f t="array" ref="AH18">INDEX(AG:AG,MIN(IF(ISNUMBER(AG18:AG214),ROW(AG18:AG214),"")))</f>
        <v>2.4666666666666668</v>
      </c>
      <c r="AI18" s="14">
        <f>IF('Données projet'!$A$62&gt;35,AI17+AH18-AQ17,IF(A18&lt;'Données projet'!$A$62,$AF$205^A18,IF(A18='Données projet'!$A$62,'Données projet'!$B$62,AI17+AH18-AQ17)))</f>
        <v>37</v>
      </c>
      <c r="AJ18" s="14">
        <f>AI18*VLOOKUP('Données projet'!$B$10,Paramètres!$A$1:$I$89,3,0)*VLOOKUP('Données projet'!$B$10,Paramètres!$A$1:$I$89,5,0)</f>
        <v>27.128400000000003</v>
      </c>
      <c r="AK18" s="14">
        <f t="shared" si="35"/>
        <v>8.5138436537878839</v>
      </c>
      <c r="AL18" s="22">
        <f t="shared" si="4"/>
        <v>62.076907697013901</v>
      </c>
      <c r="AM18" s="62">
        <f t="shared" si="5"/>
        <v>355.41024103034721</v>
      </c>
      <c r="AN18" s="62">
        <f ca="1">AVERAGE(OFFSET($AM$3,0,0,'Données projet'!$E$10+1,1))-AVERAGE(OFFSET($H$3,0,0,'Données projet'!$E$10+1,1))</f>
        <v>215.66498680344858</v>
      </c>
      <c r="AO18" s="62">
        <f t="shared" si="36"/>
        <v>199.86715787211114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>
        <f>VLOOKUP(A18,'Données projet'!$A$87:$I$107,2,0)</f>
        <v>88.9</v>
      </c>
      <c r="BB18" s="13">
        <f>VLOOKUP(A18,'Données projet'!$A$87:$I$107,9,0)</f>
        <v>18.5</v>
      </c>
      <c r="BC18" s="13">
        <f t="array" ref="BC18">INDEX(BB:BB,MIN(IF(ISNUMBER(BB18:BB214),ROW(BB18:BB214),"")))</f>
        <v>18.5</v>
      </c>
      <c r="BD18" s="13">
        <f>IF('Données projet'!$A$88&gt;35,BD17+BC18-BL17,IF(A18&lt;'Données projet'!$A$88,$BA$205^A18,IF(A18='Données projet'!$A$88,'Données projet'!$B$88,BD17+BC18-BL17)))</f>
        <v>88.9</v>
      </c>
      <c r="BE18" s="14">
        <f>BD18*VLOOKUP('Données projet'!$B$11,Paramètres!$A$1:$I$89,3,0)*VLOOKUP('Données projet'!$B$11,Paramètres!$A$1:$I$89,5,0)</f>
        <v>53.162200000000006</v>
      </c>
      <c r="BF18" s="14">
        <f t="shared" si="37"/>
        <v>15.427474137354887</v>
      </c>
      <c r="BG18" s="22">
        <f t="shared" si="7"/>
        <v>119.46034912255978</v>
      </c>
      <c r="BH18" s="62">
        <f t="shared" si="8"/>
        <v>412.79368245589308</v>
      </c>
      <c r="BI18" s="62">
        <f ca="1">AVERAGE(OFFSET($BH$3,0,0,'Données projet'!$E$11+1,1))-AVERAGE(OFFSET($H$3,0,0,'Données projet'!$E$11+1,1))</f>
        <v>155.11440101086782</v>
      </c>
      <c r="BJ18" s="62">
        <f t="shared" si="38"/>
        <v>239.53454701506638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23.3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1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15.775845494355261</v>
      </c>
      <c r="BS18" s="24">
        <f t="shared" si="9"/>
        <v>15.775845494355261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>
        <f>VLOOKUP(A18,'Données projet'!$A$113:$I$133,2,0)</f>
        <v>88.9</v>
      </c>
      <c r="BW18" s="13">
        <f>VLOOKUP(A18,'Données projet'!$A$113:$I$133,9,0)</f>
        <v>18.5</v>
      </c>
      <c r="BX18" s="13">
        <f t="array" ref="BX18">INDEX(BW:BW,MIN(IF(ISNUMBER(BW18:BW214),ROW(BW18:BW214),"")))</f>
        <v>18.5</v>
      </c>
      <c r="BY18" s="13">
        <f>IF('Données projet'!$A$114&gt;35,BY17+BX18-CG17,IF(A18&lt;'Données projet'!$A$114,$BV$205^A18,IF(A18='Données projet'!$A$114,'Données projet'!$B$114,BY17+BX18-CG17)))</f>
        <v>88.9</v>
      </c>
      <c r="BZ18" s="14">
        <f>BY18*VLOOKUP('Données projet'!$B$12,Paramètres!$A$1:$I$89,3,0)*VLOOKUP('Données projet'!$B$12,Paramètres!$A$1:$I$89,5,0)</f>
        <v>53.162200000000006</v>
      </c>
      <c r="CA18" s="14">
        <f t="shared" si="39"/>
        <v>15.427474137354887</v>
      </c>
      <c r="CB18" s="22">
        <f t="shared" si="10"/>
        <v>119.46034912255978</v>
      </c>
      <c r="CC18" s="62">
        <f t="shared" si="11"/>
        <v>412.79368245589308</v>
      </c>
      <c r="CD18" s="62">
        <f ca="1">AVERAGE(OFFSET($CC$3,0,0,'Données projet'!$E$12+1,1))-AVERAGE(OFFSET($H$3,0,0,'Données projet'!$E$12+1,1))</f>
        <v>155.11440101086782</v>
      </c>
      <c r="CE18" s="62">
        <f t="shared" si="40"/>
        <v>239.53454701506638</v>
      </c>
      <c r="CF18" s="16">
        <f>IF(ISNA(VLOOKUP(A18,'Données projet'!$A$113:$I$133,3,0)),0,VLOOKUP(A18,'Données projet'!$A$113:$I$133,3,0))</f>
        <v>1</v>
      </c>
      <c r="CG18" s="16">
        <f>IF(ISNA(VLOOKUP(A18,'Données projet'!$A$113:$I$133,4,0)),0,VLOOKUP(A18,'Données projet'!$A$113:$I$133,4,0))</f>
        <v>23.3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1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15.775845494355261</v>
      </c>
      <c r="CN18" s="24">
        <f t="shared" si="12"/>
        <v>15.775845494355261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>
        <f>VLOOKUP(A18,'Données projet'!$A$139:$I$159,2,0)</f>
        <v>49</v>
      </c>
      <c r="CR18" s="13">
        <f>VLOOKUP(A18,'Données projet'!$A$139:$I$159,9,0)</f>
        <v>8</v>
      </c>
      <c r="CS18" s="13">
        <f t="array" ref="CS18">INDEX(CR:CR,MIN(IF(ISNUMBER(CR18:CR214),ROW(CR18:CR214),"")))</f>
        <v>8</v>
      </c>
      <c r="CT18" s="13">
        <f>IF('Données projet'!$A$140&gt;35,CT17+CS18-DB17,IF(A18&lt;'Données projet'!$A$140,$CQ$205^A18,IF(A18='Données projet'!$A$140,'Données projet'!$B$140,CT17+CS18-DB17)))</f>
        <v>49</v>
      </c>
      <c r="CU18" s="18">
        <f>CT18*VLOOKUP('Données projet'!$B$13,Paramètres!$A$1:$I$89,3,0)*VLOOKUP('Données projet'!$B$13,Paramètres!$A$1:$I$89,5,0)</f>
        <v>39.748800000000003</v>
      </c>
      <c r="CV18" s="14">
        <f t="shared" si="41"/>
        <v>11.932041927023215</v>
      </c>
      <c r="CW18" s="22">
        <f t="shared" si="13"/>
        <v>90.010799689565431</v>
      </c>
      <c r="CX18" s="62">
        <f t="shared" si="14"/>
        <v>383.34413302289875</v>
      </c>
      <c r="CY18" s="62">
        <f ca="1">AVERAGE(OFFSET($CX$3,0,0,'Données projet'!$E$13+1,1))-AVERAGE(OFFSET($H$3,0,0,'Données projet'!$E$13+1,1))</f>
        <v>191.03017979797141</v>
      </c>
      <c r="CZ18" s="62">
        <f t="shared" si="42"/>
        <v>222.78252111624278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>
        <f>VLOOKUP(A18,'Données projet'!$A$165:$I$185,2,0)</f>
        <v>36.53846153846154</v>
      </c>
      <c r="DM18" s="13">
        <f>VLOOKUP(A18,'Données projet'!$A$165:$I$185,9,0)</f>
        <v>2.4358974358974361</v>
      </c>
      <c r="DN18" s="13">
        <f t="array" ref="DN18">INDEX(DM:DM,MIN(IF(ISNUMBER(DM18:DM214),ROW(DM18:DM214),"")))</f>
        <v>2.4358974358974361</v>
      </c>
      <c r="DO18" s="13">
        <f>IF('Données projet'!$A$166&gt;35,DO17+DN18-DW17,IF(A18&lt;'Données projet'!$A$166,$DL$205^A18,IF(A18='Données projet'!$A$166,'Données projet'!$B$166,DO17+DN18-DW17)))</f>
        <v>36.53846153846154</v>
      </c>
      <c r="DP18" s="18">
        <f>DO18*VLOOKUP('Données projet'!$B$14,Paramètres!$A$1:$I$89,3,0)*VLOOKUP('Données projet'!$B$14,Paramètres!$A$1:$I$89,5,0)</f>
        <v>34.770000000000003</v>
      </c>
      <c r="DQ18" s="14">
        <f t="shared" si="43"/>
        <v>10.601334297333203</v>
      </c>
      <c r="DR18" s="22">
        <f t="shared" si="16"/>
        <v>79.021740567855332</v>
      </c>
      <c r="DS18" s="62">
        <f t="shared" si="17"/>
        <v>372.35507390118863</v>
      </c>
      <c r="DT18" s="62">
        <f ca="1">AVERAGE(OFFSET($DS$3,0,0,'Données projet'!$E$14+1,1))-AVERAGE(OFFSET($H$3,0,0,'Données projet'!$E$14+1,1))</f>
        <v>260.93525280373063</v>
      </c>
      <c r="DU18" s="62">
        <f t="shared" si="44"/>
        <v>206.83968452163816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1.9558333333333331</v>
      </c>
      <c r="EJ18" s="13">
        <f>IF('Données projet'!$A$192&gt;35,EJ17+EI18-ER17,IF(A18&lt;'Données projet'!$A$192,$EG$205^A18,IF(A18='Données projet'!$A$192,'Données projet'!$B$192,EJ17+EI18-ER17)))</f>
        <v>25.120833333333337</v>
      </c>
      <c r="EK18" s="18">
        <f>EJ18*VLOOKUP('Données projet'!$B$15,Paramètres!$A$1:$I$89,3,0)*VLOOKUP('Données projet'!$B$15,Paramètres!$A$1:$I$89,5,0)</f>
        <v>28.939200000000003</v>
      </c>
      <c r="EL18" s="14">
        <f t="shared" si="45"/>
        <v>9.0140830494369073</v>
      </c>
      <c r="EM18" s="22">
        <f t="shared" si="19"/>
        <v>66.101967977769291</v>
      </c>
      <c r="EN18" s="62">
        <f t="shared" si="20"/>
        <v>359.43530131110259</v>
      </c>
      <c r="EO18" s="62">
        <f ca="1">AVERAGE(OFFSET($EN$3,0,0,'Données projet'!$E$15+1,1))-AVERAGE(OFFSET($H$3,0,0,'Données projet'!$E$15+1,1))</f>
        <v>118.01099353898547</v>
      </c>
      <c r="EP18" s="62">
        <f t="shared" si="46"/>
        <v>103.17146760845947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2.1</v>
      </c>
      <c r="FE18" s="13">
        <f>IF('Données projet'!$A$218&gt;35,FE17+FD18-FM17,IF(A18&lt;'Données projet'!$A$218,$FB$205^A18,IF(A18='Données projet'!$A$218,'Données projet'!$B$218,FE17+FD18-FM17)))</f>
        <v>16.498215337821566</v>
      </c>
      <c r="FF18" s="18">
        <f>FE18*VLOOKUP('Données projet'!$B$16,Paramètres!$A$1:$I$89,3,0)*VLOOKUP('Données projet'!$B$16,Paramètres!$A$1:$I$89,5,0)</f>
        <v>16.471818193281052</v>
      </c>
      <c r="FG18" s="14">
        <f t="shared" si="47"/>
        <v>5.4785406668220675</v>
      </c>
      <c r="FH18" s="22">
        <f t="shared" si="22"/>
        <v>38.23020834801293</v>
      </c>
      <c r="FI18" s="62">
        <f t="shared" si="23"/>
        <v>331.56354168134624</v>
      </c>
      <c r="FJ18" s="62">
        <f ca="1">AVERAGE(OFFSET($FI$3,0,0,'Données projet'!$E$16+1,1))-AVERAGE(OFFSET($H$3,0,0,'Données projet'!$E$16+1,1))</f>
        <v>343.71044073996887</v>
      </c>
      <c r="FK18" s="62">
        <f t="shared" si="48"/>
        <v>193.51732627292375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17.995007178485412</v>
      </c>
      <c r="P19" s="14">
        <f t="shared" si="33"/>
        <v>5.9238546434872337</v>
      </c>
      <c r="Q19" s="22">
        <f t="shared" si="2"/>
        <v>41.658684339935689</v>
      </c>
      <c r="R19" s="62">
        <f t="shared" si="0"/>
        <v>334.992017673269</v>
      </c>
      <c r="S19" s="62">
        <f ca="1">AVERAGE(OFFSET($R$3,0,0,'Données projet'!$E$9+1,1))-AVERAGE(OFFSET($H$3,0,0,'Données projet'!$E$9+1,1))</f>
        <v>303.73499739059076</v>
      </c>
      <c r="T19" s="62">
        <f t="shared" si="34"/>
        <v>172.32171001882188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11.6</v>
      </c>
      <c r="AI19" s="14">
        <f>IF('Données projet'!$A$62&gt;35,AI18+AH19-AQ18,IF(A19&lt;'Données projet'!$A$62,$AF$205^A19,IF(A19='Données projet'!$A$62,'Données projet'!$B$62,AI18+AH19-AQ18)))</f>
        <v>48.6</v>
      </c>
      <c r="AJ19" s="14">
        <f>AI19*VLOOKUP('Données projet'!$B$10,Paramètres!$A$1:$I$89,3,0)*VLOOKUP('Données projet'!$B$10,Paramètres!$A$1:$I$89,5,0)</f>
        <v>35.633519999999997</v>
      </c>
      <c r="AK19" s="14">
        <f t="shared" si="35"/>
        <v>10.833640868297282</v>
      </c>
      <c r="AL19" s="22">
        <f t="shared" si="4"/>
        <v>80.930305178951087</v>
      </c>
      <c r="AM19" s="62">
        <f t="shared" si="5"/>
        <v>374.26363851228439</v>
      </c>
      <c r="AN19" s="62">
        <f ca="1">AVERAGE(OFFSET($AM$3,0,0,'Données projet'!$E$10+1,1))-AVERAGE(OFFSET($H$3,0,0,'Données projet'!$E$10+1,1))</f>
        <v>215.66498680344858</v>
      </c>
      <c r="AO19" s="62">
        <f t="shared" si="36"/>
        <v>199.86715787211114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11.349999999999994</v>
      </c>
      <c r="BD19" s="13">
        <f>IF('Données projet'!$A$88&gt;35,BD18+BC19-BL18,IF(A19&lt;'Données projet'!$A$88,$BA$205^A19,IF(A19='Données projet'!$A$88,'Données projet'!$B$88,BD18+BC19-BL18)))</f>
        <v>76.95</v>
      </c>
      <c r="BE19" s="14">
        <f>BD19*VLOOKUP('Données projet'!$B$11,Paramètres!$A$1:$I$89,3,0)*VLOOKUP('Données projet'!$B$11,Paramètres!$A$1:$I$89,5,0)</f>
        <v>46.016100000000009</v>
      </c>
      <c r="BF19" s="14">
        <f t="shared" si="37"/>
        <v>13.579981282689923</v>
      </c>
      <c r="BG19" s="22">
        <f t="shared" si="7"/>
        <v>103.79650823401829</v>
      </c>
      <c r="BH19" s="62">
        <f t="shared" si="8"/>
        <v>397.1298415673516</v>
      </c>
      <c r="BI19" s="62">
        <f ca="1">AVERAGE(OFFSET($BH$3,0,0,'Données projet'!$E$11+1,1))-AVERAGE(OFFSET($H$3,0,0,'Données projet'!$E$11+1,1))</f>
        <v>155.11440101086782</v>
      </c>
      <c r="BJ19" s="62">
        <f t="shared" si="38"/>
        <v>239.53454701506638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11.155207328009848</v>
      </c>
      <c r="BS19" s="24">
        <f t="shared" si="9"/>
        <v>11.155207328009848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11.349999999999994</v>
      </c>
      <c r="BY19" s="13">
        <f>IF('Données projet'!$A$114&gt;35,BY18+BX19-CG18,IF(A19&lt;'Données projet'!$A$114,$BV$205^A19,IF(A19='Données projet'!$A$114,'Données projet'!$B$114,BY18+BX19-CG18)))</f>
        <v>76.95</v>
      </c>
      <c r="BZ19" s="14">
        <f>BY19*VLOOKUP('Données projet'!$B$12,Paramètres!$A$1:$I$89,3,0)*VLOOKUP('Données projet'!$B$12,Paramètres!$A$1:$I$89,5,0)</f>
        <v>46.016100000000009</v>
      </c>
      <c r="CA19" s="14">
        <f t="shared" si="39"/>
        <v>13.579981282689923</v>
      </c>
      <c r="CB19" s="22">
        <f t="shared" si="10"/>
        <v>103.79650823401829</v>
      </c>
      <c r="CC19" s="62">
        <f t="shared" si="11"/>
        <v>397.1298415673516</v>
      </c>
      <c r="CD19" s="62">
        <f ca="1">AVERAGE(OFFSET($CC$3,0,0,'Données projet'!$E$12+1,1))-AVERAGE(OFFSET($H$3,0,0,'Données projet'!$E$12+1,1))</f>
        <v>155.11440101086782</v>
      </c>
      <c r="CE19" s="62">
        <f t="shared" si="40"/>
        <v>239.53454701506638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11.155207328009848</v>
      </c>
      <c r="CN19" s="24">
        <f t="shared" si="12"/>
        <v>11.155207328009848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10</v>
      </c>
      <c r="CT19" s="13">
        <f>IF('Données projet'!$A$140&gt;35,CT18+CS19-DB18,IF(A19&lt;'Données projet'!$A$140,$CQ$205^A19,IF(A19='Données projet'!$A$140,'Données projet'!$B$140,CT18+CS19-DB18)))</f>
        <v>59</v>
      </c>
      <c r="CU19" s="18">
        <f>CT19*VLOOKUP('Données projet'!$B$13,Paramètres!$A$1:$I$89,3,0)*VLOOKUP('Données projet'!$B$13,Paramètres!$A$1:$I$89,5,0)</f>
        <v>47.860800000000005</v>
      </c>
      <c r="CV19" s="14">
        <f t="shared" si="41"/>
        <v>14.059903887836867</v>
      </c>
      <c r="CW19" s="22">
        <f t="shared" si="13"/>
        <v>107.84522593798255</v>
      </c>
      <c r="CX19" s="62">
        <f t="shared" si="14"/>
        <v>401.17855927131586</v>
      </c>
      <c r="CY19" s="62">
        <f ca="1">AVERAGE(OFFSET($CX$3,0,0,'Données projet'!$E$13+1,1))-AVERAGE(OFFSET($H$3,0,0,'Données projet'!$E$13+1,1))</f>
        <v>191.03017979797141</v>
      </c>
      <c r="CZ19" s="62">
        <f t="shared" si="42"/>
        <v>222.78252111624278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6.2820512820512802</v>
      </c>
      <c r="DO19" s="13">
        <f>IF('Données projet'!$A$166&gt;35,DO18+DN19-DW18,IF(A19&lt;'Données projet'!$A$166,$DL$205^A19,IF(A19='Données projet'!$A$166,'Données projet'!$B$166,DO18+DN19-DW18)))</f>
        <v>42.820512820512818</v>
      </c>
      <c r="DP19" s="18">
        <f>DO19*VLOOKUP('Données projet'!$B$14,Paramètres!$A$1:$I$89,3,0)*VLOOKUP('Données projet'!$B$14,Paramètres!$A$1:$I$89,5,0)</f>
        <v>40.747999999999998</v>
      </c>
      <c r="DQ19" s="14">
        <f t="shared" si="43"/>
        <v>12.196690104400222</v>
      </c>
      <c r="DR19" s="22">
        <f t="shared" si="16"/>
        <v>92.212001931830386</v>
      </c>
      <c r="DS19" s="62">
        <f t="shared" si="17"/>
        <v>385.54533526516371</v>
      </c>
      <c r="DT19" s="62">
        <f ca="1">AVERAGE(OFFSET($DS$3,0,0,'Données projet'!$E$14+1,1))-AVERAGE(OFFSET($H$3,0,0,'Données projet'!$E$14+1,1))</f>
        <v>260.93525280373063</v>
      </c>
      <c r="DU19" s="62">
        <f t="shared" si="44"/>
        <v>206.83968452163816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1.9558333333333331</v>
      </c>
      <c r="EJ19" s="13">
        <f>IF('Données projet'!$A$192&gt;35,EJ18+EI19-ER18,IF(A19&lt;'Données projet'!$A$192,$EG$205^A19,IF(A19='Données projet'!$A$192,'Données projet'!$B$192,EJ18+EI19-ER18)))</f>
        <v>27.076666666666672</v>
      </c>
      <c r="EK19" s="18">
        <f>EJ19*VLOOKUP('Données projet'!$B$15,Paramètres!$A$1:$I$89,3,0)*VLOOKUP('Données projet'!$B$15,Paramètres!$A$1:$I$89,5,0)</f>
        <v>31.192320000000002</v>
      </c>
      <c r="EL19" s="14">
        <f t="shared" si="45"/>
        <v>9.6314703672580624</v>
      </c>
      <c r="EM19" s="22">
        <f t="shared" si="19"/>
        <v>71.101434889641112</v>
      </c>
      <c r="EN19" s="62">
        <f t="shared" si="20"/>
        <v>364.43476822297441</v>
      </c>
      <c r="EO19" s="62">
        <f ca="1">AVERAGE(OFFSET($EN$3,0,0,'Données projet'!$E$15+1,1))-AVERAGE(OFFSET($H$3,0,0,'Données projet'!$E$15+1,1))</f>
        <v>118.01099353898547</v>
      </c>
      <c r="EP19" s="62">
        <f t="shared" si="46"/>
        <v>103.17146760845947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2.1</v>
      </c>
      <c r="FE19" s="13">
        <f>IF('Données projet'!$A$218&gt;35,FE18+FD19-FM18,IF(A19&lt;'Données projet'!$A$218,$FB$205^A19,IF(A19='Données projet'!$A$218,'Données projet'!$B$218,FE18+FD19-FM18)))</f>
        <v>19.888381054913147</v>
      </c>
      <c r="FF19" s="18">
        <f>FE19*VLOOKUP('Données projet'!$B$16,Paramètres!$A$1:$I$89,3,0)*VLOOKUP('Données projet'!$B$16,Paramètres!$A$1:$I$89,5,0)</f>
        <v>19.856559645225289</v>
      </c>
      <c r="FG19" s="14">
        <f t="shared" si="47"/>
        <v>6.4621947686102121</v>
      </c>
      <c r="FH19" s="22">
        <f t="shared" si="22"/>
        <v>45.838497270763497</v>
      </c>
      <c r="FI19" s="62">
        <f t="shared" si="23"/>
        <v>339.17183060409684</v>
      </c>
      <c r="FJ19" s="62">
        <f ca="1">AVERAGE(OFFSET($FI$3,0,0,'Données projet'!$E$16+1,1))-AVERAGE(OFFSET($H$3,0,0,'Données projet'!$E$16+1,1))</f>
        <v>343.71044073996887</v>
      </c>
      <c r="FK19" s="62">
        <f t="shared" si="48"/>
        <v>193.51732627292375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21.692743883101215</v>
      </c>
      <c r="P20" s="14">
        <f t="shared" si="33"/>
        <v>6.98746341685115</v>
      </c>
      <c r="Q20" s="22">
        <f t="shared" si="2"/>
        <v>49.951361047417038</v>
      </c>
      <c r="R20" s="62">
        <f t="shared" si="0"/>
        <v>343.28469438075035</v>
      </c>
      <c r="S20" s="62">
        <f ca="1">AVERAGE(OFFSET($R$3,0,0,'Données projet'!$E$9+1,1))-AVERAGE(OFFSET($H$3,0,0,'Données projet'!$E$9+1,1))</f>
        <v>303.73499739059076</v>
      </c>
      <c r="T20" s="62">
        <f t="shared" si="34"/>
        <v>172.32171001882188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11.6</v>
      </c>
      <c r="AI20" s="14">
        <f>IF('Données projet'!$A$62&gt;35,AI19+AH20-AQ19,IF(A20&lt;'Données projet'!$A$62,$AF$205^A20,IF(A20='Données projet'!$A$62,'Données projet'!$B$62,AI19+AH20-AQ19)))</f>
        <v>60.2</v>
      </c>
      <c r="AJ20" s="14">
        <f>AI20*VLOOKUP('Données projet'!$B$10,Paramètres!$A$1:$I$89,3,0)*VLOOKUP('Données projet'!$B$10,Paramètres!$A$1:$I$89,5,0)</f>
        <v>44.138640000000002</v>
      </c>
      <c r="AK20" s="14">
        <f t="shared" si="35"/>
        <v>13.089229634046784</v>
      </c>
      <c r="AL20" s="22">
        <f t="shared" si="4"/>
        <v>99.671872945964807</v>
      </c>
      <c r="AM20" s="62">
        <f t="shared" si="5"/>
        <v>393.00520627929814</v>
      </c>
      <c r="AN20" s="62">
        <f ca="1">AVERAGE(OFFSET($AM$3,0,0,'Données projet'!$E$10+1,1))-AVERAGE(OFFSET($H$3,0,0,'Données projet'!$E$10+1,1))</f>
        <v>215.66498680344858</v>
      </c>
      <c r="AO20" s="62">
        <f t="shared" si="36"/>
        <v>199.86715787211114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>
        <f>VLOOKUP(A20,'Données projet'!$A$87:$I$107,2,0)</f>
        <v>88.3</v>
      </c>
      <c r="BB20" s="13">
        <f>VLOOKUP(A20,'Données projet'!$A$87:$I$107,9,0)</f>
        <v>11.349999999999994</v>
      </c>
      <c r="BC20" s="13">
        <f t="array" ref="BC20">INDEX(BB:BB,MIN(IF(ISNUMBER(BB20:BB216),ROW(BB20:BB216),"")))</f>
        <v>11.349999999999994</v>
      </c>
      <c r="BD20" s="13">
        <f>IF('Données projet'!$A$88&gt;35,BD19+BC20-BL19,IF(A20&lt;'Données projet'!$A$88,$BA$205^A20,IF(A20='Données projet'!$A$88,'Données projet'!$B$88,BD19+BC20-BL19)))</f>
        <v>88.3</v>
      </c>
      <c r="BE20" s="14">
        <f>BD20*VLOOKUP('Données projet'!$B$11,Paramètres!$A$1:$I$89,3,0)*VLOOKUP('Données projet'!$B$11,Paramètres!$A$1:$I$89,5,0)</f>
        <v>52.803400000000003</v>
      </c>
      <c r="BF20" s="14">
        <f t="shared" si="37"/>
        <v>15.335435323891819</v>
      </c>
      <c r="BG20" s="22">
        <f t="shared" si="7"/>
        <v>118.67513818911159</v>
      </c>
      <c r="BH20" s="62">
        <f t="shared" si="8"/>
        <v>412.00847152244489</v>
      </c>
      <c r="BI20" s="62">
        <f ca="1">AVERAGE(OFFSET($BH$3,0,0,'Données projet'!$E$11+1,1))-AVERAGE(OFFSET($H$3,0,0,'Données projet'!$E$11+1,1))</f>
        <v>155.11440101086782</v>
      </c>
      <c r="BJ20" s="62">
        <f t="shared" si="38"/>
        <v>239.53454701506638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7.8879227471776314</v>
      </c>
      <c r="BS20" s="24">
        <f t="shared" si="9"/>
        <v>7.8879227471776314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>
        <f>VLOOKUP(A20,'Données projet'!$A$113:$I$133,2,0)</f>
        <v>88.3</v>
      </c>
      <c r="BW20" s="13">
        <f>VLOOKUP(A20,'Données projet'!$A$113:$I$133,9,0)</f>
        <v>11.349999999999994</v>
      </c>
      <c r="BX20" s="13">
        <f t="array" ref="BX20">INDEX(BW:BW,MIN(IF(ISNUMBER(BW20:BW216),ROW(BW20:BW216),"")))</f>
        <v>11.349999999999994</v>
      </c>
      <c r="BY20" s="13">
        <f>IF('Données projet'!$A$114&gt;35,BY19+BX20-CG19,IF(A20&lt;'Données projet'!$A$114,$BV$205^A20,IF(A20='Données projet'!$A$114,'Données projet'!$B$114,BY19+BX20-CG19)))</f>
        <v>88.3</v>
      </c>
      <c r="BZ20" s="14">
        <f>BY20*VLOOKUP('Données projet'!$B$12,Paramètres!$A$1:$I$89,3,0)*VLOOKUP('Données projet'!$B$12,Paramètres!$A$1:$I$89,5,0)</f>
        <v>52.803400000000003</v>
      </c>
      <c r="CA20" s="14">
        <f t="shared" si="39"/>
        <v>15.335435323891819</v>
      </c>
      <c r="CB20" s="22">
        <f t="shared" si="10"/>
        <v>118.67513818911159</v>
      </c>
      <c r="CC20" s="62">
        <f t="shared" si="11"/>
        <v>412.00847152244489</v>
      </c>
      <c r="CD20" s="62">
        <f ca="1">AVERAGE(OFFSET($CC$3,0,0,'Données projet'!$E$12+1,1))-AVERAGE(OFFSET($H$3,0,0,'Données projet'!$E$12+1,1))</f>
        <v>155.11440101086782</v>
      </c>
      <c r="CE20" s="62">
        <f t="shared" si="40"/>
        <v>239.53454701506638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7.8879227471776314</v>
      </c>
      <c r="CN20" s="24">
        <f t="shared" si="12"/>
        <v>7.8879227471776314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10</v>
      </c>
      <c r="CT20" s="13">
        <f>IF('Données projet'!$A$140&gt;35,CT19+CS20-DB19,IF(A20&lt;'Données projet'!$A$140,$CQ$205^A20,IF(A20='Données projet'!$A$140,'Données projet'!$B$140,CT19+CS20-DB19)))</f>
        <v>69</v>
      </c>
      <c r="CU20" s="18">
        <f>CT20*VLOOKUP('Données projet'!$B$13,Paramètres!$A$1:$I$89,3,0)*VLOOKUP('Données projet'!$B$13,Paramètres!$A$1:$I$89,5,0)</f>
        <v>55.972800000000007</v>
      </c>
      <c r="CV20" s="14">
        <f t="shared" si="41"/>
        <v>16.145985978099571</v>
      </c>
      <c r="CW20" s="22">
        <f t="shared" si="13"/>
        <v>125.60688557852342</v>
      </c>
      <c r="CX20" s="62">
        <f t="shared" si="14"/>
        <v>418.94021891185673</v>
      </c>
      <c r="CY20" s="62">
        <f ca="1">AVERAGE(OFFSET($CX$3,0,0,'Données projet'!$E$13+1,1))-AVERAGE(OFFSET($H$3,0,0,'Données projet'!$E$13+1,1))</f>
        <v>191.03017979797141</v>
      </c>
      <c r="CZ20" s="62">
        <f t="shared" si="42"/>
        <v>222.78252111624278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6.2820512820512802</v>
      </c>
      <c r="DO20" s="13">
        <f>IF('Données projet'!$A$166&gt;35,DO19+DN20-DW19,IF(A20&lt;'Données projet'!$A$166,$DL$205^A20,IF(A20='Données projet'!$A$166,'Données projet'!$B$166,DO19+DN20-DW19)))</f>
        <v>49.102564102564095</v>
      </c>
      <c r="DP20" s="18">
        <f>DO20*VLOOKUP('Données projet'!$B$14,Paramètres!$A$1:$I$89,3,0)*VLOOKUP('Données projet'!$B$14,Paramètres!$A$1:$I$89,5,0)</f>
        <v>46.725999999999992</v>
      </c>
      <c r="DQ20" s="14">
        <f t="shared" si="43"/>
        <v>13.764931291666562</v>
      </c>
      <c r="DR20" s="22">
        <f t="shared" si="16"/>
        <v>105.35503866631923</v>
      </c>
      <c r="DS20" s="62">
        <f t="shared" si="17"/>
        <v>398.68837199965253</v>
      </c>
      <c r="DT20" s="62">
        <f ca="1">AVERAGE(OFFSET($DS$3,0,0,'Données projet'!$E$14+1,1))-AVERAGE(OFFSET($H$3,0,0,'Données projet'!$E$14+1,1))</f>
        <v>260.93525280373063</v>
      </c>
      <c r="DU20" s="62">
        <f t="shared" si="44"/>
        <v>206.83968452163816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1.9558333333333331</v>
      </c>
      <c r="EJ20" s="13">
        <f>IF('Données projet'!$A$192&gt;35,EJ19+EI20-ER19,IF(A20&lt;'Données projet'!$A$192,$EG$205^A20,IF(A20='Données projet'!$A$192,'Données projet'!$B$192,EJ19+EI20-ER19)))</f>
        <v>29.032500000000006</v>
      </c>
      <c r="EK20" s="18">
        <f>EJ20*VLOOKUP('Données projet'!$B$15,Paramètres!$A$1:$I$89,3,0)*VLOOKUP('Données projet'!$B$15,Paramètres!$A$1:$I$89,5,0)</f>
        <v>33.445440000000005</v>
      </c>
      <c r="EL20" s="14">
        <f t="shared" si="45"/>
        <v>10.243683743720984</v>
      </c>
      <c r="EM20" s="22">
        <f t="shared" si="19"/>
        <v>76.091890520314053</v>
      </c>
      <c r="EN20" s="62">
        <f t="shared" si="20"/>
        <v>369.42522385364737</v>
      </c>
      <c r="EO20" s="62">
        <f ca="1">AVERAGE(OFFSET($EN$3,0,0,'Données projet'!$E$15+1,1))-AVERAGE(OFFSET($H$3,0,0,'Données projet'!$E$15+1,1))</f>
        <v>118.01099353898547</v>
      </c>
      <c r="EP20" s="62">
        <f t="shared" si="46"/>
        <v>103.17146760845947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2.1</v>
      </c>
      <c r="FE20" s="13">
        <f>IF('Données projet'!$A$218&gt;35,FE19+FD20-FM19,IF(A20&lt;'Données projet'!$A$218,$FB$205^A20,IF(A20='Données projet'!$A$218,'Données projet'!$B$218,FE19+FD20-FM19)))</f>
        <v>23.975181126327602</v>
      </c>
      <c r="FF20" s="18">
        <f>FE20*VLOOKUP('Données projet'!$B$16,Paramètres!$A$1:$I$89,3,0)*VLOOKUP('Données projet'!$B$16,Paramètres!$A$1:$I$89,5,0)</f>
        <v>23.936820836525477</v>
      </c>
      <c r="FG20" s="14">
        <f t="shared" si="47"/>
        <v>7.6224607549873005</v>
      </c>
      <c r="FH20" s="22">
        <f t="shared" si="22"/>
        <v>54.965748771884755</v>
      </c>
      <c r="FI20" s="62">
        <f t="shared" si="23"/>
        <v>348.29908210521808</v>
      </c>
      <c r="FJ20" s="62">
        <f ca="1">AVERAGE(OFFSET($FI$3,0,0,'Données projet'!$E$16+1,1))-AVERAGE(OFFSET($H$3,0,0,'Données projet'!$E$16+1,1))</f>
        <v>343.71044073996887</v>
      </c>
      <c r="FK20" s="62">
        <f t="shared" si="48"/>
        <v>193.51732627292375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26.150316724543362</v>
      </c>
      <c r="P21" s="14">
        <f t="shared" si="33"/>
        <v>8.2420396752158016</v>
      </c>
      <c r="Q21" s="22">
        <f t="shared" si="2"/>
        <v>59.900020729580547</v>
      </c>
      <c r="R21" s="62">
        <f t="shared" si="0"/>
        <v>353.23335406291386</v>
      </c>
      <c r="S21" s="62">
        <f ca="1">AVERAGE(OFFSET($R$3,0,0,'Données projet'!$E$9+1,1))-AVERAGE(OFFSET($H$3,0,0,'Données projet'!$E$9+1,1))</f>
        <v>303.73499739059076</v>
      </c>
      <c r="T21" s="62">
        <f t="shared" si="34"/>
        <v>172.32171001882188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11.6</v>
      </c>
      <c r="AI21" s="14">
        <f>IF('Données projet'!$A$62&gt;35,AI20+AH21-AQ20,IF(A21&lt;'Données projet'!$A$62,$AF$205^A21,IF(A21='Données projet'!$A$62,'Données projet'!$B$62,AI20+AH21-AQ20)))</f>
        <v>71.8</v>
      </c>
      <c r="AJ21" s="14">
        <f>AI21*VLOOKUP('Données projet'!$B$10,Paramètres!$A$1:$I$89,3,0)*VLOOKUP('Données projet'!$B$10,Paramètres!$A$1:$I$89,5,0)</f>
        <v>52.643759999999993</v>
      </c>
      <c r="AK21" s="14">
        <f t="shared" si="35"/>
        <v>15.294461344625528</v>
      </c>
      <c r="AL21" s="22">
        <f t="shared" si="4"/>
        <v>118.32573550855612</v>
      </c>
      <c r="AM21" s="62">
        <f t="shared" si="5"/>
        <v>411.65906884188945</v>
      </c>
      <c r="AN21" s="62">
        <f ca="1">AVERAGE(OFFSET($AM$3,0,0,'Données projet'!$E$10+1,1))-AVERAGE(OFFSET($H$3,0,0,'Données projet'!$E$10+1,1))</f>
        <v>215.66498680344858</v>
      </c>
      <c r="AO21" s="62">
        <f t="shared" si="36"/>
        <v>199.86715787211114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13.966666666666663</v>
      </c>
      <c r="BD21" s="13">
        <f>IF('Données projet'!$A$88&gt;35,BD20+BC21-BL20,IF(A21&lt;'Données projet'!$A$88,$BA$205^A21,IF(A21='Données projet'!$A$88,'Données projet'!$B$88,BD20+BC21-BL20)))</f>
        <v>102.26666666666667</v>
      </c>
      <c r="BE21" s="14">
        <f>BD21*VLOOKUP('Données projet'!$B$11,Paramètres!$A$1:$I$89,3,0)*VLOOKUP('Données projet'!$B$11,Paramètres!$A$1:$I$89,5,0)</f>
        <v>61.155466666666669</v>
      </c>
      <c r="BF21" s="14">
        <f t="shared" si="37"/>
        <v>17.460082132167067</v>
      </c>
      <c r="BG21" s="22">
        <f t="shared" si="7"/>
        <v>136.92208082463543</v>
      </c>
      <c r="BH21" s="62">
        <f t="shared" si="8"/>
        <v>430.25541415796874</v>
      </c>
      <c r="BI21" s="62">
        <f ca="1">AVERAGE(OFFSET($BH$3,0,0,'Données projet'!$E$11+1,1))-AVERAGE(OFFSET($H$3,0,0,'Données projet'!$E$11+1,1))</f>
        <v>155.11440101086782</v>
      </c>
      <c r="BJ21" s="62">
        <f t="shared" si="38"/>
        <v>239.53454701506638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5.5776036640049247</v>
      </c>
      <c r="BS21" s="24">
        <f t="shared" si="9"/>
        <v>5.5776036640049247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13.966666666666663</v>
      </c>
      <c r="BY21" s="13">
        <f>IF('Données projet'!$A$114&gt;35,BY20+BX21-CG20,IF(A21&lt;'Données projet'!$A$114,$BV$205^A21,IF(A21='Données projet'!$A$114,'Données projet'!$B$114,BY20+BX21-CG20)))</f>
        <v>102.26666666666667</v>
      </c>
      <c r="BZ21" s="14">
        <f>BY21*VLOOKUP('Données projet'!$B$12,Paramètres!$A$1:$I$89,3,0)*VLOOKUP('Données projet'!$B$12,Paramètres!$A$1:$I$89,5,0)</f>
        <v>61.155466666666669</v>
      </c>
      <c r="CA21" s="14">
        <f t="shared" si="39"/>
        <v>17.460082132167067</v>
      </c>
      <c r="CB21" s="22">
        <f t="shared" si="10"/>
        <v>136.92208082463543</v>
      </c>
      <c r="CC21" s="62">
        <f t="shared" si="11"/>
        <v>430.25541415796874</v>
      </c>
      <c r="CD21" s="62">
        <f ca="1">AVERAGE(OFFSET($CC$3,0,0,'Données projet'!$E$12+1,1))-AVERAGE(OFFSET($H$3,0,0,'Données projet'!$E$12+1,1))</f>
        <v>155.11440101086782</v>
      </c>
      <c r="CE21" s="62">
        <f t="shared" si="40"/>
        <v>239.53454701506638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5.5776036640049247</v>
      </c>
      <c r="CN21" s="24">
        <f t="shared" si="12"/>
        <v>5.5776036640049247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10</v>
      </c>
      <c r="CT21" s="13">
        <f>IF('Données projet'!$A$140&gt;35,CT20+CS21-DB20,IF(A21&lt;'Données projet'!$A$140,$CQ$205^A21,IF(A21='Données projet'!$A$140,'Données projet'!$B$140,CT20+CS21-DB20)))</f>
        <v>79</v>
      </c>
      <c r="CU21" s="18">
        <f>CT21*VLOOKUP('Données projet'!$B$13,Paramètres!$A$1:$I$89,3,0)*VLOOKUP('Données projet'!$B$13,Paramètres!$A$1:$I$89,5,0)</f>
        <v>64.084800000000001</v>
      </c>
      <c r="CV21" s="14">
        <f t="shared" si="41"/>
        <v>18.197042620605469</v>
      </c>
      <c r="CW21" s="22">
        <f t="shared" si="13"/>
        <v>143.30754256422119</v>
      </c>
      <c r="CX21" s="62">
        <f t="shared" si="14"/>
        <v>436.64087589755451</v>
      </c>
      <c r="CY21" s="62">
        <f ca="1">AVERAGE(OFFSET($CX$3,0,0,'Données projet'!$E$13+1,1))-AVERAGE(OFFSET($H$3,0,0,'Données projet'!$E$13+1,1))</f>
        <v>191.03017979797141</v>
      </c>
      <c r="CZ21" s="62">
        <f t="shared" si="42"/>
        <v>222.78252111624278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6.2820512820512802</v>
      </c>
      <c r="DO21" s="13">
        <f>IF('Données projet'!$A$166&gt;35,DO20+DN21-DW20,IF(A21&lt;'Données projet'!$A$166,$DL$205^A21,IF(A21='Données projet'!$A$166,'Données projet'!$B$166,DO20+DN21-DW20)))</f>
        <v>55.384615384615373</v>
      </c>
      <c r="DP21" s="18">
        <f>DO21*VLOOKUP('Données projet'!$B$14,Paramètres!$A$1:$I$89,3,0)*VLOOKUP('Données projet'!$B$14,Paramètres!$A$1:$I$89,5,0)</f>
        <v>52.703999999999994</v>
      </c>
      <c r="DQ21" s="14">
        <f t="shared" si="43"/>
        <v>15.30992453291827</v>
      </c>
      <c r="DR21" s="22">
        <f t="shared" si="16"/>
        <v>118.45758522816597</v>
      </c>
      <c r="DS21" s="62">
        <f t="shared" si="17"/>
        <v>411.79091856149927</v>
      </c>
      <c r="DT21" s="62">
        <f ca="1">AVERAGE(OFFSET($DS$3,0,0,'Données projet'!$E$14+1,1))-AVERAGE(OFFSET($H$3,0,0,'Données projet'!$E$14+1,1))</f>
        <v>260.93525280373063</v>
      </c>
      <c r="DU21" s="62">
        <f t="shared" si="44"/>
        <v>206.83968452163816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1.9558333333333331</v>
      </c>
      <c r="EJ21" s="13">
        <f>IF('Données projet'!$A$192&gt;35,EJ20+EI21-ER20,IF(A21&lt;'Données projet'!$A$192,$EG$205^A21,IF(A21='Données projet'!$A$192,'Données projet'!$B$192,EJ20+EI21-ER20)))</f>
        <v>30.98833333333334</v>
      </c>
      <c r="EK21" s="18">
        <f>EJ21*VLOOKUP('Données projet'!$B$15,Paramètres!$A$1:$I$89,3,0)*VLOOKUP('Données projet'!$B$15,Paramètres!$A$1:$I$89,5,0)</f>
        <v>35.698560000000008</v>
      </c>
      <c r="EL21" s="14">
        <f t="shared" si="45"/>
        <v>10.851111388752232</v>
      </c>
      <c r="EM21" s="22">
        <f t="shared" si="19"/>
        <v>81.074011002076816</v>
      </c>
      <c r="EN21" s="62">
        <f t="shared" si="20"/>
        <v>374.40734433541013</v>
      </c>
      <c r="EO21" s="62">
        <f ca="1">AVERAGE(OFFSET($EN$3,0,0,'Données projet'!$E$15+1,1))-AVERAGE(OFFSET($H$3,0,0,'Données projet'!$E$15+1,1))</f>
        <v>118.01099353898547</v>
      </c>
      <c r="EP21" s="62">
        <f t="shared" si="46"/>
        <v>103.17146760845947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2.1</v>
      </c>
      <c r="FE21" s="13">
        <f>IF('Données projet'!$A$218&gt;35,FE20+FD21-FM20,IF(A21&lt;'Données projet'!$A$218,$FB$205^A21,IF(A21='Données projet'!$A$218,'Données projet'!$B$218,FE20+FD21-FM20)))</f>
        <v>28.901764726506816</v>
      </c>
      <c r="FF21" s="18">
        <f>FE21*VLOOKUP('Données projet'!$B$16,Paramètres!$A$1:$I$89,3,0)*VLOOKUP('Données projet'!$B$16,Paramètres!$A$1:$I$89,5,0)</f>
        <v>28.855521902944407</v>
      </c>
      <c r="FG21" s="14">
        <f t="shared" si="47"/>
        <v>8.9910487135962995</v>
      </c>
      <c r="FH21" s="22">
        <f t="shared" si="22"/>
        <v>65.916110490475049</v>
      </c>
      <c r="FI21" s="62">
        <f t="shared" si="23"/>
        <v>359.24944382380835</v>
      </c>
      <c r="FJ21" s="62">
        <f ca="1">AVERAGE(OFFSET($FI$3,0,0,'Données projet'!$E$16+1,1))-AVERAGE(OFFSET($H$3,0,0,'Données projet'!$E$16+1,1))</f>
        <v>343.71044073996887</v>
      </c>
      <c r="FK21" s="62">
        <f t="shared" si="48"/>
        <v>193.51732627292375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31.52386201022027</v>
      </c>
      <c r="P22" s="14">
        <f t="shared" si="33"/>
        <v>9.7218710074397983</v>
      </c>
      <c r="Q22" s="22">
        <f t="shared" si="2"/>
        <v>71.836318339091292</v>
      </c>
      <c r="R22" s="62">
        <f t="shared" si="0"/>
        <v>365.16965167242461</v>
      </c>
      <c r="S22" s="62">
        <f ca="1">AVERAGE(OFFSET($R$3,0,0,'Données projet'!$E$9+1,1))-AVERAGE(OFFSET($H$3,0,0,'Données projet'!$E$9+1,1))</f>
        <v>303.73499739059076</v>
      </c>
      <c r="T22" s="62">
        <f t="shared" si="34"/>
        <v>172.32171001882188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11.6</v>
      </c>
      <c r="AI22" s="14">
        <f>IF('Données projet'!$A$62&gt;35,AI21+AH22-AQ21,IF(A22&lt;'Données projet'!$A$62,$AF$205^A22,IF(A22='Données projet'!$A$62,'Données projet'!$B$62,AI21+AH22-AQ21)))</f>
        <v>83.399999999999991</v>
      </c>
      <c r="AJ22" s="14">
        <f>AI22*VLOOKUP('Données projet'!$B$10,Paramètres!$A$1:$I$89,3,0)*VLOOKUP('Données projet'!$B$10,Paramètres!$A$1:$I$89,5,0)</f>
        <v>61.148879999999991</v>
      </c>
      <c r="AK22" s="14">
        <f t="shared" si="35"/>
        <v>17.458420499151</v>
      </c>
      <c r="AL22" s="22">
        <f t="shared" si="4"/>
        <v>136.9077150360213</v>
      </c>
      <c r="AM22" s="62">
        <f t="shared" si="5"/>
        <v>430.24104836935464</v>
      </c>
      <c r="AN22" s="62">
        <f ca="1">AVERAGE(OFFSET($AM$3,0,0,'Données projet'!$E$10+1,1))-AVERAGE(OFFSET($H$3,0,0,'Données projet'!$E$10+1,1))</f>
        <v>215.66498680344858</v>
      </c>
      <c r="AO22" s="62">
        <f t="shared" si="36"/>
        <v>199.86715787211114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13.966666666666663</v>
      </c>
      <c r="BD22" s="13">
        <f>IF('Données projet'!$A$88&gt;35,BD21+BC22-BL21,IF(A22&lt;'Données projet'!$A$88,$BA$205^A22,IF(A22='Données projet'!$A$88,'Données projet'!$B$88,BD21+BC22-BL21)))</f>
        <v>116.23333333333333</v>
      </c>
      <c r="BE22" s="14">
        <f>BD22*VLOOKUP('Données projet'!$B$11,Paramètres!$A$1:$I$89,3,0)*VLOOKUP('Données projet'!$B$11,Paramètres!$A$1:$I$89,5,0)</f>
        <v>69.507533333333342</v>
      </c>
      <c r="BF22" s="14">
        <f t="shared" si="37"/>
        <v>19.551110535209435</v>
      </c>
      <c r="BG22" s="22">
        <f t="shared" si="7"/>
        <v>155.11047140437867</v>
      </c>
      <c r="BH22" s="62">
        <f t="shared" si="8"/>
        <v>448.44380473771196</v>
      </c>
      <c r="BI22" s="62">
        <f ca="1">AVERAGE(OFFSET($BH$3,0,0,'Données projet'!$E$11+1,1))-AVERAGE(OFFSET($H$3,0,0,'Données projet'!$E$11+1,1))</f>
        <v>155.11440101086782</v>
      </c>
      <c r="BJ22" s="62">
        <f t="shared" si="38"/>
        <v>239.53454701506638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3.9439613735888162</v>
      </c>
      <c r="BS22" s="24">
        <f t="shared" si="9"/>
        <v>3.9439613735888162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13.966666666666663</v>
      </c>
      <c r="BY22" s="13">
        <f>IF('Données projet'!$A$114&gt;35,BY21+BX22-CG21,IF(A22&lt;'Données projet'!$A$114,$BV$205^A22,IF(A22='Données projet'!$A$114,'Données projet'!$B$114,BY21+BX22-CG21)))</f>
        <v>116.23333333333333</v>
      </c>
      <c r="BZ22" s="14">
        <f>BY22*VLOOKUP('Données projet'!$B$12,Paramètres!$A$1:$I$89,3,0)*VLOOKUP('Données projet'!$B$12,Paramètres!$A$1:$I$89,5,0)</f>
        <v>69.507533333333342</v>
      </c>
      <c r="CA22" s="14">
        <f t="shared" si="39"/>
        <v>19.551110535209435</v>
      </c>
      <c r="CB22" s="22">
        <f t="shared" si="10"/>
        <v>155.11047140437867</v>
      </c>
      <c r="CC22" s="62">
        <f t="shared" si="11"/>
        <v>448.44380473771196</v>
      </c>
      <c r="CD22" s="62">
        <f ca="1">AVERAGE(OFFSET($CC$3,0,0,'Données projet'!$E$12+1,1))-AVERAGE(OFFSET($H$3,0,0,'Données projet'!$E$12+1,1))</f>
        <v>155.11440101086782</v>
      </c>
      <c r="CE22" s="62">
        <f t="shared" si="40"/>
        <v>239.53454701506638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3.9439613735888162</v>
      </c>
      <c r="CN22" s="24">
        <f t="shared" si="12"/>
        <v>3.9439613735888162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10</v>
      </c>
      <c r="CT22" s="13">
        <f>IF('Données projet'!$A$140&gt;35,CT21+CS22-DB21,IF(A22&lt;'Données projet'!$A$140,$CQ$205^A22,IF(A22='Données projet'!$A$140,'Données projet'!$B$140,CT21+CS22-DB21)))</f>
        <v>89</v>
      </c>
      <c r="CU22" s="18">
        <f>CT22*VLOOKUP('Données projet'!$B$13,Paramètres!$A$1:$I$89,3,0)*VLOOKUP('Données projet'!$B$13,Paramètres!$A$1:$I$89,5,0)</f>
        <v>72.19680000000001</v>
      </c>
      <c r="CV22" s="14">
        <f t="shared" si="41"/>
        <v>20.218015459285922</v>
      </c>
      <c r="CW22" s="22">
        <f t="shared" si="13"/>
        <v>160.95580359158967</v>
      </c>
      <c r="CX22" s="62">
        <f t="shared" si="14"/>
        <v>454.28913692492301</v>
      </c>
      <c r="CY22" s="62">
        <f ca="1">AVERAGE(OFFSET($CX$3,0,0,'Données projet'!$E$13+1,1))-AVERAGE(OFFSET($H$3,0,0,'Données projet'!$E$13+1,1))</f>
        <v>191.03017979797141</v>
      </c>
      <c r="CZ22" s="62">
        <f t="shared" si="42"/>
        <v>222.78252111624278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6.2820512820512802</v>
      </c>
      <c r="DO22" s="13">
        <f>IF('Données projet'!$A$166&gt;35,DO21+DN22-DW21,IF(A22&lt;'Données projet'!$A$166,$DL$205^A22,IF(A22='Données projet'!$A$166,'Données projet'!$B$166,DO21+DN22-DW21)))</f>
        <v>61.66666666666665</v>
      </c>
      <c r="DP22" s="18">
        <f>DO22*VLOOKUP('Données projet'!$B$14,Paramètres!$A$1:$I$89,3,0)*VLOOKUP('Données projet'!$B$14,Paramètres!$A$1:$I$89,5,0)</f>
        <v>58.681999999999981</v>
      </c>
      <c r="DQ22" s="14">
        <f t="shared" si="43"/>
        <v>16.834607713213735</v>
      </c>
      <c r="DR22" s="22">
        <f t="shared" si="16"/>
        <v>131.52475843384721</v>
      </c>
      <c r="DS22" s="62">
        <f t="shared" si="17"/>
        <v>424.85809176718055</v>
      </c>
      <c r="DT22" s="62">
        <f ca="1">AVERAGE(OFFSET($DS$3,0,0,'Données projet'!$E$14+1,1))-AVERAGE(OFFSET($H$3,0,0,'Données projet'!$E$14+1,1))</f>
        <v>260.93525280373063</v>
      </c>
      <c r="DU22" s="62">
        <f t="shared" si="44"/>
        <v>206.83968452163816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1.9558333333333331</v>
      </c>
      <c r="EJ22" s="13">
        <f>IF('Données projet'!$A$192&gt;35,EJ21+EI22-ER21,IF(A22&lt;'Données projet'!$A$192,$EG$205^A22,IF(A22='Données projet'!$A$192,'Données projet'!$B$192,EJ21+EI22-ER21)))</f>
        <v>32.944166666666675</v>
      </c>
      <c r="EK22" s="18">
        <f>EJ22*VLOOKUP('Données projet'!$B$15,Paramètres!$A$1:$I$89,3,0)*VLOOKUP('Données projet'!$B$15,Paramètres!$A$1:$I$89,5,0)</f>
        <v>37.95168000000001</v>
      </c>
      <c r="EL22" s="14">
        <f t="shared" si="45"/>
        <v>11.454089738390872</v>
      </c>
      <c r="EM22" s="22">
        <f t="shared" si="19"/>
        <v>86.048382294364117</v>
      </c>
      <c r="EN22" s="62">
        <f t="shared" si="20"/>
        <v>379.38171562769742</v>
      </c>
      <c r="EO22" s="62">
        <f ca="1">AVERAGE(OFFSET($EN$3,0,0,'Données projet'!$E$15+1,1))-AVERAGE(OFFSET($H$3,0,0,'Données projet'!$E$15+1,1))</f>
        <v>118.01099353898547</v>
      </c>
      <c r="EP22" s="62">
        <f t="shared" si="46"/>
        <v>103.17146760845947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2.1</v>
      </c>
      <c r="FE22" s="13">
        <f>IF('Données projet'!$A$218&gt;35,FE21+FD22-FM21,IF(A22&lt;'Données projet'!$A$218,$FB$205^A22,IF(A22='Données projet'!$A$218,'Données projet'!$B$218,FE21+FD22-FM21)))</f>
        <v>34.840696297767764</v>
      </c>
      <c r="FF22" s="18">
        <f>FE22*VLOOKUP('Données projet'!$B$16,Paramètres!$A$1:$I$89,3,0)*VLOOKUP('Données projet'!$B$16,Paramètres!$A$1:$I$89,5,0)</f>
        <v>34.784951183691341</v>
      </c>
      <c r="FG22" s="14">
        <f t="shared" si="47"/>
        <v>10.605362174855349</v>
      </c>
      <c r="FH22" s="22">
        <f t="shared" si="22"/>
        <v>79.054795766135484</v>
      </c>
      <c r="FI22" s="62">
        <f t="shared" si="23"/>
        <v>372.38812909946881</v>
      </c>
      <c r="FJ22" s="62">
        <f ca="1">AVERAGE(OFFSET($FI$3,0,0,'Données projet'!$E$16+1,1))-AVERAGE(OFFSET($H$3,0,0,'Données projet'!$E$16+1,1))</f>
        <v>343.71044073996887</v>
      </c>
      <c r="FK22" s="62">
        <f t="shared" si="48"/>
        <v>193.51732627292375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38.001600000000003</v>
      </c>
      <c r="P23" s="14">
        <f t="shared" si="33"/>
        <v>11.467401227090512</v>
      </c>
      <c r="Q23" s="22">
        <f t="shared" si="2"/>
        <v>86.158510470515978</v>
      </c>
      <c r="R23" s="62">
        <f t="shared" si="0"/>
        <v>379.49184380384929</v>
      </c>
      <c r="S23" s="62">
        <f ca="1">AVERAGE(OFFSET($R$3,0,0,'Données projet'!$E$9+1,1))-AVERAGE(OFFSET($H$3,0,0,'Données projet'!$E$9+1,1))</f>
        <v>303.73499739059076</v>
      </c>
      <c r="T23" s="62">
        <f t="shared" si="34"/>
        <v>172.32171001882188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95</v>
      </c>
      <c r="AG23" s="13">
        <f>VLOOKUP(A23,'Données projet'!$A$61:$I$81,9,0)</f>
        <v>11.6</v>
      </c>
      <c r="AH23" s="13">
        <f t="array" ref="AH23">INDEX(AG:AG,MIN(IF(ISNUMBER(AG23:AG219),ROW(AG23:AG219),"")))</f>
        <v>11.6</v>
      </c>
      <c r="AI23" s="14">
        <f>IF('Données projet'!$A$62&gt;35,AI22+AH23-AQ22,IF(A23&lt;'Données projet'!$A$62,$AF$205^A23,IF(A23='Données projet'!$A$62,'Données projet'!$B$62,AI22+AH23-AQ22)))</f>
        <v>94.999999999999986</v>
      </c>
      <c r="AJ23" s="14">
        <f>AI23*VLOOKUP('Données projet'!$B$10,Paramètres!$A$1:$I$89,3,0)*VLOOKUP('Données projet'!$B$10,Paramètres!$A$1:$I$89,5,0)</f>
        <v>69.653999999999982</v>
      </c>
      <c r="AK23" s="14">
        <f t="shared" si="35"/>
        <v>19.587508813096782</v>
      </c>
      <c r="AL23" s="22">
        <f t="shared" si="4"/>
        <v>155.42896118281021</v>
      </c>
      <c r="AM23" s="62">
        <f t="shared" si="5"/>
        <v>448.76229451614353</v>
      </c>
      <c r="AN23" s="62">
        <f ca="1">AVERAGE(OFFSET($AM$3,0,0,'Données projet'!$E$10+1,1))-AVERAGE(OFFSET($H$3,0,0,'Données projet'!$E$10+1,1))</f>
        <v>215.66498680344858</v>
      </c>
      <c r="AO23" s="62">
        <f t="shared" si="36"/>
        <v>199.86715787211114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130.19999999999999</v>
      </c>
      <c r="BB23" s="13">
        <f>VLOOKUP(A23,'Données projet'!$A$87:$I$107,9,0)</f>
        <v>13.966666666666663</v>
      </c>
      <c r="BC23" s="13">
        <f t="array" ref="BC23">INDEX(BB:BB,MIN(IF(ISNUMBER(BB23:BB219),ROW(BB23:BB219),"")))</f>
        <v>13.966666666666663</v>
      </c>
      <c r="BD23" s="13">
        <f>IF('Données projet'!$A$88&gt;35,BD22+BC23-BL22,IF(A23&lt;'Données projet'!$A$88,$BA$205^A23,IF(A23='Données projet'!$A$88,'Données projet'!$B$88,BD22+BC23-BL22)))</f>
        <v>130.19999999999999</v>
      </c>
      <c r="BE23" s="14">
        <f>BD23*VLOOKUP('Données projet'!$B$11,Paramètres!$A$1:$I$89,3,0)*VLOOKUP('Données projet'!$B$11,Paramètres!$A$1:$I$89,5,0)</f>
        <v>77.8596</v>
      </c>
      <c r="BF23" s="14">
        <f t="shared" si="37"/>
        <v>21.613022058435771</v>
      </c>
      <c r="BG23" s="22">
        <f t="shared" si="7"/>
        <v>173.24815008510896</v>
      </c>
      <c r="BH23" s="62">
        <f t="shared" si="8"/>
        <v>466.5814834184423</v>
      </c>
      <c r="BI23" s="62">
        <f ca="1">AVERAGE(OFFSET($BH$3,0,0,'Données projet'!$E$11+1,1))-AVERAGE(OFFSET($H$3,0,0,'Données projet'!$E$11+1,1))</f>
        <v>155.11440101086782</v>
      </c>
      <c r="BJ23" s="62">
        <f t="shared" si="38"/>
        <v>239.53454701506638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34.1</v>
      </c>
      <c r="BM23" s="17">
        <f>IF(ISNA(VLOOKUP(A23,'Données projet'!$A$87:$I$107,5,0)),0%,VLOOKUP(A23,'Données projet'!$A$87:$I$107,5,0)*VLOOKUP('Données projet'!$B$11,Paramètres!$A$1:$I$89,7,0))</f>
        <v>0.1125</v>
      </c>
      <c r="BN23" s="17">
        <f>IF(ISNA(VLOOKUP(A23,'Données projet'!$A$87:$I$107,6,0)),0%,VLOOKUP(A23,'Données projet'!$A$87:$I$107,6,0)*VLOOKUP('Données projet'!$B$11,Paramètres!$A$1:$I$89,7,0))</f>
        <v>0.18000000000000002</v>
      </c>
      <c r="BO23" s="17">
        <f>IF(ISNA(VLOOKUP(A23,'Données projet'!$A$87:$I$107,7,0)),0%,VLOOKUP(A23,'Données projet'!$A$87:$I$107,7,0))</f>
        <v>0.35</v>
      </c>
      <c r="BP23" s="23">
        <f>EXP(-LN(2)/35)*BP22+(1-EXP(-LN(2)/35))/(LN(2)/35)*BL23*BM23*VLOOKUP('Données projet'!$B$11,Paramètres!$A$1:$I$89,3,0)*0.475*44/12</f>
        <v>3.0432416695236024</v>
      </c>
      <c r="BQ23" s="23">
        <f>EXP(-LN(2)/25)*BQ22+(1-EXP(-LN(2)/25))/(LN(2)/25)*Calculateur!BL23*Calculateur!BN23*VLOOKUP('Données projet'!$B$11,Paramètres!$A$1:$I$89,3,0)*0.475*44/12</f>
        <v>4.8500148280075246</v>
      </c>
      <c r="BR23" s="23">
        <f>EXP(-LN(2)/2)*BR22+(1-EXP(-LN(2)/2))/(LN(2)/2)*BL23*BO23*VLOOKUP('Données projet'!$B$11,Paramètres!$A$1:$I$89,3,0)*0.475*44/12</f>
        <v>10.869690929647527</v>
      </c>
      <c r="BS23" s="24">
        <f t="shared" si="9"/>
        <v>18.762947427178652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130.19999999999999</v>
      </c>
      <c r="BW23" s="13">
        <f>VLOOKUP(A23,'Données projet'!$A$113:$I$133,9,0)</f>
        <v>13.966666666666663</v>
      </c>
      <c r="BX23" s="13">
        <f t="array" ref="BX23">INDEX(BW:BW,MIN(IF(ISNUMBER(BW23:BW219),ROW(BW23:BW219),"")))</f>
        <v>13.966666666666663</v>
      </c>
      <c r="BY23" s="13">
        <f>IF('Données projet'!$A$114&gt;35,BY22+BX23-CG22,IF(A23&lt;'Données projet'!$A$114,$BV$205^A23,IF(A23='Données projet'!$A$114,'Données projet'!$B$114,BY22+BX23-CG22)))</f>
        <v>130.19999999999999</v>
      </c>
      <c r="BZ23" s="14">
        <f>BY23*VLOOKUP('Données projet'!$B$12,Paramètres!$A$1:$I$89,3,0)*VLOOKUP('Données projet'!$B$12,Paramètres!$A$1:$I$89,5,0)</f>
        <v>77.8596</v>
      </c>
      <c r="CA23" s="14">
        <f t="shared" si="39"/>
        <v>21.613022058435771</v>
      </c>
      <c r="CB23" s="22">
        <f t="shared" si="10"/>
        <v>173.24815008510896</v>
      </c>
      <c r="CC23" s="62">
        <f t="shared" si="11"/>
        <v>466.5814834184423</v>
      </c>
      <c r="CD23" s="62">
        <f ca="1">AVERAGE(OFFSET($CC$3,0,0,'Données projet'!$E$12+1,1))-AVERAGE(OFFSET($H$3,0,0,'Données projet'!$E$12+1,1))</f>
        <v>155.11440101086782</v>
      </c>
      <c r="CE23" s="62">
        <f t="shared" si="40"/>
        <v>239.53454701506638</v>
      </c>
      <c r="CF23" s="16">
        <f>IF(ISNA(VLOOKUP(A23,'Données projet'!$A$113:$I$133,3,0)),0,VLOOKUP(A23,'Données projet'!$A$113:$I$133,3,0))</f>
        <v>2</v>
      </c>
      <c r="CG23" s="16">
        <f>IF(ISNA(VLOOKUP(A23,'Données projet'!$A$113:$I$133,4,0)),0,VLOOKUP(A23,'Données projet'!$A$113:$I$133,4,0))</f>
        <v>34.1</v>
      </c>
      <c r="CH23" s="17">
        <f>IF(ISNA(VLOOKUP(A23,'Données projet'!$A$113:$I$133,5,0)),0%,VLOOKUP(A23,'Données projet'!$A$113:$I$133,5,0)*VLOOKUP('Données projet'!$B$12,Paramètres!$A$1:$I$89,7,0))</f>
        <v>0.1125</v>
      </c>
      <c r="CI23" s="17">
        <f>IF(ISNA(VLOOKUP(A23,'Données projet'!$A$113:$I$133,6,0)),0%,VLOOKUP(A23,'Données projet'!$A$113:$I$133,6,0)*VLOOKUP('Données projet'!$B$12,Paramètres!$A$1:$I$89,7,0))</f>
        <v>0.18000000000000002</v>
      </c>
      <c r="CJ23" s="17">
        <f>IF(ISNA(VLOOKUP(A23,'Données projet'!$A$113:$I$133,7,0)),0%,VLOOKUP(A23,'Données projet'!$A$113:$I$133,7,0))</f>
        <v>0.35</v>
      </c>
      <c r="CK23" s="23">
        <f>EXP(-LN(2)/35)*CK22+(1-EXP(-LN(2)/35))/(LN(2)/35)*CG23*CH23*VLOOKUP('Données projet'!$B$12,Paramètres!$A$1:$I$89,3,0)*0.475*44/12</f>
        <v>3.0432416695236024</v>
      </c>
      <c r="CL23" s="23">
        <f>EXP(-LN(2)/25)*CL22+(1-EXP(-LN(2)/25))/(LN(2)/25)*Calculateur!CG23*Calculateur!CI23*VLOOKUP('Données projet'!$B$12,Paramètres!$A$1:$I$89,3,0)*0.475*44/12</f>
        <v>4.8500148280075246</v>
      </c>
      <c r="CM23" s="23">
        <f>EXP(-LN(2)/2)*CM22+(1-EXP(-LN(2)/2))/(LN(2)/2)*CG23*CJ23*VLOOKUP('Données projet'!$B$12,Paramètres!$A$1:$I$89,3,0)*0.475*44/12</f>
        <v>10.869690929647527</v>
      </c>
      <c r="CN23" s="24">
        <f t="shared" si="12"/>
        <v>18.762947427178652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>
        <f>VLOOKUP(A23,'Données projet'!$A$139:$I$159,2,0)</f>
        <v>99</v>
      </c>
      <c r="CR23" s="13">
        <f>VLOOKUP(A23,'Données projet'!$A$139:$I$159,9,0)</f>
        <v>10</v>
      </c>
      <c r="CS23" s="13">
        <f t="array" ref="CS23">INDEX(CR:CR,MIN(IF(ISNUMBER(CR23:CR219),ROW(CR23:CR219),"")))</f>
        <v>10</v>
      </c>
      <c r="CT23" s="13">
        <f>IF('Données projet'!$A$140&gt;35,CT22+CS23-DB22,IF(A23&lt;'Données projet'!$A$140,$CQ$205^A23,IF(A23='Données projet'!$A$140,'Données projet'!$B$140,CT22+CS23-DB22)))</f>
        <v>99</v>
      </c>
      <c r="CU23" s="18">
        <f>CT23*VLOOKUP('Données projet'!$B$13,Paramètres!$A$1:$I$89,3,0)*VLOOKUP('Données projet'!$B$13,Paramètres!$A$1:$I$89,5,0)</f>
        <v>80.308800000000005</v>
      </c>
      <c r="CV23" s="14">
        <f t="shared" si="41"/>
        <v>22.212670396389218</v>
      </c>
      <c r="CW23" s="22">
        <f t="shared" si="13"/>
        <v>178.55822760704453</v>
      </c>
      <c r="CX23" s="62">
        <f t="shared" si="14"/>
        <v>471.89156094037787</v>
      </c>
      <c r="CY23" s="62">
        <f ca="1">AVERAGE(OFFSET($CX$3,0,0,'Données projet'!$E$13+1,1))-AVERAGE(OFFSET($H$3,0,0,'Données projet'!$E$13+1,1))</f>
        <v>191.03017979797141</v>
      </c>
      <c r="CZ23" s="62">
        <f t="shared" si="42"/>
        <v>222.78252111624278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40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>
        <f>VLOOKUP(A23,'Données projet'!$A$165:$I$185,2,0)</f>
        <v>67.948717948717942</v>
      </c>
      <c r="DM23" s="13">
        <f>VLOOKUP(A23,'Données projet'!$A$165:$I$185,9,0)</f>
        <v>6.2820512820512802</v>
      </c>
      <c r="DN23" s="13">
        <f t="array" ref="DN23">INDEX(DM:DM,MIN(IF(ISNUMBER(DM23:DM219),ROW(DM23:DM219),"")))</f>
        <v>6.2820512820512802</v>
      </c>
      <c r="DO23" s="13">
        <f>IF('Données projet'!$A$166&gt;35,DO22+DN23-DW22,IF(A23&lt;'Données projet'!$A$166,$DL$205^A23,IF(A23='Données projet'!$A$166,'Données projet'!$B$166,DO22+DN23-DW22)))</f>
        <v>67.948717948717928</v>
      </c>
      <c r="DP23" s="18">
        <f>DO23*VLOOKUP('Données projet'!$B$14,Paramètres!$A$1:$I$89,3,0)*VLOOKUP('Données projet'!$B$14,Paramètres!$A$1:$I$89,5,0)</f>
        <v>64.659999999999982</v>
      </c>
      <c r="DQ23" s="14">
        <f t="shared" si="43"/>
        <v>18.341285436472681</v>
      </c>
      <c r="DR23" s="22">
        <f t="shared" si="16"/>
        <v>144.56057213518989</v>
      </c>
      <c r="DS23" s="62">
        <f t="shared" si="17"/>
        <v>437.8939054685232</v>
      </c>
      <c r="DT23" s="62">
        <f ca="1">AVERAGE(OFFSET($DS$3,0,0,'Données projet'!$E$14+1,1))-AVERAGE(OFFSET($H$3,0,0,'Données projet'!$E$14+1,1))</f>
        <v>260.93525280373063</v>
      </c>
      <c r="DU23" s="62">
        <f t="shared" si="44"/>
        <v>206.83968452163816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16.666666666666668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>
        <f>VLOOKUP(A23,'Données projet'!$A$191:$I$211,2,0)</f>
        <v>34.9</v>
      </c>
      <c r="EH23" s="13">
        <f>VLOOKUP(A23,'Données projet'!$A$191:$I$211,9,0)</f>
        <v>1.9558333333333331</v>
      </c>
      <c r="EI23" s="13">
        <f t="array" ref="EI23">INDEX(EH:EH,MIN(IF(ISNUMBER(EH23:EH219),ROW(EH23:EH219),"")))</f>
        <v>1.9558333333333331</v>
      </c>
      <c r="EJ23" s="13">
        <f>IF('Données projet'!$A$192&gt;35,EJ22+EI23-ER22,IF(A23&lt;'Données projet'!$A$192,$EG$205^A23,IF(A23='Données projet'!$A$192,'Données projet'!$B$192,EJ22+EI23-ER22)))</f>
        <v>34.900000000000006</v>
      </c>
      <c r="EK23" s="18">
        <f>EJ23*VLOOKUP('Données projet'!$B$15,Paramètres!$A$1:$I$89,3,0)*VLOOKUP('Données projet'!$B$15,Paramètres!$A$1:$I$89,5,0)</f>
        <v>40.204800000000006</v>
      </c>
      <c r="EL23" s="14">
        <f t="shared" si="45"/>
        <v>12.052913024749227</v>
      </c>
      <c r="EM23" s="22">
        <f t="shared" si="19"/>
        <v>91.01551685143825</v>
      </c>
      <c r="EN23" s="62">
        <f t="shared" si="20"/>
        <v>384.34885018477155</v>
      </c>
      <c r="EO23" s="62">
        <f ca="1">AVERAGE(OFFSET($EN$3,0,0,'Données projet'!$E$15+1,1))-AVERAGE(OFFSET($H$3,0,0,'Données projet'!$E$15+1,1))</f>
        <v>118.01099353898547</v>
      </c>
      <c r="EP23" s="62">
        <f t="shared" si="46"/>
        <v>103.17146760845947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>
        <f>VLOOKUP(A23,'Données projet'!$A$217:$I$237,2,0)</f>
        <v>42</v>
      </c>
      <c r="FC23" s="13">
        <f>VLOOKUP(A23,'Données projet'!$A$217:$I$237,9,0)</f>
        <v>2.1</v>
      </c>
      <c r="FD23" s="13">
        <f t="array" ref="FD23">INDEX(FC:FC,MIN(IF(ISNUMBER(FC23:FC219),ROW(FC23:FC219),"")))</f>
        <v>2.1</v>
      </c>
      <c r="FE23" s="13">
        <f>IF('Données projet'!$A$218&gt;35,FE22+FD23-FM22,IF(A23&lt;'Données projet'!$A$218,$FB$205^A23,IF(A23='Données projet'!$A$218,'Données projet'!$B$218,FE22+FD23-FM22)))</f>
        <v>42</v>
      </c>
      <c r="FF23" s="18">
        <f>FE23*VLOOKUP('Données projet'!$B$16,Paramètres!$A$1:$I$89,3,0)*VLOOKUP('Données projet'!$B$16,Paramètres!$A$1:$I$89,5,0)</f>
        <v>41.9328</v>
      </c>
      <c r="FG23" s="14">
        <f t="shared" si="47"/>
        <v>12.509520351031938</v>
      </c>
      <c r="FH23" s="22">
        <f t="shared" si="22"/>
        <v>94.820374611380615</v>
      </c>
      <c r="FI23" s="62">
        <f t="shared" si="23"/>
        <v>388.15370794471391</v>
      </c>
      <c r="FJ23" s="62">
        <f ca="1">AVERAGE(OFFSET($FI$3,0,0,'Données projet'!$E$16+1,1))-AVERAGE(OFFSET($H$3,0,0,'Données projet'!$E$16+1,1))</f>
        <v>343.71044073996887</v>
      </c>
      <c r="FK23" s="62">
        <f t="shared" si="48"/>
        <v>193.51732627292375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43.068480000000001</v>
      </c>
      <c r="P24" s="14">
        <f t="shared" si="33"/>
        <v>12.808416415102187</v>
      </c>
      <c r="Q24" s="22">
        <f t="shared" si="2"/>
        <v>97.318927922969635</v>
      </c>
      <c r="R24" s="62">
        <f t="shared" si="0"/>
        <v>390.65226125630295</v>
      </c>
      <c r="S24" s="62">
        <f ca="1">AVERAGE(OFFSET($R$3,0,0,'Données projet'!$E$9+1,1))-AVERAGE(OFFSET($H$3,0,0,'Données projet'!$E$9+1,1))</f>
        <v>303.73499739059076</v>
      </c>
      <c r="T24" s="62">
        <f t="shared" si="34"/>
        <v>172.32171001882188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12.6</v>
      </c>
      <c r="AI24" s="14">
        <f>IF('Données projet'!$A$62&gt;35,AI23+AH24-AQ23,IF(A24&lt;'Données projet'!$A$62,$AF$205^A24,IF(A24='Données projet'!$A$62,'Données projet'!$B$62,AI23+AH24-AQ23)))</f>
        <v>107.59999999999998</v>
      </c>
      <c r="AJ24" s="14">
        <f>AI24*VLOOKUP('Données projet'!$B$10,Paramètres!$A$1:$I$89,3,0)*VLOOKUP('Données projet'!$B$10,Paramètres!$A$1:$I$89,5,0)</f>
        <v>78.892319999999984</v>
      </c>
      <c r="AK24" s="14">
        <f t="shared" si="35"/>
        <v>21.866131229595826</v>
      </c>
      <c r="AL24" s="22">
        <f t="shared" si="4"/>
        <v>175.48763589154603</v>
      </c>
      <c r="AM24" s="62">
        <f t="shared" si="5"/>
        <v>468.82096922487938</v>
      </c>
      <c r="AN24" s="62">
        <f ca="1">AVERAGE(OFFSET($AM$3,0,0,'Données projet'!$E$10+1,1))-AVERAGE(OFFSET($H$3,0,0,'Données projet'!$E$10+1,1))</f>
        <v>215.66498680344858</v>
      </c>
      <c r="AO24" s="62">
        <f t="shared" si="36"/>
        <v>199.86715787211114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15.400000000000006</v>
      </c>
      <c r="BD24" s="13">
        <f>IF('Données projet'!$A$88&gt;35,BD23+BC24-BL23,IF(A24&lt;'Données projet'!$A$88,$BA$205^A24,IF(A24='Données projet'!$A$88,'Données projet'!$B$88,BD23+BC24-BL23)))</f>
        <v>111.5</v>
      </c>
      <c r="BE24" s="14">
        <f>BD24*VLOOKUP('Données projet'!$B$11,Paramètres!$A$1:$I$89,3,0)*VLOOKUP('Données projet'!$B$11,Paramètres!$A$1:$I$89,5,0)</f>
        <v>66.677000000000007</v>
      </c>
      <c r="BF24" s="14">
        <f t="shared" si="37"/>
        <v>18.845918291779732</v>
      </c>
      <c r="BG24" s="22">
        <f t="shared" si="7"/>
        <v>148.95241602484973</v>
      </c>
      <c r="BH24" s="62">
        <f t="shared" si="8"/>
        <v>442.28574935818301</v>
      </c>
      <c r="BI24" s="62">
        <f ca="1">AVERAGE(OFFSET($BH$3,0,0,'Données projet'!$E$11+1,1))-AVERAGE(OFFSET($H$3,0,0,'Données projet'!$E$11+1,1))</f>
        <v>155.11440101086782</v>
      </c>
      <c r="BJ24" s="62">
        <f t="shared" si="38"/>
        <v>239.53454701506638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2.983565556578379</v>
      </c>
      <c r="BQ24" s="23">
        <f>EXP(-LN(2)/25)*BQ23+(1-EXP(-LN(2)/25))/(LN(2)/25)*Calculateur!BL24*Calculateur!BN24*VLOOKUP('Données projet'!$B$11,Paramètres!$A$1:$I$89,3,0)*0.475*44/12</f>
        <v>4.7173909174844635</v>
      </c>
      <c r="BR24" s="23">
        <f>EXP(-LN(2)/2)*BR23+(1-EXP(-LN(2)/2))/(LN(2)/2)*BL24*BO24*VLOOKUP('Données projet'!$B$11,Paramètres!$A$1:$I$89,3,0)*0.475*44/12</f>
        <v>7.6860321657556749</v>
      </c>
      <c r="BS24" s="24">
        <f t="shared" si="9"/>
        <v>15.386988639818517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15.400000000000006</v>
      </c>
      <c r="BY24" s="13">
        <f>IF('Données projet'!$A$114&gt;35,BY23+BX24-CG23,IF(A24&lt;'Données projet'!$A$114,$BV$205^A24,IF(A24='Données projet'!$A$114,'Données projet'!$B$114,BY23+BX24-CG23)))</f>
        <v>111.5</v>
      </c>
      <c r="BZ24" s="14">
        <f>BY24*VLOOKUP('Données projet'!$B$12,Paramètres!$A$1:$I$89,3,0)*VLOOKUP('Données projet'!$B$12,Paramètres!$A$1:$I$89,5,0)</f>
        <v>66.677000000000007</v>
      </c>
      <c r="CA24" s="14">
        <f t="shared" si="39"/>
        <v>18.845918291779732</v>
      </c>
      <c r="CB24" s="22">
        <f t="shared" si="10"/>
        <v>148.95241602484973</v>
      </c>
      <c r="CC24" s="62">
        <f t="shared" si="11"/>
        <v>442.28574935818301</v>
      </c>
      <c r="CD24" s="62">
        <f ca="1">AVERAGE(OFFSET($CC$3,0,0,'Données projet'!$E$12+1,1))-AVERAGE(OFFSET($H$3,0,0,'Données projet'!$E$12+1,1))</f>
        <v>155.11440101086782</v>
      </c>
      <c r="CE24" s="62">
        <f t="shared" si="40"/>
        <v>239.53454701506638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2.983565556578379</v>
      </c>
      <c r="CL24" s="23">
        <f>EXP(-LN(2)/25)*CL23+(1-EXP(-LN(2)/25))/(LN(2)/25)*Calculateur!CG24*Calculateur!CI24*VLOOKUP('Données projet'!$B$12,Paramètres!$A$1:$I$89,3,0)*0.475*44/12</f>
        <v>4.7173909174844635</v>
      </c>
      <c r="CM24" s="23">
        <f>EXP(-LN(2)/2)*CM23+(1-EXP(-LN(2)/2))/(LN(2)/2)*CG24*CJ24*VLOOKUP('Données projet'!$B$12,Paramètres!$A$1:$I$89,3,0)*0.475*44/12</f>
        <v>7.6860321657556749</v>
      </c>
      <c r="CN24" s="24">
        <f t="shared" si="12"/>
        <v>15.386988639818517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8.6</v>
      </c>
      <c r="CT24" s="13">
        <f>IF('Données projet'!$A$140&gt;35,CT23+CS24-DB23,IF(A24&lt;'Données projet'!$A$140,$CQ$205^A24,IF(A24='Données projet'!$A$140,'Données projet'!$B$140,CT23+CS24-DB23)))</f>
        <v>67.599999999999994</v>
      </c>
      <c r="CU24" s="18">
        <f>CT24*VLOOKUP('Données projet'!$B$13,Paramètres!$A$1:$I$89,3,0)*VLOOKUP('Données projet'!$B$13,Paramètres!$A$1:$I$89,5,0)</f>
        <v>54.837120000000006</v>
      </c>
      <c r="CV24" s="14">
        <f t="shared" si="41"/>
        <v>15.856174437579886</v>
      </c>
      <c r="CW24" s="22">
        <f t="shared" si="13"/>
        <v>123.12415447878497</v>
      </c>
      <c r="CX24" s="62">
        <f t="shared" si="14"/>
        <v>416.4574878121183</v>
      </c>
      <c r="CY24" s="62">
        <f ca="1">AVERAGE(OFFSET($CX$3,0,0,'Données projet'!$E$13+1,1))-AVERAGE(OFFSET($H$3,0,0,'Données projet'!$E$13+1,1))</f>
        <v>191.03017979797141</v>
      </c>
      <c r="CZ24" s="62">
        <f t="shared" si="42"/>
        <v>222.78252111624278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6.5384615384615419</v>
      </c>
      <c r="DO24" s="13">
        <f>IF('Données projet'!$A$166&gt;35,DO23+DN24-DW23,IF(A24&lt;'Données projet'!$A$166,$DL$205^A24,IF(A24='Données projet'!$A$166,'Données projet'!$B$166,DO23+DN24-DW23)))</f>
        <v>57.820512820512803</v>
      </c>
      <c r="DP24" s="18">
        <f>DO24*VLOOKUP('Données projet'!$B$14,Paramètres!$A$1:$I$89,3,0)*VLOOKUP('Données projet'!$B$14,Paramètres!$A$1:$I$89,5,0)</f>
        <v>55.021999999999977</v>
      </c>
      <c r="DQ24" s="14">
        <f t="shared" si="43"/>
        <v>15.903400778596186</v>
      </c>
      <c r="DR24" s="22">
        <f t="shared" si="16"/>
        <v>123.52840635605497</v>
      </c>
      <c r="DS24" s="62">
        <f t="shared" si="17"/>
        <v>416.86173968938829</v>
      </c>
      <c r="DT24" s="62">
        <f ca="1">AVERAGE(OFFSET($DS$3,0,0,'Données projet'!$E$14+1,1))-AVERAGE(OFFSET($H$3,0,0,'Données projet'!$E$14+1,1))</f>
        <v>260.93525280373063</v>
      </c>
      <c r="DU24" s="62">
        <f t="shared" si="44"/>
        <v>206.83968452163816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1.9887500000000009</v>
      </c>
      <c r="EJ24" s="13">
        <f>IF('Données projet'!$A$192&gt;35,EJ23+EI24-ER23,IF(A24&lt;'Données projet'!$A$192,$EG$205^A24,IF(A24='Données projet'!$A$192,'Données projet'!$B$192,EJ23+EI24-ER23)))</f>
        <v>36.888750000000009</v>
      </c>
      <c r="EK24" s="18">
        <f>EJ24*VLOOKUP('Données projet'!$B$15,Paramètres!$A$1:$I$89,3,0)*VLOOKUP('Données projet'!$B$15,Paramètres!$A$1:$I$89,5,0)</f>
        <v>42.495840000000008</v>
      </c>
      <c r="EL24" s="14">
        <f t="shared" si="45"/>
        <v>12.657821296361272</v>
      </c>
      <c r="EM24" s="22">
        <f t="shared" si="19"/>
        <v>96.059293424495877</v>
      </c>
      <c r="EN24" s="62">
        <f t="shared" si="20"/>
        <v>389.39262675782919</v>
      </c>
      <c r="EO24" s="62">
        <f ca="1">AVERAGE(OFFSET($EN$3,0,0,'Données projet'!$E$15+1,1))-AVERAGE(OFFSET($H$3,0,0,'Données projet'!$E$15+1,1))</f>
        <v>118.01099353898547</v>
      </c>
      <c r="EP24" s="62">
        <f t="shared" si="46"/>
        <v>103.17146760845947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5.6</v>
      </c>
      <c r="FE24" s="13">
        <f>IF('Données projet'!$A$218&gt;35,FE23+FD24-FM23,IF(A24&lt;'Données projet'!$A$218,$FB$205^A24,IF(A24='Données projet'!$A$218,'Données projet'!$B$218,FE23+FD24-FM23)))</f>
        <v>47.6</v>
      </c>
      <c r="FF24" s="18">
        <f>FE24*VLOOKUP('Données projet'!$B$16,Paramètres!$A$1:$I$89,3,0)*VLOOKUP('Données projet'!$B$16,Paramètres!$A$1:$I$89,5,0)</f>
        <v>47.523840000000007</v>
      </c>
      <c r="FG24" s="14">
        <f t="shared" si="47"/>
        <v>13.972402520519896</v>
      </c>
      <c r="FH24" s="22">
        <f t="shared" si="22"/>
        <v>107.10595572323882</v>
      </c>
      <c r="FI24" s="62">
        <f t="shared" si="23"/>
        <v>400.43928905657214</v>
      </c>
      <c r="FJ24" s="62">
        <f ca="1">AVERAGE(OFFSET($FI$3,0,0,'Données projet'!$E$16+1,1))-AVERAGE(OFFSET($H$3,0,0,'Données projet'!$E$16+1,1))</f>
        <v>343.71044073996887</v>
      </c>
      <c r="FK24" s="62">
        <f t="shared" si="48"/>
        <v>193.51732627292375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48.135359999999999</v>
      </c>
      <c r="P25" s="14">
        <f t="shared" si="33"/>
        <v>14.131148275361113</v>
      </c>
      <c r="Q25" s="22">
        <f t="shared" si="2"/>
        <v>108.4475019129206</v>
      </c>
      <c r="R25" s="62">
        <f t="shared" si="0"/>
        <v>401.7808352462539</v>
      </c>
      <c r="S25" s="62">
        <f ca="1">AVERAGE(OFFSET($R$3,0,0,'Données projet'!$E$9+1,1))-AVERAGE(OFFSET($H$3,0,0,'Données projet'!$E$9+1,1))</f>
        <v>303.73499739059076</v>
      </c>
      <c r="T25" s="62">
        <f t="shared" si="34"/>
        <v>172.32171001882188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12.6</v>
      </c>
      <c r="AI25" s="14">
        <f>IF('Données projet'!$A$62&gt;35,AI24+AH25-AQ24,IF(A25&lt;'Données projet'!$A$62,$AF$205^A25,IF(A25='Données projet'!$A$62,'Données projet'!$B$62,AI24+AH25-AQ24)))</f>
        <v>120.19999999999997</v>
      </c>
      <c r="AJ25" s="14">
        <f>AI25*VLOOKUP('Données projet'!$B$10,Paramètres!$A$1:$I$89,3,0)*VLOOKUP('Données projet'!$B$10,Paramètres!$A$1:$I$89,5,0)</f>
        <v>88.130639999999985</v>
      </c>
      <c r="AK25" s="14">
        <f t="shared" si="35"/>
        <v>24.113831111728981</v>
      </c>
      <c r="AL25" s="22">
        <f t="shared" si="4"/>
        <v>195.49245385292795</v>
      </c>
      <c r="AM25" s="62">
        <f t="shared" si="5"/>
        <v>488.82578718626127</v>
      </c>
      <c r="AN25" s="62">
        <f ca="1">AVERAGE(OFFSET($AM$3,0,0,'Données projet'!$E$10+1,1))-AVERAGE(OFFSET($H$3,0,0,'Données projet'!$E$10+1,1))</f>
        <v>215.66498680344858</v>
      </c>
      <c r="AO25" s="62">
        <f t="shared" si="36"/>
        <v>199.86715787211114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>
        <f>VLOOKUP(A25,'Données projet'!$A$87:$I$107,2,0)</f>
        <v>126.9</v>
      </c>
      <c r="BB25" s="13">
        <f>VLOOKUP(A25,'Données projet'!$A$87:$I$107,9,0)</f>
        <v>15.400000000000006</v>
      </c>
      <c r="BC25" s="13">
        <f t="array" ref="BC25">INDEX(BB:BB,MIN(IF(ISNUMBER(BB25:BB221),ROW(BB25:BB221),"")))</f>
        <v>15.400000000000006</v>
      </c>
      <c r="BD25" s="13">
        <f>IF('Données projet'!$A$88&gt;35,BD24+BC25-BL24,IF(A25&lt;'Données projet'!$A$88,$BA$205^A25,IF(A25='Données projet'!$A$88,'Données projet'!$B$88,BD24+BC25-BL24)))</f>
        <v>126.9</v>
      </c>
      <c r="BE25" s="14">
        <f>BD25*VLOOKUP('Données projet'!$B$11,Paramètres!$A$1:$I$89,3,0)*VLOOKUP('Données projet'!$B$11,Paramètres!$A$1:$I$89,5,0)</f>
        <v>75.886200000000002</v>
      </c>
      <c r="BF25" s="14">
        <f t="shared" si="37"/>
        <v>21.128269134197218</v>
      </c>
      <c r="BG25" s="22">
        <f t="shared" si="7"/>
        <v>168.96686707539345</v>
      </c>
      <c r="BH25" s="62">
        <f t="shared" si="8"/>
        <v>462.30020040872677</v>
      </c>
      <c r="BI25" s="62">
        <f ca="1">AVERAGE(OFFSET($BH$3,0,0,'Données projet'!$E$11+1,1))-AVERAGE(OFFSET($H$3,0,0,'Données projet'!$E$11+1,1))</f>
        <v>155.11440101086782</v>
      </c>
      <c r="BJ25" s="62">
        <f t="shared" si="38"/>
        <v>239.53454701506638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2.9250596558091768</v>
      </c>
      <c r="BQ25" s="23">
        <f>EXP(-LN(2)/25)*BQ24+(1-EXP(-LN(2)/25))/(LN(2)/25)*Calculateur!BL25*Calculateur!BN25*VLOOKUP('Données projet'!$B$11,Paramètres!$A$1:$I$89,3,0)*0.475*44/12</f>
        <v>4.5883936147690445</v>
      </c>
      <c r="BR25" s="23">
        <f>EXP(-LN(2)/2)*BR24+(1-EXP(-LN(2)/2))/(LN(2)/2)*BL25*BO25*VLOOKUP('Données projet'!$B$11,Paramètres!$A$1:$I$89,3,0)*0.475*44/12</f>
        <v>5.4348454648237645</v>
      </c>
      <c r="BS25" s="24">
        <f t="shared" si="9"/>
        <v>12.948298735401986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>
        <f>VLOOKUP(A25,'Données projet'!$A$113:$I$133,2,0)</f>
        <v>126.9</v>
      </c>
      <c r="BW25" s="13">
        <f>VLOOKUP(A25,'Données projet'!$A$113:$I$133,9,0)</f>
        <v>15.400000000000006</v>
      </c>
      <c r="BX25" s="13">
        <f t="array" ref="BX25">INDEX(BW:BW,MIN(IF(ISNUMBER(BW25:BW221),ROW(BW25:BW221),"")))</f>
        <v>15.400000000000006</v>
      </c>
      <c r="BY25" s="13">
        <f>IF('Données projet'!$A$114&gt;35,BY24+BX25-CG24,IF(A25&lt;'Données projet'!$A$114,$BV$205^A25,IF(A25='Données projet'!$A$114,'Données projet'!$B$114,BY24+BX25-CG24)))</f>
        <v>126.9</v>
      </c>
      <c r="BZ25" s="14">
        <f>BY25*VLOOKUP('Données projet'!$B$12,Paramètres!$A$1:$I$89,3,0)*VLOOKUP('Données projet'!$B$12,Paramètres!$A$1:$I$89,5,0)</f>
        <v>75.886200000000002</v>
      </c>
      <c r="CA25" s="14">
        <f t="shared" si="39"/>
        <v>21.128269134197218</v>
      </c>
      <c r="CB25" s="22">
        <f t="shared" si="10"/>
        <v>168.96686707539345</v>
      </c>
      <c r="CC25" s="62">
        <f t="shared" si="11"/>
        <v>462.30020040872677</v>
      </c>
      <c r="CD25" s="62">
        <f ca="1">AVERAGE(OFFSET($CC$3,0,0,'Données projet'!$E$12+1,1))-AVERAGE(OFFSET($H$3,0,0,'Données projet'!$E$12+1,1))</f>
        <v>155.11440101086782</v>
      </c>
      <c r="CE25" s="62">
        <f t="shared" si="40"/>
        <v>239.53454701506638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2.9250596558091768</v>
      </c>
      <c r="CL25" s="23">
        <f>EXP(-LN(2)/25)*CL24+(1-EXP(-LN(2)/25))/(LN(2)/25)*Calculateur!CG25*Calculateur!CI25*VLOOKUP('Données projet'!$B$12,Paramètres!$A$1:$I$89,3,0)*0.475*44/12</f>
        <v>4.5883936147690445</v>
      </c>
      <c r="CM25" s="23">
        <f>EXP(-LN(2)/2)*CM24+(1-EXP(-LN(2)/2))/(LN(2)/2)*CG25*CJ25*VLOOKUP('Données projet'!$B$12,Paramètres!$A$1:$I$89,3,0)*0.475*44/12</f>
        <v>5.4348454648237645</v>
      </c>
      <c r="CN25" s="24">
        <f t="shared" si="12"/>
        <v>12.948298735401986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8.6</v>
      </c>
      <c r="CT25" s="13">
        <f>IF('Données projet'!$A$140&gt;35,CT24+CS25-DB24,IF(A25&lt;'Données projet'!$A$140,$CQ$205^A25,IF(A25='Données projet'!$A$140,'Données projet'!$B$140,CT24+CS25-DB24)))</f>
        <v>76.199999999999989</v>
      </c>
      <c r="CU25" s="18">
        <f>CT25*VLOOKUP('Données projet'!$B$13,Paramètres!$A$1:$I$89,3,0)*VLOOKUP('Données projet'!$B$13,Paramètres!$A$1:$I$89,5,0)</f>
        <v>61.813439999999993</v>
      </c>
      <c r="CV25" s="14">
        <f t="shared" si="41"/>
        <v>17.625965961121132</v>
      </c>
      <c r="CW25" s="22">
        <f t="shared" si="13"/>
        <v>138.35696538228595</v>
      </c>
      <c r="CX25" s="62">
        <f t="shared" si="14"/>
        <v>431.69029871561929</v>
      </c>
      <c r="CY25" s="62">
        <f ca="1">AVERAGE(OFFSET($CX$3,0,0,'Données projet'!$E$13+1,1))-AVERAGE(OFFSET($H$3,0,0,'Données projet'!$E$13+1,1))</f>
        <v>191.03017979797141</v>
      </c>
      <c r="CZ25" s="62">
        <f t="shared" si="42"/>
        <v>222.78252111624278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6.5384615384615419</v>
      </c>
      <c r="DO25" s="13">
        <f>IF('Données projet'!$A$166&gt;35,DO24+DN25-DW24,IF(A25&lt;'Données projet'!$A$166,$DL$205^A25,IF(A25='Données projet'!$A$166,'Données projet'!$B$166,DO24+DN25-DW24)))</f>
        <v>64.358974358974351</v>
      </c>
      <c r="DP25" s="18">
        <f>DO25*VLOOKUP('Données projet'!$B$14,Paramètres!$A$1:$I$89,3,0)*VLOOKUP('Données projet'!$B$14,Paramètres!$A$1:$I$89,5,0)</f>
        <v>61.244</v>
      </c>
      <c r="DQ25" s="14">
        <f t="shared" si="43"/>
        <v>17.482414611857141</v>
      </c>
      <c r="DR25" s="22">
        <f t="shared" si="16"/>
        <v>137.11517211565118</v>
      </c>
      <c r="DS25" s="62">
        <f t="shared" si="17"/>
        <v>430.44850544898452</v>
      </c>
      <c r="DT25" s="62">
        <f ca="1">AVERAGE(OFFSET($DS$3,0,0,'Données projet'!$E$14+1,1))-AVERAGE(OFFSET($H$3,0,0,'Données projet'!$E$14+1,1))</f>
        <v>260.93525280373063</v>
      </c>
      <c r="DU25" s="62">
        <f t="shared" si="44"/>
        <v>206.83968452163816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1.9887500000000009</v>
      </c>
      <c r="EJ25" s="13">
        <f>IF('Données projet'!$A$192&gt;35,EJ24+EI25-ER24,IF(A25&lt;'Données projet'!$A$192,$EG$205^A25,IF(A25='Données projet'!$A$192,'Données projet'!$B$192,EJ24+EI25-ER24)))</f>
        <v>38.877500000000012</v>
      </c>
      <c r="EK25" s="18">
        <f>EJ25*VLOOKUP('Données projet'!$B$15,Paramètres!$A$1:$I$89,3,0)*VLOOKUP('Données projet'!$B$15,Paramètres!$A$1:$I$89,5,0)</f>
        <v>44.786880000000011</v>
      </c>
      <c r="EL25" s="14">
        <f t="shared" si="45"/>
        <v>13.258943495431026</v>
      </c>
      <c r="EM25" s="22">
        <f t="shared" si="19"/>
        <v>101.09647592120905</v>
      </c>
      <c r="EN25" s="62">
        <f t="shared" si="20"/>
        <v>394.42980925454236</v>
      </c>
      <c r="EO25" s="62">
        <f ca="1">AVERAGE(OFFSET($EN$3,0,0,'Données projet'!$E$15+1,1))-AVERAGE(OFFSET($H$3,0,0,'Données projet'!$E$15+1,1))</f>
        <v>118.01099353898547</v>
      </c>
      <c r="EP25" s="62">
        <f t="shared" si="46"/>
        <v>103.17146760845947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5.6</v>
      </c>
      <c r="FE25" s="13">
        <f>IF('Données projet'!$A$218&gt;35,FE24+FD25-FM24,IF(A25&lt;'Données projet'!$A$218,$FB$205^A25,IF(A25='Données projet'!$A$218,'Données projet'!$B$218,FE24+FD25-FM24)))</f>
        <v>53.2</v>
      </c>
      <c r="FF25" s="18">
        <f>FE25*VLOOKUP('Données projet'!$B$16,Paramètres!$A$1:$I$89,3,0)*VLOOKUP('Données projet'!$B$16,Paramètres!$A$1:$I$89,5,0)</f>
        <v>53.114880000000007</v>
      </c>
      <c r="FG25" s="14">
        <f t="shared" si="47"/>
        <v>15.415339834492777</v>
      </c>
      <c r="FH25" s="22">
        <f t="shared" si="22"/>
        <v>119.35679954507492</v>
      </c>
      <c r="FI25" s="62">
        <f t="shared" si="23"/>
        <v>412.69013287840824</v>
      </c>
      <c r="FJ25" s="62">
        <f ca="1">AVERAGE(OFFSET($FI$3,0,0,'Données projet'!$E$16+1,1))-AVERAGE(OFFSET($H$3,0,0,'Données projet'!$E$16+1,1))</f>
        <v>343.71044073996887</v>
      </c>
      <c r="FK25" s="62">
        <f t="shared" si="48"/>
        <v>193.51732627292375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53.202240000000003</v>
      </c>
      <c r="P26" s="14">
        <f t="shared" si="33"/>
        <v>15.437740642425908</v>
      </c>
      <c r="Q26" s="22">
        <f t="shared" si="2"/>
        <v>119.54796628555846</v>
      </c>
      <c r="R26" s="62">
        <f t="shared" si="0"/>
        <v>412.88129961889177</v>
      </c>
      <c r="S26" s="62">
        <f ca="1">AVERAGE(OFFSET($R$3,0,0,'Données projet'!$E$9+1,1))-AVERAGE(OFFSET($H$3,0,0,'Données projet'!$E$9+1,1))</f>
        <v>303.73499739059076</v>
      </c>
      <c r="T26" s="62">
        <f t="shared" si="34"/>
        <v>172.32171001882188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12.6</v>
      </c>
      <c r="AI26" s="14">
        <f>IF('Données projet'!$A$62&gt;35,AI25+AH26-AQ25,IF(A26&lt;'Données projet'!$A$62,$AF$205^A26,IF(A26='Données projet'!$A$62,'Données projet'!$B$62,AI25+AH26-AQ25)))</f>
        <v>132.79999999999998</v>
      </c>
      <c r="AJ26" s="14">
        <f>AI26*VLOOKUP('Données projet'!$B$10,Paramètres!$A$1:$I$89,3,0)*VLOOKUP('Données projet'!$B$10,Paramètres!$A$1:$I$89,5,0)</f>
        <v>97.368959999999987</v>
      </c>
      <c r="AK26" s="14">
        <f t="shared" si="35"/>
        <v>26.334219208156696</v>
      </c>
      <c r="AL26" s="22">
        <f t="shared" si="4"/>
        <v>215.44970378753956</v>
      </c>
      <c r="AM26" s="62">
        <f t="shared" si="5"/>
        <v>508.7830371208729</v>
      </c>
      <c r="AN26" s="62">
        <f ca="1">AVERAGE(OFFSET($AM$3,0,0,'Données projet'!$E$10+1,1))-AVERAGE(OFFSET($H$3,0,0,'Données projet'!$E$10+1,1))</f>
        <v>215.66498680344858</v>
      </c>
      <c r="AO26" s="62">
        <f t="shared" si="36"/>
        <v>199.86715787211114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17.399999999999991</v>
      </c>
      <c r="BD26" s="13">
        <f>IF('Données projet'!$A$88&gt;35,BD25+BC26-BL25,IF(A26&lt;'Données projet'!$A$88,$BA$205^A26,IF(A26='Données projet'!$A$88,'Données projet'!$B$88,BD25+BC26-BL25)))</f>
        <v>144.30000000000001</v>
      </c>
      <c r="BE26" s="14">
        <f>BD26*VLOOKUP('Données projet'!$B$11,Paramètres!$A$1:$I$89,3,0)*VLOOKUP('Données projet'!$B$11,Paramètres!$A$1:$I$89,5,0)</f>
        <v>86.291400000000024</v>
      </c>
      <c r="BF26" s="14">
        <f t="shared" si="37"/>
        <v>23.668621312817567</v>
      </c>
      <c r="BG26" s="22">
        <f t="shared" si="7"/>
        <v>191.51370378649062</v>
      </c>
      <c r="BH26" s="62">
        <f t="shared" si="8"/>
        <v>484.84703711982394</v>
      </c>
      <c r="BI26" s="62">
        <f ca="1">AVERAGE(OFFSET($BH$3,0,0,'Données projet'!$E$11+1,1))-AVERAGE(OFFSET($H$3,0,0,'Données projet'!$E$11+1,1))</f>
        <v>155.11440101086782</v>
      </c>
      <c r="BJ26" s="62">
        <f t="shared" si="38"/>
        <v>239.53454701506638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2.8677010200689828</v>
      </c>
      <c r="BQ26" s="23">
        <f>EXP(-LN(2)/25)*BQ25+(1-EXP(-LN(2)/25))/(LN(2)/25)*Calculateur!BL26*Calculateur!BN26*VLOOKUP('Données projet'!$B$11,Paramètres!$A$1:$I$89,3,0)*0.475*44/12</f>
        <v>4.4629237500800514</v>
      </c>
      <c r="BR26" s="23">
        <f>EXP(-LN(2)/2)*BR25+(1-EXP(-LN(2)/2))/(LN(2)/2)*BL26*BO26*VLOOKUP('Données projet'!$B$11,Paramètres!$A$1:$I$89,3,0)*0.475*44/12</f>
        <v>3.8430160828778379</v>
      </c>
      <c r="BS26" s="24">
        <f t="shared" si="9"/>
        <v>11.173640853026873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17.399999999999991</v>
      </c>
      <c r="BY26" s="13">
        <f>IF('Données projet'!$A$114&gt;35,BY25+BX26-CG25,IF(A26&lt;'Données projet'!$A$114,$BV$205^A26,IF(A26='Données projet'!$A$114,'Données projet'!$B$114,BY25+BX26-CG25)))</f>
        <v>144.30000000000001</v>
      </c>
      <c r="BZ26" s="14">
        <f>BY26*VLOOKUP('Données projet'!$B$12,Paramètres!$A$1:$I$89,3,0)*VLOOKUP('Données projet'!$B$12,Paramètres!$A$1:$I$89,5,0)</f>
        <v>86.291400000000024</v>
      </c>
      <c r="CA26" s="14">
        <f t="shared" si="39"/>
        <v>23.668621312817567</v>
      </c>
      <c r="CB26" s="22">
        <f t="shared" si="10"/>
        <v>191.51370378649062</v>
      </c>
      <c r="CC26" s="62">
        <f t="shared" si="11"/>
        <v>484.84703711982394</v>
      </c>
      <c r="CD26" s="62">
        <f ca="1">AVERAGE(OFFSET($CC$3,0,0,'Données projet'!$E$12+1,1))-AVERAGE(OFFSET($H$3,0,0,'Données projet'!$E$12+1,1))</f>
        <v>155.11440101086782</v>
      </c>
      <c r="CE26" s="62">
        <f t="shared" si="40"/>
        <v>239.53454701506638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2.8677010200689828</v>
      </c>
      <c r="CL26" s="23">
        <f>EXP(-LN(2)/25)*CL25+(1-EXP(-LN(2)/25))/(LN(2)/25)*Calculateur!CG26*Calculateur!CI26*VLOOKUP('Données projet'!$B$12,Paramètres!$A$1:$I$89,3,0)*0.475*44/12</f>
        <v>4.4629237500800514</v>
      </c>
      <c r="CM26" s="23">
        <f>EXP(-LN(2)/2)*CM25+(1-EXP(-LN(2)/2))/(LN(2)/2)*CG26*CJ26*VLOOKUP('Données projet'!$B$12,Paramètres!$A$1:$I$89,3,0)*0.475*44/12</f>
        <v>3.8430160828778379</v>
      </c>
      <c r="CN26" s="24">
        <f t="shared" si="12"/>
        <v>11.173640853026873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8.6</v>
      </c>
      <c r="CT26" s="13">
        <f>IF('Données projet'!$A$140&gt;35,CT25+CS26-DB25,IF(A26&lt;'Données projet'!$A$140,$CQ$205^A26,IF(A26='Données projet'!$A$140,'Données projet'!$B$140,CT25+CS26-DB25)))</f>
        <v>84.799999999999983</v>
      </c>
      <c r="CU26" s="18">
        <f>CT26*VLOOKUP('Données projet'!$B$13,Paramètres!$A$1:$I$89,3,0)*VLOOKUP('Données projet'!$B$13,Paramètres!$A$1:$I$89,5,0)</f>
        <v>68.789759999999987</v>
      </c>
      <c r="CV26" s="14">
        <f t="shared" si="41"/>
        <v>19.372607944380292</v>
      </c>
      <c r="CW26" s="22">
        <f t="shared" si="13"/>
        <v>153.54945750312899</v>
      </c>
      <c r="CX26" s="62">
        <f t="shared" si="14"/>
        <v>446.88279083646228</v>
      </c>
      <c r="CY26" s="62">
        <f ca="1">AVERAGE(OFFSET($CX$3,0,0,'Données projet'!$E$13+1,1))-AVERAGE(OFFSET($H$3,0,0,'Données projet'!$E$13+1,1))</f>
        <v>191.03017979797141</v>
      </c>
      <c r="CZ26" s="62">
        <f t="shared" si="42"/>
        <v>222.78252111624278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6.5384615384615419</v>
      </c>
      <c r="DO26" s="13">
        <f>IF('Données projet'!$A$166&gt;35,DO25+DN26-DW25,IF(A26&lt;'Données projet'!$A$166,$DL$205^A26,IF(A26='Données projet'!$A$166,'Données projet'!$B$166,DO25+DN26-DW25)))</f>
        <v>70.897435897435898</v>
      </c>
      <c r="DP26" s="18">
        <f>DO26*VLOOKUP('Données projet'!$B$14,Paramètres!$A$1:$I$89,3,0)*VLOOKUP('Données projet'!$B$14,Paramètres!$A$1:$I$89,5,0)</f>
        <v>67.466000000000008</v>
      </c>
      <c r="DQ26" s="14">
        <f t="shared" si="43"/>
        <v>19.042832056451115</v>
      </c>
      <c r="DR26" s="22">
        <f t="shared" si="16"/>
        <v>150.66954916498568</v>
      </c>
      <c r="DS26" s="62">
        <f t="shared" si="17"/>
        <v>444.00288249831897</v>
      </c>
      <c r="DT26" s="62">
        <f ca="1">AVERAGE(OFFSET($DS$3,0,0,'Données projet'!$E$14+1,1))-AVERAGE(OFFSET($H$3,0,0,'Données projet'!$E$14+1,1))</f>
        <v>260.93525280373063</v>
      </c>
      <c r="DU26" s="62">
        <f t="shared" si="44"/>
        <v>206.83968452163816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1.9887500000000009</v>
      </c>
      <c r="EJ26" s="13">
        <f>IF('Données projet'!$A$192&gt;35,EJ25+EI26-ER25,IF(A26&lt;'Données projet'!$A$192,$EG$205^A26,IF(A26='Données projet'!$A$192,'Données projet'!$B$192,EJ25+EI26-ER25)))</f>
        <v>40.866250000000015</v>
      </c>
      <c r="EK26" s="18">
        <f>EJ26*VLOOKUP('Données projet'!$B$15,Paramètres!$A$1:$I$89,3,0)*VLOOKUP('Données projet'!$B$15,Paramètres!$A$1:$I$89,5,0)</f>
        <v>47.077920000000013</v>
      </c>
      <c r="EL26" s="14">
        <f t="shared" si="45"/>
        <v>13.856495389760431</v>
      </c>
      <c r="EM26" s="22">
        <f t="shared" si="19"/>
        <v>106.1274401371661</v>
      </c>
      <c r="EN26" s="62">
        <f t="shared" si="20"/>
        <v>399.46077347049942</v>
      </c>
      <c r="EO26" s="62">
        <f ca="1">AVERAGE(OFFSET($EN$3,0,0,'Données projet'!$E$15+1,1))-AVERAGE(OFFSET($H$3,0,0,'Données projet'!$E$15+1,1))</f>
        <v>118.01099353898547</v>
      </c>
      <c r="EP26" s="62">
        <f t="shared" si="46"/>
        <v>103.17146760845947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5.6</v>
      </c>
      <c r="FE26" s="13">
        <f>IF('Données projet'!$A$218&gt;35,FE25+FD26-FM25,IF(A26&lt;'Données projet'!$A$218,$FB$205^A26,IF(A26='Données projet'!$A$218,'Données projet'!$B$218,FE25+FD26-FM25)))</f>
        <v>58.800000000000004</v>
      </c>
      <c r="FF26" s="18">
        <f>FE26*VLOOKUP('Données projet'!$B$16,Paramètres!$A$1:$I$89,3,0)*VLOOKUP('Données projet'!$B$16,Paramètres!$A$1:$I$89,5,0)</f>
        <v>58.705920000000013</v>
      </c>
      <c r="FG26" s="14">
        <f t="shared" si="47"/>
        <v>16.840670952033793</v>
      </c>
      <c r="FH26" s="22">
        <f t="shared" si="22"/>
        <v>131.57697924145887</v>
      </c>
      <c r="FI26" s="62">
        <f t="shared" si="23"/>
        <v>424.91031257479221</v>
      </c>
      <c r="FJ26" s="62">
        <f ca="1">AVERAGE(OFFSET($FI$3,0,0,'Données projet'!$E$16+1,1))-AVERAGE(OFFSET($H$3,0,0,'Données projet'!$E$16+1,1))</f>
        <v>343.71044073996887</v>
      </c>
      <c r="FK26" s="62">
        <f t="shared" si="48"/>
        <v>193.51732627292375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58.269120000000008</v>
      </c>
      <c r="P27" s="14">
        <f t="shared" si="33"/>
        <v>16.729905486873804</v>
      </c>
      <c r="Q27" s="22">
        <f t="shared" si="2"/>
        <v>130.62330272297189</v>
      </c>
      <c r="R27" s="62">
        <f t="shared" si="0"/>
        <v>423.95663605630523</v>
      </c>
      <c r="S27" s="62">
        <f ca="1">AVERAGE(OFFSET($R$3,0,0,'Données projet'!$E$9+1,1))-AVERAGE(OFFSET($H$3,0,0,'Données projet'!$E$9+1,1))</f>
        <v>303.73499739059076</v>
      </c>
      <c r="T27" s="62">
        <f t="shared" si="34"/>
        <v>172.32171001882188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12.6</v>
      </c>
      <c r="AI27" s="14">
        <f>IF('Données projet'!$A$62&gt;35,AI26+AH27-AQ26,IF(A27&lt;'Données projet'!$A$62,$AF$205^A27,IF(A27='Données projet'!$A$62,'Données projet'!$B$62,AI26+AH27-AQ26)))</f>
        <v>145.39999999999998</v>
      </c>
      <c r="AJ27" s="14">
        <f>AI27*VLOOKUP('Données projet'!$B$10,Paramètres!$A$1:$I$89,3,0)*VLOOKUP('Données projet'!$B$10,Paramètres!$A$1:$I$89,5,0)</f>
        <v>106.60727999999997</v>
      </c>
      <c r="AK27" s="14">
        <f t="shared" si="35"/>
        <v>28.530181653798135</v>
      </c>
      <c r="AL27" s="22">
        <f t="shared" si="4"/>
        <v>235.36441238036505</v>
      </c>
      <c r="AM27" s="62">
        <f t="shared" si="5"/>
        <v>528.6977457136984</v>
      </c>
      <c r="AN27" s="62">
        <f ca="1">AVERAGE(OFFSET($AM$3,0,0,'Données projet'!$E$10+1,1))-AVERAGE(OFFSET($H$3,0,0,'Données projet'!$E$10+1,1))</f>
        <v>215.66498680344858</v>
      </c>
      <c r="AO27" s="62">
        <f t="shared" si="36"/>
        <v>199.86715787211114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>
        <f>VLOOKUP(A27,'Données projet'!$A$87:$I$107,2,0)</f>
        <v>161.69999999999999</v>
      </c>
      <c r="BB27" s="13">
        <f>VLOOKUP(A27,'Données projet'!$A$87:$I$107,9,0)</f>
        <v>17.399999999999991</v>
      </c>
      <c r="BC27" s="13">
        <f t="array" ref="BC27">INDEX(BB:BB,MIN(IF(ISNUMBER(BB27:BB223),ROW(BB27:BB223),"")))</f>
        <v>17.399999999999991</v>
      </c>
      <c r="BD27" s="13">
        <f>IF('Données projet'!$A$88&gt;35,BD26+BC27-BL26,IF(A27&lt;'Données projet'!$A$88,$BA$205^A27,IF(A27='Données projet'!$A$88,'Données projet'!$B$88,BD26+BC27-BL26)))</f>
        <v>161.69999999999999</v>
      </c>
      <c r="BE27" s="14">
        <f>BD27*VLOOKUP('Données projet'!$B$11,Paramètres!$A$1:$I$89,3,0)*VLOOKUP('Données projet'!$B$11,Paramètres!$A$1:$I$89,5,0)</f>
        <v>96.696600000000004</v>
      </c>
      <c r="BF27" s="14">
        <f t="shared" si="37"/>
        <v>26.173476069859898</v>
      </c>
      <c r="BG27" s="22">
        <f t="shared" si="7"/>
        <v>213.99871582167268</v>
      </c>
      <c r="BH27" s="62">
        <f t="shared" si="8"/>
        <v>507.33204915500596</v>
      </c>
      <c r="BI27" s="62">
        <f ca="1">AVERAGE(OFFSET($BH$3,0,0,'Données projet'!$E$11+1,1))-AVERAGE(OFFSET($H$3,0,0,'Données projet'!$E$11+1,1))</f>
        <v>155.11440101086782</v>
      </c>
      <c r="BJ27" s="62">
        <f t="shared" si="38"/>
        <v>239.53454701506638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2.8114671521903407</v>
      </c>
      <c r="BQ27" s="23">
        <f>EXP(-LN(2)/25)*BQ26+(1-EXP(-LN(2)/25))/(LN(2)/25)*Calculateur!BL27*Calculateur!BN27*VLOOKUP('Données projet'!$B$11,Paramètres!$A$1:$I$89,3,0)*0.475*44/12</f>
        <v>4.3408848654391523</v>
      </c>
      <c r="BR27" s="23">
        <f>EXP(-LN(2)/2)*BR26+(1-EXP(-LN(2)/2))/(LN(2)/2)*BL27*BO27*VLOOKUP('Données projet'!$B$11,Paramètres!$A$1:$I$89,3,0)*0.475*44/12</f>
        <v>2.7174227324118827</v>
      </c>
      <c r="BS27" s="24">
        <f t="shared" si="9"/>
        <v>9.8697747500413762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>
        <f>VLOOKUP(A27,'Données projet'!$A$113:$I$133,2,0)</f>
        <v>161.69999999999999</v>
      </c>
      <c r="BW27" s="13">
        <f>VLOOKUP(A27,'Données projet'!$A$113:$I$133,9,0)</f>
        <v>17.399999999999991</v>
      </c>
      <c r="BX27" s="13">
        <f t="array" ref="BX27">INDEX(BW:BW,MIN(IF(ISNUMBER(BW27:BW223),ROW(BW27:BW223),"")))</f>
        <v>17.399999999999991</v>
      </c>
      <c r="BY27" s="13">
        <f>IF('Données projet'!$A$114&gt;35,BY26+BX27-CG26,IF(A27&lt;'Données projet'!$A$114,$BV$205^A27,IF(A27='Données projet'!$A$114,'Données projet'!$B$114,BY26+BX27-CG26)))</f>
        <v>161.69999999999999</v>
      </c>
      <c r="BZ27" s="14">
        <f>BY27*VLOOKUP('Données projet'!$B$12,Paramètres!$A$1:$I$89,3,0)*VLOOKUP('Données projet'!$B$12,Paramètres!$A$1:$I$89,5,0)</f>
        <v>96.696600000000004</v>
      </c>
      <c r="CA27" s="14">
        <f t="shared" si="39"/>
        <v>26.173476069859898</v>
      </c>
      <c r="CB27" s="22">
        <f t="shared" si="10"/>
        <v>213.99871582167268</v>
      </c>
      <c r="CC27" s="62">
        <f t="shared" si="11"/>
        <v>507.33204915500596</v>
      </c>
      <c r="CD27" s="62">
        <f ca="1">AVERAGE(OFFSET($CC$3,0,0,'Données projet'!$E$12+1,1))-AVERAGE(OFFSET($H$3,0,0,'Données projet'!$E$12+1,1))</f>
        <v>155.11440101086782</v>
      </c>
      <c r="CE27" s="62">
        <f t="shared" si="40"/>
        <v>239.53454701506638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2.8114671521903407</v>
      </c>
      <c r="CL27" s="23">
        <f>EXP(-LN(2)/25)*CL26+(1-EXP(-LN(2)/25))/(LN(2)/25)*Calculateur!CG27*Calculateur!CI27*VLOOKUP('Données projet'!$B$12,Paramètres!$A$1:$I$89,3,0)*0.475*44/12</f>
        <v>4.3408848654391523</v>
      </c>
      <c r="CM27" s="23">
        <f>EXP(-LN(2)/2)*CM26+(1-EXP(-LN(2)/2))/(LN(2)/2)*CG27*CJ27*VLOOKUP('Données projet'!$B$12,Paramètres!$A$1:$I$89,3,0)*0.475*44/12</f>
        <v>2.7174227324118827</v>
      </c>
      <c r="CN27" s="24">
        <f t="shared" si="12"/>
        <v>9.8697747500413762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8.6</v>
      </c>
      <c r="CT27" s="13">
        <f>IF('Données projet'!$A$140&gt;35,CT26+CS27-DB26,IF(A27&lt;'Données projet'!$A$140,$CQ$205^A27,IF(A27='Données projet'!$A$140,'Données projet'!$B$140,CT26+CS27-DB26)))</f>
        <v>93.399999999999977</v>
      </c>
      <c r="CU27" s="18">
        <f>CT27*VLOOKUP('Données projet'!$B$13,Paramètres!$A$1:$I$89,3,0)*VLOOKUP('Données projet'!$B$13,Paramètres!$A$1:$I$89,5,0)</f>
        <v>75.766079999999988</v>
      </c>
      <c r="CV27" s="14">
        <f t="shared" si="41"/>
        <v>21.09871541273251</v>
      </c>
      <c r="CW27" s="22">
        <f t="shared" si="13"/>
        <v>168.70618534384241</v>
      </c>
      <c r="CX27" s="62">
        <f t="shared" si="14"/>
        <v>462.03951867717569</v>
      </c>
      <c r="CY27" s="62">
        <f ca="1">AVERAGE(OFFSET($CX$3,0,0,'Données projet'!$E$13+1,1))-AVERAGE(OFFSET($H$3,0,0,'Données projet'!$E$13+1,1))</f>
        <v>191.03017979797141</v>
      </c>
      <c r="CZ27" s="62">
        <f t="shared" si="42"/>
        <v>222.78252111624278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6.5384615384615419</v>
      </c>
      <c r="DO27" s="13">
        <f>IF('Données projet'!$A$166&gt;35,DO26+DN27-DW26,IF(A27&lt;'Données projet'!$A$166,$DL$205^A27,IF(A27='Données projet'!$A$166,'Données projet'!$B$166,DO26+DN27-DW26)))</f>
        <v>77.435897435897445</v>
      </c>
      <c r="DP27" s="18">
        <f>DO27*VLOOKUP('Données projet'!$B$14,Paramètres!$A$1:$I$89,3,0)*VLOOKUP('Données projet'!$B$14,Paramètres!$A$1:$I$89,5,0)</f>
        <v>73.688000000000017</v>
      </c>
      <c r="DQ27" s="14">
        <f t="shared" si="43"/>
        <v>20.586563216136717</v>
      </c>
      <c r="DR27" s="22">
        <f t="shared" si="16"/>
        <v>164.19486426810479</v>
      </c>
      <c r="DS27" s="62">
        <f t="shared" si="17"/>
        <v>457.52819760143814</v>
      </c>
      <c r="DT27" s="62">
        <f ca="1">AVERAGE(OFFSET($DS$3,0,0,'Données projet'!$E$14+1,1))-AVERAGE(OFFSET($H$3,0,0,'Données projet'!$E$14+1,1))</f>
        <v>260.93525280373063</v>
      </c>
      <c r="DU27" s="62">
        <f t="shared" si="44"/>
        <v>206.83968452163816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1.9887500000000009</v>
      </c>
      <c r="EJ27" s="13">
        <f>IF('Données projet'!$A$192&gt;35,EJ26+EI27-ER26,IF(A27&lt;'Données projet'!$A$192,$EG$205^A27,IF(A27='Données projet'!$A$192,'Données projet'!$B$192,EJ26+EI27-ER26)))</f>
        <v>42.855000000000018</v>
      </c>
      <c r="EK27" s="18">
        <f>EJ27*VLOOKUP('Données projet'!$B$15,Paramètres!$A$1:$I$89,3,0)*VLOOKUP('Données projet'!$B$15,Paramètres!$A$1:$I$89,5,0)</f>
        <v>49.368960000000015</v>
      </c>
      <c r="EL27" s="14">
        <f t="shared" si="45"/>
        <v>14.450670560048829</v>
      </c>
      <c r="EM27" s="22">
        <f t="shared" si="19"/>
        <v>111.15252322541839</v>
      </c>
      <c r="EN27" s="62">
        <f t="shared" si="20"/>
        <v>404.48585655875172</v>
      </c>
      <c r="EO27" s="62">
        <f ca="1">AVERAGE(OFFSET($EN$3,0,0,'Données projet'!$E$15+1,1))-AVERAGE(OFFSET($H$3,0,0,'Données projet'!$E$15+1,1))</f>
        <v>118.01099353898547</v>
      </c>
      <c r="EP27" s="62">
        <f t="shared" si="46"/>
        <v>103.17146760845947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5.6</v>
      </c>
      <c r="FE27" s="13">
        <f>IF('Données projet'!$A$218&gt;35,FE26+FD27-FM26,IF(A27&lt;'Données projet'!$A$218,$FB$205^A27,IF(A27='Données projet'!$A$218,'Données projet'!$B$218,FE26+FD27-FM26)))</f>
        <v>64.400000000000006</v>
      </c>
      <c r="FF27" s="18">
        <f>FE27*VLOOKUP('Données projet'!$B$16,Paramètres!$A$1:$I$89,3,0)*VLOOKUP('Données projet'!$B$16,Paramètres!$A$1:$I$89,5,0)</f>
        <v>64.296959999999999</v>
      </c>
      <c r="FG27" s="14">
        <f t="shared" si="47"/>
        <v>18.250263421888452</v>
      </c>
      <c r="FH27" s="22">
        <f t="shared" si="22"/>
        <v>143.76974745978904</v>
      </c>
      <c r="FI27" s="62">
        <f t="shared" si="23"/>
        <v>437.10308079312233</v>
      </c>
      <c r="FJ27" s="62">
        <f ca="1">AVERAGE(OFFSET($FI$3,0,0,'Données projet'!$E$16+1,1))-AVERAGE(OFFSET($H$3,0,0,'Données projet'!$E$16+1,1))</f>
        <v>343.71044073996887</v>
      </c>
      <c r="FK27" s="62">
        <f t="shared" si="48"/>
        <v>193.51732627292375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2">
        <f t="shared" si="0"/>
        <v>435.00927803996467</v>
      </c>
      <c r="S28" s="62">
        <f ca="1">AVERAGE(OFFSET($R$3,0,0,'Données projet'!$E$9+1,1))-AVERAGE(OFFSET($H$3,0,0,'Données projet'!$E$9+1,1))</f>
        <v>303.73499739059076</v>
      </c>
      <c r="T28" s="62">
        <f t="shared" si="34"/>
        <v>172.32171001882188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158</v>
      </c>
      <c r="AG28" s="13">
        <f>VLOOKUP(A28,'Données projet'!$A$61:$I$81,9,0)</f>
        <v>12.6</v>
      </c>
      <c r="AH28" s="13">
        <f t="array" ref="AH28">INDEX(AG:AG,MIN(IF(ISNUMBER(AG28:AG224),ROW(AG28:AG224),"")))</f>
        <v>12.6</v>
      </c>
      <c r="AI28" s="14">
        <f>IF('Données projet'!$A$62&gt;35,AI27+AH28-AQ27,IF(A28&lt;'Données projet'!$A$62,$AF$205^A28,IF(A28='Données projet'!$A$62,'Données projet'!$B$62,AI27+AH28-AQ27)))</f>
        <v>157.99999999999997</v>
      </c>
      <c r="AJ28" s="14">
        <f>AI28*VLOOKUP('Données projet'!$B$10,Paramètres!$A$1:$I$89,3,0)*VLOOKUP('Données projet'!$B$10,Paramètres!$A$1:$I$89,5,0)</f>
        <v>115.84559999999996</v>
      </c>
      <c r="AK28" s="14">
        <f t="shared" si="35"/>
        <v>30.704075781121897</v>
      </c>
      <c r="AL28" s="22">
        <f t="shared" si="4"/>
        <v>255.24068531878723</v>
      </c>
      <c r="AM28" s="62">
        <f t="shared" si="5"/>
        <v>548.57401865212057</v>
      </c>
      <c r="AN28" s="62">
        <f ca="1">AVERAGE(OFFSET($AM$3,0,0,'Données projet'!$E$10+1,1))-AVERAGE(OFFSET($H$3,0,0,'Données projet'!$E$10+1,1))</f>
        <v>215.66498680344858</v>
      </c>
      <c r="AO28" s="62">
        <f t="shared" si="36"/>
        <v>199.86715787211114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71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18.900000000000006</v>
      </c>
      <c r="BD28" s="13">
        <f>IF('Données projet'!$A$88&gt;35,BD27+BC28-BL27,IF(A28&lt;'Données projet'!$A$88,$BA$205^A28,IF(A28='Données projet'!$A$88,'Données projet'!$B$88,BD27+BC28-BL27)))</f>
        <v>180.6</v>
      </c>
      <c r="BE28" s="14">
        <f>BD28*VLOOKUP('Données projet'!$B$11,Paramètres!$A$1:$I$89,3,0)*VLOOKUP('Données projet'!$B$11,Paramètres!$A$1:$I$89,5,0)</f>
        <v>107.99880000000002</v>
      </c>
      <c r="BF28" s="14">
        <f t="shared" si="37"/>
        <v>28.858983600701585</v>
      </c>
      <c r="BG28" s="22">
        <f t="shared" si="7"/>
        <v>238.36063977122194</v>
      </c>
      <c r="BH28" s="62">
        <f t="shared" si="8"/>
        <v>531.6939731045552</v>
      </c>
      <c r="BI28" s="62">
        <f ca="1">AVERAGE(OFFSET($BH$3,0,0,'Données projet'!$E$11+1,1))-AVERAGE(OFFSET($H$3,0,0,'Données projet'!$E$11+1,1))</f>
        <v>155.11440101086782</v>
      </c>
      <c r="BJ28" s="62">
        <f t="shared" si="38"/>
        <v>239.53454701506638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2.7563359961615261</v>
      </c>
      <c r="BQ28" s="23">
        <f>EXP(-LN(2)/25)*BQ27+(1-EXP(-LN(2)/25))/(LN(2)/25)*Calculateur!BL28*Calculateur!BN28*VLOOKUP('Données projet'!$B$11,Paramètres!$A$1:$I$89,3,0)*0.475*44/12</f>
        <v>4.2221831405165045</v>
      </c>
      <c r="BR28" s="23">
        <f>EXP(-LN(2)/2)*BR27+(1-EXP(-LN(2)/2))/(LN(2)/2)*BL28*BO28*VLOOKUP('Données projet'!$B$11,Paramètres!$A$1:$I$89,3,0)*0.475*44/12</f>
        <v>1.9215080414389194</v>
      </c>
      <c r="BS28" s="24">
        <f t="shared" si="9"/>
        <v>8.9000271781169502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18.900000000000006</v>
      </c>
      <c r="BY28" s="13">
        <f>IF('Données projet'!$A$114&gt;35,BY27+BX28-CG27,IF(A28&lt;'Données projet'!$A$114,$BV$205^A28,IF(A28='Données projet'!$A$114,'Données projet'!$B$114,BY27+BX28-CG27)))</f>
        <v>180.6</v>
      </c>
      <c r="BZ28" s="14">
        <f>BY28*VLOOKUP('Données projet'!$B$12,Paramètres!$A$1:$I$89,3,0)*VLOOKUP('Données projet'!$B$12,Paramètres!$A$1:$I$89,5,0)</f>
        <v>107.99880000000002</v>
      </c>
      <c r="CA28" s="14">
        <f t="shared" si="39"/>
        <v>28.858983600701585</v>
      </c>
      <c r="CB28" s="22">
        <f t="shared" si="10"/>
        <v>238.36063977122194</v>
      </c>
      <c r="CC28" s="62">
        <f t="shared" si="11"/>
        <v>531.6939731045552</v>
      </c>
      <c r="CD28" s="62">
        <f ca="1">AVERAGE(OFFSET($CC$3,0,0,'Données projet'!$E$12+1,1))-AVERAGE(OFFSET($H$3,0,0,'Données projet'!$E$12+1,1))</f>
        <v>155.11440101086782</v>
      </c>
      <c r="CE28" s="62">
        <f t="shared" si="40"/>
        <v>239.53454701506638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2.7563359961615261</v>
      </c>
      <c r="CL28" s="23">
        <f>EXP(-LN(2)/25)*CL27+(1-EXP(-LN(2)/25))/(LN(2)/25)*Calculateur!CG28*Calculateur!CI28*VLOOKUP('Données projet'!$B$12,Paramètres!$A$1:$I$89,3,0)*0.475*44/12</f>
        <v>4.2221831405165045</v>
      </c>
      <c r="CM28" s="23">
        <f>EXP(-LN(2)/2)*CM27+(1-EXP(-LN(2)/2))/(LN(2)/2)*CG28*CJ28*VLOOKUP('Données projet'!$B$12,Paramètres!$A$1:$I$89,3,0)*0.475*44/12</f>
        <v>1.9215080414389194</v>
      </c>
      <c r="CN28" s="24">
        <f t="shared" si="12"/>
        <v>8.9000271781169502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>
        <f>VLOOKUP(A28,'Données projet'!$A$139:$I$159,2,0)</f>
        <v>102</v>
      </c>
      <c r="CR28" s="13">
        <f>VLOOKUP(A28,'Données projet'!$A$139:$I$159,9,0)</f>
        <v>8.6</v>
      </c>
      <c r="CS28" s="13">
        <f t="array" ref="CS28">INDEX(CR:CR,MIN(IF(ISNUMBER(CR28:CR224),ROW(CR28:CR224),"")))</f>
        <v>8.6</v>
      </c>
      <c r="CT28" s="13">
        <f>IF('Données projet'!$A$140&gt;35,CT27+CS28-DB27,IF(A28&lt;'Données projet'!$A$140,$CQ$205^A28,IF(A28='Données projet'!$A$140,'Données projet'!$B$140,CT27+CS28-DB27)))</f>
        <v>101.99999999999997</v>
      </c>
      <c r="CU28" s="18">
        <f>CT28*VLOOKUP('Données projet'!$B$13,Paramètres!$A$1:$I$89,3,0)*VLOOKUP('Données projet'!$B$13,Paramètres!$A$1:$I$89,5,0)</f>
        <v>82.742399999999975</v>
      </c>
      <c r="CV28" s="14">
        <f t="shared" si="41"/>
        <v>22.806394174303183</v>
      </c>
      <c r="CW28" s="22">
        <f t="shared" si="13"/>
        <v>183.83081652024464</v>
      </c>
      <c r="CX28" s="62">
        <f t="shared" si="14"/>
        <v>477.16414985357795</v>
      </c>
      <c r="CY28" s="62">
        <f ca="1">AVERAGE(OFFSET($CX$3,0,0,'Données projet'!$E$13+1,1))-AVERAGE(OFFSET($H$3,0,0,'Données projet'!$E$13+1,1))</f>
        <v>191.03017979797141</v>
      </c>
      <c r="CZ28" s="62">
        <f t="shared" si="42"/>
        <v>222.78252111624278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>
        <f>VLOOKUP(A28,'Données projet'!$A$165:$I$185,2,0)</f>
        <v>83.974358974358978</v>
      </c>
      <c r="DM28" s="13">
        <f>VLOOKUP(A28,'Données projet'!$A$165:$I$185,9,0)</f>
        <v>6.5384615384615419</v>
      </c>
      <c r="DN28" s="13">
        <f t="array" ref="DN28">INDEX(DM:DM,MIN(IF(ISNUMBER(DM28:DM224),ROW(DM28:DM224),"")))</f>
        <v>6.5384615384615419</v>
      </c>
      <c r="DO28" s="13">
        <f>IF('Données projet'!$A$166&gt;35,DO27+DN28-DW27,IF(A28&lt;'Données projet'!$A$166,$DL$205^A28,IF(A28='Données projet'!$A$166,'Données projet'!$B$166,DO27+DN28-DW27)))</f>
        <v>83.974358974358992</v>
      </c>
      <c r="DP28" s="18">
        <f>DO28*VLOOKUP('Données projet'!$B$14,Paramètres!$A$1:$I$89,3,0)*VLOOKUP('Données projet'!$B$14,Paramètres!$A$1:$I$89,5,0)</f>
        <v>79.910000000000025</v>
      </c>
      <c r="DQ28" s="14">
        <f t="shared" si="43"/>
        <v>22.115177219366689</v>
      </c>
      <c r="DR28" s="22">
        <f t="shared" si="16"/>
        <v>177.69385032373035</v>
      </c>
      <c r="DS28" s="62">
        <f t="shared" si="17"/>
        <v>471.02718365706369</v>
      </c>
      <c r="DT28" s="62">
        <f ca="1">AVERAGE(OFFSET($DS$3,0,0,'Données projet'!$E$14+1,1))-AVERAGE(OFFSET($H$3,0,0,'Données projet'!$E$14+1,1))</f>
        <v>260.93525280373063</v>
      </c>
      <c r="DU28" s="62">
        <f t="shared" si="44"/>
        <v>206.83968452163816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1.9887500000000009</v>
      </c>
      <c r="EJ28" s="13">
        <f>IF('Données projet'!$A$192&gt;35,EJ27+EI28-ER27,IF(A28&lt;'Données projet'!$A$192,$EG$205^A28,IF(A28='Données projet'!$A$192,'Données projet'!$B$192,EJ27+EI28-ER27)))</f>
        <v>44.843750000000021</v>
      </c>
      <c r="EK28" s="18">
        <f>EJ28*VLOOKUP('Données projet'!$B$15,Paramètres!$A$1:$I$89,3,0)*VLOOKUP('Données projet'!$B$15,Paramètres!$A$1:$I$89,5,0)</f>
        <v>51.660000000000018</v>
      </c>
      <c r="EL28" s="14">
        <f t="shared" si="45"/>
        <v>15.041643604774535</v>
      </c>
      <c r="EM28" s="22">
        <f t="shared" si="19"/>
        <v>116.17202927831566</v>
      </c>
      <c r="EN28" s="62">
        <f t="shared" si="20"/>
        <v>409.50536261164899</v>
      </c>
      <c r="EO28" s="62">
        <f ca="1">AVERAGE(OFFSET($EN$3,0,0,'Données projet'!$E$15+1,1))-AVERAGE(OFFSET($H$3,0,0,'Données projet'!$E$15+1,1))</f>
        <v>118.01099353898547</v>
      </c>
      <c r="EP28" s="62">
        <f t="shared" si="46"/>
        <v>103.17146760845947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>
        <f>VLOOKUP(A28,'Données projet'!$A$217:$I$237,2,0)</f>
        <v>70</v>
      </c>
      <c r="FC28" s="13">
        <f>VLOOKUP(A28,'Données projet'!$A$217:$I$237,9,0)</f>
        <v>5.6</v>
      </c>
      <c r="FD28" s="13">
        <f t="array" ref="FD28">INDEX(FC:FC,MIN(IF(ISNUMBER(FC28:FC224),ROW(FC28:FC224),"")))</f>
        <v>5.6</v>
      </c>
      <c r="FE28" s="13">
        <f>IF('Données projet'!$A$218&gt;35,FE27+FD28-FM27,IF(A28&lt;'Données projet'!$A$218,$FB$205^A28,IF(A28='Données projet'!$A$218,'Données projet'!$B$218,FE27+FD28-FM27)))</f>
        <v>70</v>
      </c>
      <c r="FF28" s="18">
        <f>FE28*VLOOKUP('Données projet'!$B$16,Paramètres!$A$1:$I$89,3,0)*VLOOKUP('Données projet'!$B$16,Paramètres!$A$1:$I$89,5,0)</f>
        <v>69.888000000000005</v>
      </c>
      <c r="FG28" s="14">
        <f t="shared" si="47"/>
        <v>19.645641432461961</v>
      </c>
      <c r="FH28" s="22">
        <f t="shared" si="22"/>
        <v>155.93775882820458</v>
      </c>
      <c r="FI28" s="62">
        <f t="shared" si="23"/>
        <v>449.27109216153792</v>
      </c>
      <c r="FJ28" s="62">
        <f ca="1">AVERAGE(OFFSET($FI$3,0,0,'Données projet'!$E$16+1,1))-AVERAGE(OFFSET($H$3,0,0,'Données projet'!$E$16+1,1))</f>
        <v>343.71044073996887</v>
      </c>
      <c r="FK28" s="62">
        <f t="shared" si="48"/>
        <v>193.51732627292375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77</v>
      </c>
      <c r="O29" s="14">
        <f>N29*VLOOKUP('Données projet'!$B$9,Paramètres!$A$1:$I$89,3,0)*VLOOKUP('Données projet'!$B$9,Paramètres!$A$1:$I$89,5,0)</f>
        <v>69.669600000000003</v>
      </c>
      <c r="P29" s="14">
        <f t="shared" si="33"/>
        <v>19.591385027476957</v>
      </c>
      <c r="Q29" s="22">
        <f t="shared" si="2"/>
        <v>155.46288225618903</v>
      </c>
      <c r="R29" s="62">
        <f t="shared" si="0"/>
        <v>448.79621558952238</v>
      </c>
      <c r="S29" s="62">
        <f ca="1">AVERAGE(OFFSET($R$3,0,0,'Données projet'!$E$9+1,1))-AVERAGE(OFFSET($H$3,0,0,'Données projet'!$E$9+1,1))</f>
        <v>303.73499739059076</v>
      </c>
      <c r="T29" s="62">
        <f t="shared" si="34"/>
        <v>172.32171001882188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12</v>
      </c>
      <c r="AI29" s="14">
        <f>IF('Données projet'!$A$62&gt;35,AI28+AH29-AQ28,IF(A29&lt;'Données projet'!$A$62,$AF$205^A29,IF(A29='Données projet'!$A$62,'Données projet'!$B$62,AI28+AH29-AQ28)))</f>
        <v>98.999999999999972</v>
      </c>
      <c r="AJ29" s="14">
        <f>AI29*VLOOKUP('Données projet'!$B$10,Paramètres!$A$1:$I$89,3,0)*VLOOKUP('Données projet'!$B$10,Paramètres!$A$1:$I$89,5,0)</f>
        <v>72.586799999999982</v>
      </c>
      <c r="AK29" s="14">
        <f t="shared" si="35"/>
        <v>20.314488197199065</v>
      </c>
      <c r="AL29" s="22">
        <f t="shared" si="4"/>
        <v>161.80307694345501</v>
      </c>
      <c r="AM29" s="62">
        <f t="shared" si="5"/>
        <v>455.1364102767883</v>
      </c>
      <c r="AN29" s="62">
        <f ca="1">AVERAGE(OFFSET($AM$3,0,0,'Données projet'!$E$10+1,1))-AVERAGE(OFFSET($H$3,0,0,'Données projet'!$E$10+1,1))</f>
        <v>215.66498680344858</v>
      </c>
      <c r="AO29" s="62">
        <f t="shared" si="36"/>
        <v>199.86715787211114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18.900000000000006</v>
      </c>
      <c r="BD29" s="13">
        <f>IF('Données projet'!$A$88&gt;35,BD28+BC29-BL28,IF(A29&lt;'Données projet'!$A$88,$BA$205^A29,IF(A29='Données projet'!$A$88,'Données projet'!$B$88,BD28+BC29-BL28)))</f>
        <v>199.5</v>
      </c>
      <c r="BE29" s="14">
        <f>BD29*VLOOKUP('Données projet'!$B$11,Paramètres!$A$1:$I$89,3,0)*VLOOKUP('Données projet'!$B$11,Paramètres!$A$1:$I$89,5,0)</f>
        <v>119.30100000000002</v>
      </c>
      <c r="BF29" s="14">
        <f t="shared" si="37"/>
        <v>31.51191363312137</v>
      </c>
      <c r="BG29" s="22">
        <f t="shared" si="7"/>
        <v>262.66582457768635</v>
      </c>
      <c r="BH29" s="62">
        <f t="shared" si="8"/>
        <v>555.99915791101967</v>
      </c>
      <c r="BI29" s="62">
        <f ca="1">AVERAGE(OFFSET($BH$3,0,0,'Données projet'!$E$11+1,1))-AVERAGE(OFFSET($H$3,0,0,'Données projet'!$E$11+1,1))</f>
        <v>155.11440101086782</v>
      </c>
      <c r="BJ29" s="62">
        <f t="shared" si="38"/>
        <v>239.53454701506638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2.7022859284757517</v>
      </c>
      <c r="BQ29" s="23">
        <f>EXP(-LN(2)/25)*BQ28+(1-EXP(-LN(2)/25))/(LN(2)/25)*Calculateur!BL29*Calculateur!BN29*VLOOKUP('Données projet'!$B$11,Paramètres!$A$1:$I$89,3,0)*0.475*44/12</f>
        <v>4.1067273205041195</v>
      </c>
      <c r="BR29" s="23">
        <f>EXP(-LN(2)/2)*BR28+(1-EXP(-LN(2)/2))/(LN(2)/2)*BL29*BO29*VLOOKUP('Données projet'!$B$11,Paramètres!$A$1:$I$89,3,0)*0.475*44/12</f>
        <v>1.3587113662059416</v>
      </c>
      <c r="BS29" s="24">
        <f t="shared" si="9"/>
        <v>8.1677246151858132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18.900000000000006</v>
      </c>
      <c r="BY29" s="13">
        <f>IF('Données projet'!$A$114&gt;35,BY28+BX29-CG28,IF(A29&lt;'Données projet'!$A$114,$BV$205^A29,IF(A29='Données projet'!$A$114,'Données projet'!$B$114,BY28+BX29-CG28)))</f>
        <v>199.5</v>
      </c>
      <c r="BZ29" s="14">
        <f>BY29*VLOOKUP('Données projet'!$B$12,Paramètres!$A$1:$I$89,3,0)*VLOOKUP('Données projet'!$B$12,Paramètres!$A$1:$I$89,5,0)</f>
        <v>119.30100000000002</v>
      </c>
      <c r="CA29" s="14">
        <f t="shared" si="39"/>
        <v>31.51191363312137</v>
      </c>
      <c r="CB29" s="22">
        <f t="shared" si="10"/>
        <v>262.66582457768635</v>
      </c>
      <c r="CC29" s="62">
        <f t="shared" si="11"/>
        <v>555.99915791101967</v>
      </c>
      <c r="CD29" s="62">
        <f ca="1">AVERAGE(OFFSET($CC$3,0,0,'Données projet'!$E$12+1,1))-AVERAGE(OFFSET($H$3,0,0,'Données projet'!$E$12+1,1))</f>
        <v>155.11440101086782</v>
      </c>
      <c r="CE29" s="62">
        <f t="shared" si="40"/>
        <v>239.53454701506638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2.7022859284757517</v>
      </c>
      <c r="CL29" s="23">
        <f>EXP(-LN(2)/25)*CL28+(1-EXP(-LN(2)/25))/(LN(2)/25)*Calculateur!CG29*Calculateur!CI29*VLOOKUP('Données projet'!$B$12,Paramètres!$A$1:$I$89,3,0)*0.475*44/12</f>
        <v>4.1067273205041195</v>
      </c>
      <c r="CM29" s="23">
        <f>EXP(-LN(2)/2)*CM28+(1-EXP(-LN(2)/2))/(LN(2)/2)*CG29*CJ29*VLOOKUP('Données projet'!$B$12,Paramètres!$A$1:$I$89,3,0)*0.475*44/12</f>
        <v>1.3587113662059416</v>
      </c>
      <c r="CN29" s="24">
        <f t="shared" si="12"/>
        <v>8.1677246151858132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8.8000000000000007</v>
      </c>
      <c r="CT29" s="13">
        <f>IF('Données projet'!$A$140&gt;35,CT28+CS29-DB28,IF(A29&lt;'Données projet'!$A$140,$CQ$205^A29,IF(A29='Données projet'!$A$140,'Données projet'!$B$140,CT28+CS29-DB28)))</f>
        <v>110.79999999999997</v>
      </c>
      <c r="CU29" s="18">
        <f>CT29*VLOOKUP('Données projet'!$B$13,Paramètres!$A$1:$I$89,3,0)*VLOOKUP('Données projet'!$B$13,Paramètres!$A$1:$I$89,5,0)</f>
        <v>89.880959999999973</v>
      </c>
      <c r="CV29" s="14">
        <f t="shared" si="41"/>
        <v>24.536513201257339</v>
      </c>
      <c r="CW29" s="22">
        <f t="shared" si="13"/>
        <v>199.27709915885649</v>
      </c>
      <c r="CX29" s="62">
        <f t="shared" si="14"/>
        <v>492.61043249218983</v>
      </c>
      <c r="CY29" s="62">
        <f ca="1">AVERAGE(OFFSET($CX$3,0,0,'Données projet'!$E$13+1,1))-AVERAGE(OFFSET($H$3,0,0,'Données projet'!$E$13+1,1))</f>
        <v>191.03017979797141</v>
      </c>
      <c r="CZ29" s="62">
        <f t="shared" si="42"/>
        <v>222.78252111624278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6.5384615384615357</v>
      </c>
      <c r="DO29" s="13">
        <f>IF('Données projet'!$A$166&gt;35,DO28+DN29-DW28,IF(A29&lt;'Données projet'!$A$166,$DL$205^A29,IF(A29='Données projet'!$A$166,'Données projet'!$B$166,DO28+DN29-DW28)))</f>
        <v>90.512820512820525</v>
      </c>
      <c r="DP29" s="18">
        <f>DO29*VLOOKUP('Données projet'!$B$14,Paramètres!$A$1:$I$89,3,0)*VLOOKUP('Données projet'!$B$14,Paramètres!$A$1:$I$89,5,0)</f>
        <v>86.132000000000019</v>
      </c>
      <c r="DQ29" s="14">
        <f t="shared" si="43"/>
        <v>23.629984954025307</v>
      </c>
      <c r="DR29" s="22">
        <f t="shared" si="16"/>
        <v>191.16879046159409</v>
      </c>
      <c r="DS29" s="62">
        <f t="shared" si="17"/>
        <v>484.5021237949274</v>
      </c>
      <c r="DT29" s="62">
        <f ca="1">AVERAGE(OFFSET($DS$3,0,0,'Données projet'!$E$14+1,1))-AVERAGE(OFFSET($H$3,0,0,'Données projet'!$E$14+1,1))</f>
        <v>260.93525280373063</v>
      </c>
      <c r="DU29" s="62">
        <f t="shared" si="44"/>
        <v>206.83968452163816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1.9887500000000009</v>
      </c>
      <c r="EJ29" s="13">
        <f>IF('Données projet'!$A$192&gt;35,EJ28+EI29-ER28,IF(A29&lt;'Données projet'!$A$192,$EG$205^A29,IF(A29='Données projet'!$A$192,'Données projet'!$B$192,EJ28+EI29-ER28)))</f>
        <v>46.832500000000024</v>
      </c>
      <c r="EK29" s="18">
        <f>EJ29*VLOOKUP('Données projet'!$B$15,Paramètres!$A$1:$I$89,3,0)*VLOOKUP('Données projet'!$B$15,Paramètres!$A$1:$I$89,5,0)</f>
        <v>53.951040000000027</v>
      </c>
      <c r="EL29" s="14">
        <f t="shared" si="45"/>
        <v>15.629572760496334</v>
      </c>
      <c r="EM29" s="22">
        <f t="shared" si="19"/>
        <v>121.18623389119783</v>
      </c>
      <c r="EN29" s="62">
        <f t="shared" si="20"/>
        <v>414.51956722453116</v>
      </c>
      <c r="EO29" s="62">
        <f ca="1">AVERAGE(OFFSET($EN$3,0,0,'Données projet'!$E$15+1,1))-AVERAGE(OFFSET($H$3,0,0,'Données projet'!$E$15+1,1))</f>
        <v>118.01099353898547</v>
      </c>
      <c r="EP29" s="62">
        <f t="shared" si="46"/>
        <v>103.17146760845947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7</v>
      </c>
      <c r="FE29" s="13">
        <f>IF('Données projet'!$A$218&gt;35,FE28+FD29-FM28,IF(A29&lt;'Données projet'!$A$218,$FB$205^A29,IF(A29='Données projet'!$A$218,'Données projet'!$B$218,FE28+FD29-FM28)))</f>
        <v>77</v>
      </c>
      <c r="FF29" s="18">
        <f>FE29*VLOOKUP('Données projet'!$B$16,Paramètres!$A$1:$I$89,3,0)*VLOOKUP('Données projet'!$B$16,Paramètres!$A$1:$I$89,5,0)</f>
        <v>76.876800000000003</v>
      </c>
      <c r="FG29" s="14">
        <f t="shared" si="47"/>
        <v>21.371784666185118</v>
      </c>
      <c r="FH29" s="22">
        <f t="shared" si="22"/>
        <v>171.11628496027242</v>
      </c>
      <c r="FI29" s="62">
        <f t="shared" si="23"/>
        <v>464.44961829360574</v>
      </c>
      <c r="FJ29" s="62">
        <f ca="1">AVERAGE(OFFSET($FI$3,0,0,'Données projet'!$E$16+1,1))-AVERAGE(OFFSET($H$3,0,0,'Données projet'!$E$16+1,1))</f>
        <v>343.71044073996887</v>
      </c>
      <c r="FK29" s="62">
        <f t="shared" si="48"/>
        <v>193.51732627292375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84</v>
      </c>
      <c r="O30" s="14">
        <f>N30*VLOOKUP('Données projet'!$B$9,Paramètres!$A$1:$I$89,3,0)*VLOOKUP('Données projet'!$B$9,Paramètres!$A$1:$I$89,5,0)</f>
        <v>76.003200000000007</v>
      </c>
      <c r="P30" s="14">
        <f t="shared" si="33"/>
        <v>21.157049992000456</v>
      </c>
      <c r="Q30" s="22">
        <f t="shared" si="2"/>
        <v>169.22076873606747</v>
      </c>
      <c r="R30" s="62">
        <f t="shared" si="0"/>
        <v>462.55410206940076</v>
      </c>
      <c r="S30" s="62">
        <f ca="1">AVERAGE(OFFSET($R$3,0,0,'Données projet'!$E$9+1,1))-AVERAGE(OFFSET($H$3,0,0,'Données projet'!$E$9+1,1))</f>
        <v>303.73499739059076</v>
      </c>
      <c r="T30" s="62">
        <f t="shared" si="34"/>
        <v>172.32171001882188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12</v>
      </c>
      <c r="AI30" s="14">
        <f>IF('Données projet'!$A$62&gt;35,AI29+AH30-AQ29,IF(A30&lt;'Données projet'!$A$62,$AF$205^A30,IF(A30='Données projet'!$A$62,'Données projet'!$B$62,AI29+AH30-AQ29)))</f>
        <v>110.99999999999997</v>
      </c>
      <c r="AJ30" s="14">
        <f>AI30*VLOOKUP('Données projet'!$B$10,Paramètres!$A$1:$I$89,3,0)*VLOOKUP('Données projet'!$B$10,Paramètres!$A$1:$I$89,5,0)</f>
        <v>81.385199999999969</v>
      </c>
      <c r="AK30" s="14">
        <f t="shared" si="35"/>
        <v>22.475533601501123</v>
      </c>
      <c r="AL30" s="22">
        <f t="shared" si="4"/>
        <v>180.89077768928109</v>
      </c>
      <c r="AM30" s="62">
        <f t="shared" si="5"/>
        <v>474.22411102261441</v>
      </c>
      <c r="AN30" s="62">
        <f ca="1">AVERAGE(OFFSET($AM$3,0,0,'Données projet'!$E$10+1,1))-AVERAGE(OFFSET($H$3,0,0,'Données projet'!$E$10+1,1))</f>
        <v>215.66498680344858</v>
      </c>
      <c r="AO30" s="62">
        <f t="shared" si="36"/>
        <v>199.86715787211114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>
        <f>VLOOKUP(A30,'Données projet'!$A$87:$I$107,2,0)</f>
        <v>218.4</v>
      </c>
      <c r="BB30" s="13">
        <f>VLOOKUP(A30,'Données projet'!$A$87:$I$107,9,0)</f>
        <v>18.900000000000006</v>
      </c>
      <c r="BC30" s="13">
        <f t="array" ref="BC30">INDEX(BB:BB,MIN(IF(ISNUMBER(BB30:BB226),ROW(BB30:BB226),"")))</f>
        <v>18.900000000000006</v>
      </c>
      <c r="BD30" s="13">
        <f>IF('Données projet'!$A$88&gt;35,BD29+BC30-BL29,IF(A30&lt;'Données projet'!$A$88,$BA$205^A30,IF(A30='Données projet'!$A$88,'Données projet'!$B$88,BD29+BC30-BL29)))</f>
        <v>218.4</v>
      </c>
      <c r="BE30" s="14">
        <f>BD30*VLOOKUP('Données projet'!$B$11,Paramètres!$A$1:$I$89,3,0)*VLOOKUP('Données projet'!$B$11,Paramètres!$A$1:$I$89,5,0)</f>
        <v>130.60320000000002</v>
      </c>
      <c r="BF30" s="14">
        <f t="shared" si="37"/>
        <v>34.135703567016428</v>
      </c>
      <c r="BG30" s="22">
        <f t="shared" si="7"/>
        <v>286.92025704588701</v>
      </c>
      <c r="BH30" s="62">
        <f t="shared" si="8"/>
        <v>580.25359037922033</v>
      </c>
      <c r="BI30" s="62">
        <f ca="1">AVERAGE(OFFSET($BH$3,0,0,'Données projet'!$E$11+1,1))-AVERAGE(OFFSET($H$3,0,0,'Données projet'!$E$11+1,1))</f>
        <v>155.11440101086782</v>
      </c>
      <c r="BJ30" s="62">
        <f t="shared" si="38"/>
        <v>239.53454701506638</v>
      </c>
      <c r="BK30" s="16">
        <f>IF(ISNA(VLOOKUP(A30,'Données projet'!$A$87:$I$107,3,0)),0,VLOOKUP(A30,'Données projet'!$A$87:$I$107,3,0))</f>
        <v>3</v>
      </c>
      <c r="BL30" s="16">
        <f>IF(ISNA(VLOOKUP(A30,'Données projet'!$A$87:$I$107,4,0)),0,VLOOKUP(A30,'Données projet'!$A$87:$I$107,4,0))</f>
        <v>54.5</v>
      </c>
      <c r="BM30" s="17">
        <f>IF(ISNA(VLOOKUP(A30,'Données projet'!$A$87:$I$107,5,0)),0%,VLOOKUP(A30,'Données projet'!$A$87:$I$107,5,0)*VLOOKUP('Données projet'!$B$11,Paramètres!$A$1:$I$89,7,0))</f>
        <v>0.27</v>
      </c>
      <c r="BN30" s="17">
        <f>IF(ISNA(VLOOKUP(A30,'Données projet'!$A$87:$I$107,6,0)),0%,VLOOKUP(A30,'Données projet'!$A$87:$I$107,6,0)*VLOOKUP('Données projet'!$B$11,Paramètres!$A$1:$I$89,7,0))</f>
        <v>9.0000000000000011E-2</v>
      </c>
      <c r="BO30" s="17">
        <f>IF(ISNA(VLOOKUP(A30,'Données projet'!$A$87:$I$107,7,0)),0%,VLOOKUP(A30,'Données projet'!$A$87:$I$107,7,0))</f>
        <v>0.2</v>
      </c>
      <c r="BP30" s="23">
        <f>EXP(-LN(2)/35)*BP29+(1-EXP(-LN(2)/35))/(LN(2)/35)*BL30*BM30*VLOOKUP('Données projet'!$B$11,Paramètres!$A$1:$I$89,3,0)*0.475*44/12</f>
        <v>14.322492534802127</v>
      </c>
      <c r="BQ30" s="23">
        <f>EXP(-LN(2)/25)*BQ29+(1-EXP(-LN(2)/25))/(LN(2)/25)*Calculateur!BL30*Calculateur!BN30*VLOOKUP('Données projet'!$B$11,Paramètres!$A$1:$I$89,3,0)*0.475*44/12</f>
        <v>7.8701736331522945</v>
      </c>
      <c r="BR30" s="23">
        <f>EXP(-LN(2)/2)*BR29+(1-EXP(-LN(2)/2))/(LN(2)/2)*BL30*BO30*VLOOKUP('Données projet'!$B$11,Paramètres!$A$1:$I$89,3,0)*0.475*44/12</f>
        <v>8.3408705824564713</v>
      </c>
      <c r="BS30" s="24">
        <f t="shared" si="9"/>
        <v>30.533536750410892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>
        <f>VLOOKUP(A30,'Données projet'!$A$113:$I$133,2,0)</f>
        <v>218.4</v>
      </c>
      <c r="BW30" s="13">
        <f>VLOOKUP(A30,'Données projet'!$A$113:$I$133,9,0)</f>
        <v>18.900000000000006</v>
      </c>
      <c r="BX30" s="13">
        <f t="array" ref="BX30">INDEX(BW:BW,MIN(IF(ISNUMBER(BW30:BW226),ROW(BW30:BW226),"")))</f>
        <v>18.900000000000006</v>
      </c>
      <c r="BY30" s="13">
        <f>IF('Données projet'!$A$114&gt;35,BY29+BX30-CG29,IF(A30&lt;'Données projet'!$A$114,$BV$205^A30,IF(A30='Données projet'!$A$114,'Données projet'!$B$114,BY29+BX30-CG29)))</f>
        <v>218.4</v>
      </c>
      <c r="BZ30" s="14">
        <f>BY30*VLOOKUP('Données projet'!$B$12,Paramètres!$A$1:$I$89,3,0)*VLOOKUP('Données projet'!$B$12,Paramètres!$A$1:$I$89,5,0)</f>
        <v>130.60320000000002</v>
      </c>
      <c r="CA30" s="14">
        <f t="shared" si="39"/>
        <v>34.135703567016428</v>
      </c>
      <c r="CB30" s="22">
        <f t="shared" si="10"/>
        <v>286.92025704588701</v>
      </c>
      <c r="CC30" s="62">
        <f t="shared" si="11"/>
        <v>580.25359037922033</v>
      </c>
      <c r="CD30" s="62">
        <f ca="1">AVERAGE(OFFSET($CC$3,0,0,'Données projet'!$E$12+1,1))-AVERAGE(OFFSET($H$3,0,0,'Données projet'!$E$12+1,1))</f>
        <v>155.11440101086782</v>
      </c>
      <c r="CE30" s="62">
        <f t="shared" si="40"/>
        <v>239.53454701506638</v>
      </c>
      <c r="CF30" s="16">
        <f>IF(ISNA(VLOOKUP(A30,'Données projet'!$A$113:$I$133,3,0)),0,VLOOKUP(A30,'Données projet'!$A$113:$I$133,3,0))</f>
        <v>3</v>
      </c>
      <c r="CG30" s="16">
        <f>IF(ISNA(VLOOKUP(A30,'Données projet'!$A$113:$I$133,4,0)),0,VLOOKUP(A30,'Données projet'!$A$113:$I$133,4,0))</f>
        <v>54.5</v>
      </c>
      <c r="CH30" s="17">
        <f>IF(ISNA(VLOOKUP(A30,'Données projet'!$A$113:$I$133,5,0)),0%,VLOOKUP(A30,'Données projet'!$A$113:$I$133,5,0)*VLOOKUP('Données projet'!$B$12,Paramètres!$A$1:$I$89,7,0))</f>
        <v>0.27</v>
      </c>
      <c r="CI30" s="17">
        <f>IF(ISNA(VLOOKUP(A30,'Données projet'!$A$113:$I$133,6,0)),0%,VLOOKUP(A30,'Données projet'!$A$113:$I$133,6,0)*VLOOKUP('Données projet'!$B$12,Paramètres!$A$1:$I$89,7,0))</f>
        <v>9.0000000000000011E-2</v>
      </c>
      <c r="CJ30" s="17">
        <f>IF(ISNA(VLOOKUP(A30,'Données projet'!$A$113:$I$133,7,0)),0%,VLOOKUP(A30,'Données projet'!$A$113:$I$133,7,0))</f>
        <v>0.2</v>
      </c>
      <c r="CK30" s="23">
        <f>EXP(-LN(2)/35)*CK29+(1-EXP(-LN(2)/35))/(LN(2)/35)*CG30*CH30*VLOOKUP('Données projet'!$B$12,Paramètres!$A$1:$I$89,3,0)*0.475*44/12</f>
        <v>14.322492534802127</v>
      </c>
      <c r="CL30" s="23">
        <f>EXP(-LN(2)/25)*CL29+(1-EXP(-LN(2)/25))/(LN(2)/25)*Calculateur!CG30*Calculateur!CI30*VLOOKUP('Données projet'!$B$12,Paramètres!$A$1:$I$89,3,0)*0.475*44/12</f>
        <v>7.8701736331522945</v>
      </c>
      <c r="CM30" s="23">
        <f>EXP(-LN(2)/2)*CM29+(1-EXP(-LN(2)/2))/(LN(2)/2)*CG30*CJ30*VLOOKUP('Données projet'!$B$12,Paramètres!$A$1:$I$89,3,0)*0.475*44/12</f>
        <v>8.3408705824564713</v>
      </c>
      <c r="CN30" s="24">
        <f t="shared" si="12"/>
        <v>30.533536750410892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8.8000000000000007</v>
      </c>
      <c r="CT30" s="13">
        <f>IF('Données projet'!$A$140&gt;35,CT29+CS30-DB29,IF(A30&lt;'Données projet'!$A$140,$CQ$205^A30,IF(A30='Données projet'!$A$140,'Données projet'!$B$140,CT29+CS30-DB29)))</f>
        <v>119.59999999999997</v>
      </c>
      <c r="CU30" s="18">
        <f>CT30*VLOOKUP('Données projet'!$B$13,Paramètres!$A$1:$I$89,3,0)*VLOOKUP('Données projet'!$B$13,Paramètres!$A$1:$I$89,5,0)</f>
        <v>97.019519999999986</v>
      </c>
      <c r="CV30" s="14">
        <f t="shared" si="41"/>
        <v>26.250693712468323</v>
      </c>
      <c r="CW30" s="22">
        <f t="shared" si="13"/>
        <v>214.69562221588228</v>
      </c>
      <c r="CX30" s="62">
        <f t="shared" si="14"/>
        <v>508.0289555492156</v>
      </c>
      <c r="CY30" s="62">
        <f ca="1">AVERAGE(OFFSET($CX$3,0,0,'Données projet'!$E$13+1,1))-AVERAGE(OFFSET($H$3,0,0,'Données projet'!$E$13+1,1))</f>
        <v>191.03017979797141</v>
      </c>
      <c r="CZ30" s="62">
        <f t="shared" si="42"/>
        <v>222.78252111624278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6.5384615384615357</v>
      </c>
      <c r="DO30" s="13">
        <f>IF('Données projet'!$A$166&gt;35,DO29+DN30-DW29,IF(A30&lt;'Données projet'!$A$166,$DL$205^A30,IF(A30='Données projet'!$A$166,'Données projet'!$B$166,DO29+DN30-DW29)))</f>
        <v>97.051282051282058</v>
      </c>
      <c r="DP30" s="18">
        <f>DO30*VLOOKUP('Données projet'!$B$14,Paramètres!$A$1:$I$89,3,0)*VLOOKUP('Données projet'!$B$14,Paramètres!$A$1:$I$89,5,0)</f>
        <v>92.354000000000013</v>
      </c>
      <c r="DQ30" s="14">
        <f t="shared" si="43"/>
        <v>25.132097180965346</v>
      </c>
      <c r="DR30" s="22">
        <f t="shared" si="16"/>
        <v>204.62161925684799</v>
      </c>
      <c r="DS30" s="62">
        <f t="shared" si="17"/>
        <v>497.95495259018128</v>
      </c>
      <c r="DT30" s="62">
        <f ca="1">AVERAGE(OFFSET($DS$3,0,0,'Données projet'!$E$14+1,1))-AVERAGE(OFFSET($H$3,0,0,'Données projet'!$E$14+1,1))</f>
        <v>260.93525280373063</v>
      </c>
      <c r="DU30" s="62">
        <f t="shared" si="44"/>
        <v>206.83968452163816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1.9887500000000009</v>
      </c>
      <c r="EJ30" s="13">
        <f>IF('Données projet'!$A$192&gt;35,EJ29+EI30-ER29,IF(A30&lt;'Données projet'!$A$192,$EG$205^A30,IF(A30='Données projet'!$A$192,'Données projet'!$B$192,EJ29+EI30-ER29)))</f>
        <v>48.821250000000028</v>
      </c>
      <c r="EK30" s="18">
        <f>EJ30*VLOOKUP('Données projet'!$B$15,Paramètres!$A$1:$I$89,3,0)*VLOOKUP('Données projet'!$B$15,Paramètres!$A$1:$I$89,5,0)</f>
        <v>56.242080000000023</v>
      </c>
      <c r="EL30" s="14">
        <f t="shared" si="45"/>
        <v>16.214602064519848</v>
      </c>
      <c r="EM30" s="22">
        <f t="shared" si="19"/>
        <v>126.19538792903876</v>
      </c>
      <c r="EN30" s="62">
        <f t="shared" si="20"/>
        <v>419.52872126237207</v>
      </c>
      <c r="EO30" s="62">
        <f ca="1">AVERAGE(OFFSET($EN$3,0,0,'Données projet'!$E$15+1,1))-AVERAGE(OFFSET($H$3,0,0,'Données projet'!$E$15+1,1))</f>
        <v>118.01099353898547</v>
      </c>
      <c r="EP30" s="62">
        <f t="shared" si="46"/>
        <v>103.17146760845947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7</v>
      </c>
      <c r="FE30" s="13">
        <f>IF('Données projet'!$A$218&gt;35,FE29+FD30-FM29,IF(A30&lt;'Données projet'!$A$218,$FB$205^A30,IF(A30='Données projet'!$A$218,'Données projet'!$B$218,FE29+FD30-FM29)))</f>
        <v>84</v>
      </c>
      <c r="FF30" s="18">
        <f>FE30*VLOOKUP('Données projet'!$B$16,Paramètres!$A$1:$I$89,3,0)*VLOOKUP('Données projet'!$B$16,Paramètres!$A$1:$I$89,5,0)</f>
        <v>83.865600000000001</v>
      </c>
      <c r="FG30" s="14">
        <f t="shared" si="47"/>
        <v>23.079732033574274</v>
      </c>
      <c r="FH30" s="22">
        <f t="shared" si="22"/>
        <v>186.26311995847519</v>
      </c>
      <c r="FI30" s="62">
        <f t="shared" si="23"/>
        <v>479.59645329180853</v>
      </c>
      <c r="FJ30" s="62">
        <f ca="1">AVERAGE(OFFSET($FI$3,0,0,'Données projet'!$E$16+1,1))-AVERAGE(OFFSET($H$3,0,0,'Données projet'!$E$16+1,1))</f>
        <v>343.71044073996887</v>
      </c>
      <c r="FK30" s="62">
        <f t="shared" si="48"/>
        <v>193.51732627292375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91</v>
      </c>
      <c r="O31" s="14">
        <f>N31*VLOOKUP('Données projet'!$B$9,Paramètres!$A$1:$I$89,3,0)*VLOOKUP('Données projet'!$B$9,Paramètres!$A$1:$I$89,5,0)</f>
        <v>82.336799999999997</v>
      </c>
      <c r="P31" s="14">
        <f t="shared" si="33"/>
        <v>22.707582950885364</v>
      </c>
      <c r="Q31" s="22">
        <f t="shared" si="2"/>
        <v>182.95230030612535</v>
      </c>
      <c r="R31" s="62">
        <f t="shared" si="0"/>
        <v>476.28563363945864</v>
      </c>
      <c r="S31" s="62">
        <f ca="1">AVERAGE(OFFSET($R$3,0,0,'Données projet'!$E$9+1,1))-AVERAGE(OFFSET($H$3,0,0,'Données projet'!$E$9+1,1))</f>
        <v>303.73499739059076</v>
      </c>
      <c r="T31" s="62">
        <f t="shared" si="34"/>
        <v>172.32171001882188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12</v>
      </c>
      <c r="AI31" s="14">
        <f>IF('Données projet'!$A$62&gt;35,AI30+AH31-AQ30,IF(A31&lt;'Données projet'!$A$62,$AF$205^A31,IF(A31='Données projet'!$A$62,'Données projet'!$B$62,AI30+AH31-AQ30)))</f>
        <v>122.99999999999997</v>
      </c>
      <c r="AJ31" s="14">
        <f>AI31*VLOOKUP('Données projet'!$B$10,Paramètres!$A$1:$I$89,3,0)*VLOOKUP('Données projet'!$B$10,Paramètres!$A$1:$I$89,5,0)</f>
        <v>90.18359999999997</v>
      </c>
      <c r="AK31" s="14">
        <f t="shared" si="35"/>
        <v>24.609499639553768</v>
      </c>
      <c r="AL31" s="22">
        <f t="shared" si="4"/>
        <v>199.93131520555607</v>
      </c>
      <c r="AM31" s="62">
        <f t="shared" si="5"/>
        <v>493.26464853888939</v>
      </c>
      <c r="AN31" s="62">
        <f ca="1">AVERAGE(OFFSET($AM$3,0,0,'Données projet'!$E$10+1,1))-AVERAGE(OFFSET($H$3,0,0,'Données projet'!$E$10+1,1))</f>
        <v>215.66498680344858</v>
      </c>
      <c r="AO31" s="62">
        <f t="shared" si="36"/>
        <v>199.86715787211114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>
        <f>VLOOKUP(A31,'Données projet'!$A$87:$I$107,2,0)</f>
        <v>179.2</v>
      </c>
      <c r="BB31" s="13">
        <f>VLOOKUP(A31,'Données projet'!$A$87:$I$107,9,0)</f>
        <v>15.299999999999983</v>
      </c>
      <c r="BC31" s="13">
        <f t="array" ref="BC31">INDEX(BB:BB,MIN(IF(ISNUMBER(BB31:BB227),ROW(BB31:BB227),"")))</f>
        <v>15.299999999999983</v>
      </c>
      <c r="BD31" s="13">
        <f>IF('Données projet'!$A$88&gt;35,BD30+BC31-BL30,IF(A31&lt;'Données projet'!$A$88,$BA$205^A31,IF(A31='Données projet'!$A$88,'Données projet'!$B$88,BD30+BC31-BL30)))</f>
        <v>179.2</v>
      </c>
      <c r="BE31" s="14">
        <f>BD31*VLOOKUP('Données projet'!$B$11,Paramètres!$A$1:$I$89,3,0)*VLOOKUP('Données projet'!$B$11,Paramètres!$A$1:$I$89,5,0)</f>
        <v>107.16160000000001</v>
      </c>
      <c r="BF31" s="14">
        <f t="shared" si="37"/>
        <v>28.661221307723455</v>
      </c>
      <c r="BG31" s="22">
        <f t="shared" si="7"/>
        <v>236.55808044428508</v>
      </c>
      <c r="BH31" s="62">
        <f t="shared" si="8"/>
        <v>529.89141377761837</v>
      </c>
      <c r="BI31" s="62">
        <f ca="1">AVERAGE(OFFSET($BH$3,0,0,'Données projet'!$E$11+1,1))-AVERAGE(OFFSET($H$3,0,0,'Données projet'!$E$11+1,1))</f>
        <v>155.11440101086782</v>
      </c>
      <c r="BJ31" s="62">
        <f t="shared" si="38"/>
        <v>239.53454701506638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14.041637192052509</v>
      </c>
      <c r="BQ31" s="23">
        <f>EXP(-LN(2)/25)*BQ30+(1-EXP(-LN(2)/25))/(LN(2)/25)*Calculateur!BL31*Calculateur!BN31*VLOOKUP('Données projet'!$B$11,Paramètres!$A$1:$I$89,3,0)*0.475*44/12</f>
        <v>7.6549633212793013</v>
      </c>
      <c r="BR31" s="23">
        <f>EXP(-LN(2)/2)*BR30+(1-EXP(-LN(2)/2))/(LN(2)/2)*BL31*BO31*VLOOKUP('Données projet'!$B$11,Paramètres!$A$1:$I$89,3,0)*0.475*44/12</f>
        <v>5.8978861498543598</v>
      </c>
      <c r="BS31" s="24">
        <f t="shared" si="9"/>
        <v>27.594486663186167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>
        <f>VLOOKUP(A31,'Données projet'!$A$113:$I$133,2,0)</f>
        <v>179.2</v>
      </c>
      <c r="BW31" s="13">
        <f>VLOOKUP(A31,'Données projet'!$A$113:$I$133,9,0)</f>
        <v>15.299999999999983</v>
      </c>
      <c r="BX31" s="13">
        <f t="array" ref="BX31">INDEX(BW:BW,MIN(IF(ISNUMBER(BW31:BW227),ROW(BW31:BW227),"")))</f>
        <v>15.299999999999983</v>
      </c>
      <c r="BY31" s="13">
        <f>IF('Données projet'!$A$114&gt;35,BY30+BX31-CG30,IF(A31&lt;'Données projet'!$A$114,$BV$205^A31,IF(A31='Données projet'!$A$114,'Données projet'!$B$114,BY30+BX31-CG30)))</f>
        <v>179.2</v>
      </c>
      <c r="BZ31" s="14">
        <f>BY31*VLOOKUP('Données projet'!$B$12,Paramètres!$A$1:$I$89,3,0)*VLOOKUP('Données projet'!$B$12,Paramètres!$A$1:$I$89,5,0)</f>
        <v>107.16160000000001</v>
      </c>
      <c r="CA31" s="14">
        <f t="shared" si="39"/>
        <v>28.661221307723455</v>
      </c>
      <c r="CB31" s="22">
        <f t="shared" si="10"/>
        <v>236.55808044428508</v>
      </c>
      <c r="CC31" s="62">
        <f t="shared" si="11"/>
        <v>529.89141377761837</v>
      </c>
      <c r="CD31" s="62">
        <f ca="1">AVERAGE(OFFSET($CC$3,0,0,'Données projet'!$E$12+1,1))-AVERAGE(OFFSET($H$3,0,0,'Données projet'!$E$12+1,1))</f>
        <v>155.11440101086782</v>
      </c>
      <c r="CE31" s="62">
        <f t="shared" si="40"/>
        <v>239.53454701506638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14.041637192052509</v>
      </c>
      <c r="CL31" s="23">
        <f>EXP(-LN(2)/25)*CL30+(1-EXP(-LN(2)/25))/(LN(2)/25)*Calculateur!CG31*Calculateur!CI31*VLOOKUP('Données projet'!$B$12,Paramètres!$A$1:$I$89,3,0)*0.475*44/12</f>
        <v>7.6549633212793013</v>
      </c>
      <c r="CM31" s="23">
        <f>EXP(-LN(2)/2)*CM30+(1-EXP(-LN(2)/2))/(LN(2)/2)*CG31*CJ31*VLOOKUP('Données projet'!$B$12,Paramètres!$A$1:$I$89,3,0)*0.475*44/12</f>
        <v>5.8978861498543598</v>
      </c>
      <c r="CN31" s="24">
        <f t="shared" si="12"/>
        <v>27.594486663186167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8.8000000000000007</v>
      </c>
      <c r="CT31" s="13">
        <f>IF('Données projet'!$A$140&gt;35,CT30+CS31-DB30,IF(A31&lt;'Données projet'!$A$140,$CQ$205^A31,IF(A31='Données projet'!$A$140,'Données projet'!$B$140,CT30+CS31-DB30)))</f>
        <v>128.39999999999998</v>
      </c>
      <c r="CU31" s="18">
        <f>CT31*VLOOKUP('Données projet'!$B$13,Paramètres!$A$1:$I$89,3,0)*VLOOKUP('Données projet'!$B$13,Paramètres!$A$1:$I$89,5,0)</f>
        <v>104.15807999999998</v>
      </c>
      <c r="CV31" s="14">
        <f t="shared" si="41"/>
        <v>27.950241801489337</v>
      </c>
      <c r="CW31" s="22">
        <f t="shared" si="13"/>
        <v>230.08866047092724</v>
      </c>
      <c r="CX31" s="62">
        <f t="shared" si="14"/>
        <v>523.42199380426052</v>
      </c>
      <c r="CY31" s="62">
        <f ca="1">AVERAGE(OFFSET($CX$3,0,0,'Données projet'!$E$13+1,1))-AVERAGE(OFFSET($H$3,0,0,'Données projet'!$E$13+1,1))</f>
        <v>191.03017979797141</v>
      </c>
      <c r="CZ31" s="62">
        <f t="shared" si="42"/>
        <v>222.78252111624278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6.5384615384615357</v>
      </c>
      <c r="DO31" s="13">
        <f>IF('Données projet'!$A$166&gt;35,DO30+DN31-DW30,IF(A31&lt;'Données projet'!$A$166,$DL$205^A31,IF(A31='Données projet'!$A$166,'Données projet'!$B$166,DO30+DN31-DW30)))</f>
        <v>103.58974358974359</v>
      </c>
      <c r="DP31" s="18">
        <f>DO31*VLOOKUP('Données projet'!$B$14,Paramètres!$A$1:$I$89,3,0)*VLOOKUP('Données projet'!$B$14,Paramètres!$A$1:$I$89,5,0)</f>
        <v>98.576000000000008</v>
      </c>
      <c r="DQ31" s="14">
        <f t="shared" si="43"/>
        <v>26.622466525409418</v>
      </c>
      <c r="DR31" s="22">
        <f t="shared" si="16"/>
        <v>218.05399586508807</v>
      </c>
      <c r="DS31" s="62">
        <f t="shared" si="17"/>
        <v>511.38732919842141</v>
      </c>
      <c r="DT31" s="62">
        <f ca="1">AVERAGE(OFFSET($DS$3,0,0,'Données projet'!$E$14+1,1))-AVERAGE(OFFSET($H$3,0,0,'Données projet'!$E$14+1,1))</f>
        <v>260.93525280373063</v>
      </c>
      <c r="DU31" s="62">
        <f t="shared" si="44"/>
        <v>206.83968452163816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1.9887500000000009</v>
      </c>
      <c r="EJ31" s="13">
        <f>IF('Données projet'!$A$192&gt;35,EJ30+EI31-ER30,IF(A31&lt;'Données projet'!$A$192,$EG$205^A31,IF(A31='Données projet'!$A$192,'Données projet'!$B$192,EJ30+EI31-ER30)))</f>
        <v>50.810000000000031</v>
      </c>
      <c r="EK31" s="18">
        <f>EJ31*VLOOKUP('Données projet'!$B$15,Paramètres!$A$1:$I$89,3,0)*VLOOKUP('Données projet'!$B$15,Paramètres!$A$1:$I$89,5,0)</f>
        <v>58.533120000000032</v>
      </c>
      <c r="EL31" s="14">
        <f t="shared" si="45"/>
        <v>16.79686315525263</v>
      </c>
      <c r="EM31" s="22">
        <f t="shared" si="19"/>
        <v>131.19972066206506</v>
      </c>
      <c r="EN31" s="62">
        <f t="shared" si="20"/>
        <v>424.5330539953984</v>
      </c>
      <c r="EO31" s="62">
        <f ca="1">AVERAGE(OFFSET($EN$3,0,0,'Données projet'!$E$15+1,1))-AVERAGE(OFFSET($H$3,0,0,'Données projet'!$E$15+1,1))</f>
        <v>118.01099353898547</v>
      </c>
      <c r="EP31" s="62">
        <f t="shared" si="46"/>
        <v>103.17146760845947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7</v>
      </c>
      <c r="FE31" s="13">
        <f>IF('Données projet'!$A$218&gt;35,FE30+FD31-FM30,IF(A31&lt;'Données projet'!$A$218,$FB$205^A31,IF(A31='Données projet'!$A$218,'Données projet'!$B$218,FE30+FD31-FM30)))</f>
        <v>91</v>
      </c>
      <c r="FF31" s="18">
        <f>FE31*VLOOKUP('Données projet'!$B$16,Paramètres!$A$1:$I$89,3,0)*VLOOKUP('Données projet'!$B$16,Paramètres!$A$1:$I$89,5,0)</f>
        <v>90.854400000000012</v>
      </c>
      <c r="FG31" s="14">
        <f t="shared" si="47"/>
        <v>24.771172249191284</v>
      </c>
      <c r="FH31" s="22">
        <f t="shared" si="22"/>
        <v>201.38120500067484</v>
      </c>
      <c r="FI31" s="62">
        <f t="shared" si="23"/>
        <v>494.71453833400813</v>
      </c>
      <c r="FJ31" s="62">
        <f ca="1">AVERAGE(OFFSET($FI$3,0,0,'Données projet'!$E$16+1,1))-AVERAGE(OFFSET($H$3,0,0,'Données projet'!$E$16+1,1))</f>
        <v>343.71044073996887</v>
      </c>
      <c r="FK31" s="62">
        <f t="shared" si="48"/>
        <v>193.51732627292375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98</v>
      </c>
      <c r="O32" s="14">
        <f>N32*VLOOKUP('Données projet'!$B$9,Paramètres!$A$1:$I$89,3,0)*VLOOKUP('Données projet'!$B$9,Paramètres!$A$1:$I$89,5,0)</f>
        <v>88.670400000000001</v>
      </c>
      <c r="P32" s="14">
        <f t="shared" si="33"/>
        <v>24.244280250395512</v>
      </c>
      <c r="Q32" s="22">
        <f t="shared" si="2"/>
        <v>196.65973476943884</v>
      </c>
      <c r="R32" s="62">
        <f t="shared" si="0"/>
        <v>489.99306810277216</v>
      </c>
      <c r="S32" s="62">
        <f ca="1">AVERAGE(OFFSET($R$3,0,0,'Données projet'!$E$9+1,1))-AVERAGE(OFFSET($H$3,0,0,'Données projet'!$E$9+1,1))</f>
        <v>303.73499739059076</v>
      </c>
      <c r="T32" s="62">
        <f t="shared" si="34"/>
        <v>172.32171001882188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12</v>
      </c>
      <c r="AI32" s="14">
        <f>IF('Données projet'!$A$62&gt;35,AI31+AH32-AQ31,IF(A32&lt;'Données projet'!$A$62,$AF$205^A32,IF(A32='Données projet'!$A$62,'Données projet'!$B$62,AI31+AH32-AQ31)))</f>
        <v>134.99999999999997</v>
      </c>
      <c r="AJ32" s="14">
        <f>AI32*VLOOKUP('Données projet'!$B$10,Paramètres!$A$1:$I$89,3,0)*VLOOKUP('Données projet'!$B$10,Paramètres!$A$1:$I$89,5,0)</f>
        <v>98.981999999999971</v>
      </c>
      <c r="AK32" s="14">
        <f t="shared" si="35"/>
        <v>26.719328849010743</v>
      </c>
      <c r="AL32" s="22">
        <f t="shared" si="4"/>
        <v>218.92981441202699</v>
      </c>
      <c r="AM32" s="62">
        <f t="shared" si="5"/>
        <v>512.26314774536036</v>
      </c>
      <c r="AN32" s="62">
        <f ca="1">AVERAGE(OFFSET($AM$3,0,0,'Données projet'!$E$10+1,1))-AVERAGE(OFFSET($H$3,0,0,'Données projet'!$E$10+1,1))</f>
        <v>215.66498680344858</v>
      </c>
      <c r="AO32" s="62">
        <f t="shared" si="36"/>
        <v>199.86715787211114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15.950000000000003</v>
      </c>
      <c r="BD32" s="13">
        <f>IF('Données projet'!$A$88&gt;35,BD31+BC32-BL31,IF(A32&lt;'Données projet'!$A$88,$BA$205^A32,IF(A32='Données projet'!$A$88,'Données projet'!$B$88,BD31+BC32-BL31)))</f>
        <v>195.14999999999998</v>
      </c>
      <c r="BE32" s="14">
        <f>BD32*VLOOKUP('Données projet'!$B$11,Paramètres!$A$1:$I$89,3,0)*VLOOKUP('Données projet'!$B$11,Paramètres!$A$1:$I$89,5,0)</f>
        <v>116.69969999999999</v>
      </c>
      <c r="BF32" s="14">
        <f t="shared" si="37"/>
        <v>30.904013637526155</v>
      </c>
      <c r="BG32" s="22">
        <f t="shared" si="7"/>
        <v>257.07646791869132</v>
      </c>
      <c r="BH32" s="62">
        <f t="shared" si="8"/>
        <v>550.40980125202464</v>
      </c>
      <c r="BI32" s="62">
        <f ca="1">AVERAGE(OFFSET($BH$3,0,0,'Données projet'!$E$11+1,1))-AVERAGE(OFFSET($H$3,0,0,'Données projet'!$E$11+1,1))</f>
        <v>155.11440101086782</v>
      </c>
      <c r="BJ32" s="62">
        <f t="shared" si="38"/>
        <v>239.53454701506638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13.766289251269367</v>
      </c>
      <c r="BQ32" s="23">
        <f>EXP(-LN(2)/25)*BQ31+(1-EXP(-LN(2)/25))/(LN(2)/25)*Calculateur!BL32*Calculateur!BN32*VLOOKUP('Données projet'!$B$11,Paramètres!$A$1:$I$89,3,0)*0.475*44/12</f>
        <v>7.4456379467018934</v>
      </c>
      <c r="BR32" s="23">
        <f>EXP(-LN(2)/2)*BR31+(1-EXP(-LN(2)/2))/(LN(2)/2)*BL32*BO32*VLOOKUP('Données projet'!$B$11,Paramètres!$A$1:$I$89,3,0)*0.475*44/12</f>
        <v>4.1704352912282365</v>
      </c>
      <c r="BS32" s="24">
        <f t="shared" si="9"/>
        <v>25.382362489199497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15.950000000000003</v>
      </c>
      <c r="BY32" s="13">
        <f>IF('Données projet'!$A$114&gt;35,BY31+BX32-CG31,IF(A32&lt;'Données projet'!$A$114,$BV$205^A32,IF(A32='Données projet'!$A$114,'Données projet'!$B$114,BY31+BX32-CG31)))</f>
        <v>195.14999999999998</v>
      </c>
      <c r="BZ32" s="14">
        <f>BY32*VLOOKUP('Données projet'!$B$12,Paramètres!$A$1:$I$89,3,0)*VLOOKUP('Données projet'!$B$12,Paramètres!$A$1:$I$89,5,0)</f>
        <v>116.69969999999999</v>
      </c>
      <c r="CA32" s="14">
        <f t="shared" si="39"/>
        <v>30.904013637526155</v>
      </c>
      <c r="CB32" s="22">
        <f t="shared" si="10"/>
        <v>257.07646791869132</v>
      </c>
      <c r="CC32" s="62">
        <f t="shared" si="11"/>
        <v>550.40980125202464</v>
      </c>
      <c r="CD32" s="62">
        <f ca="1">AVERAGE(OFFSET($CC$3,0,0,'Données projet'!$E$12+1,1))-AVERAGE(OFFSET($H$3,0,0,'Données projet'!$E$12+1,1))</f>
        <v>155.11440101086782</v>
      </c>
      <c r="CE32" s="62">
        <f t="shared" si="40"/>
        <v>239.53454701506638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13.766289251269367</v>
      </c>
      <c r="CL32" s="23">
        <f>EXP(-LN(2)/25)*CL31+(1-EXP(-LN(2)/25))/(LN(2)/25)*Calculateur!CG32*Calculateur!CI32*VLOOKUP('Données projet'!$B$12,Paramètres!$A$1:$I$89,3,0)*0.475*44/12</f>
        <v>7.4456379467018934</v>
      </c>
      <c r="CM32" s="23">
        <f>EXP(-LN(2)/2)*CM31+(1-EXP(-LN(2)/2))/(LN(2)/2)*CG32*CJ32*VLOOKUP('Données projet'!$B$12,Paramètres!$A$1:$I$89,3,0)*0.475*44/12</f>
        <v>4.1704352912282365</v>
      </c>
      <c r="CN32" s="24">
        <f t="shared" si="12"/>
        <v>25.382362489199497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8.8000000000000007</v>
      </c>
      <c r="CT32" s="13">
        <f>IF('Données projet'!$A$140&gt;35,CT31+CS32-DB31,IF(A32&lt;'Données projet'!$A$140,$CQ$205^A32,IF(A32='Données projet'!$A$140,'Données projet'!$B$140,CT31+CS32-DB31)))</f>
        <v>137.19999999999999</v>
      </c>
      <c r="CU32" s="18">
        <f>CT32*VLOOKUP('Données projet'!$B$13,Paramètres!$A$1:$I$89,3,0)*VLOOKUP('Données projet'!$B$13,Paramètres!$A$1:$I$89,5,0)</f>
        <v>111.29664</v>
      </c>
      <c r="CV32" s="14">
        <f t="shared" si="41"/>
        <v>29.636274399319777</v>
      </c>
      <c r="CW32" s="22">
        <f t="shared" si="13"/>
        <v>245.45815924548194</v>
      </c>
      <c r="CX32" s="62">
        <f t="shared" si="14"/>
        <v>538.79149257881522</v>
      </c>
      <c r="CY32" s="62">
        <f ca="1">AVERAGE(OFFSET($CX$3,0,0,'Données projet'!$E$13+1,1))-AVERAGE(OFFSET($H$3,0,0,'Données projet'!$E$13+1,1))</f>
        <v>191.03017979797141</v>
      </c>
      <c r="CZ32" s="62">
        <f t="shared" si="42"/>
        <v>222.78252111624278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6.5384615384615357</v>
      </c>
      <c r="DO32" s="13">
        <f>IF('Données projet'!$A$166&gt;35,DO31+DN32-DW31,IF(A32&lt;'Données projet'!$A$166,$DL$205^A32,IF(A32='Données projet'!$A$166,'Données projet'!$B$166,DO31+DN32-DW31)))</f>
        <v>110.12820512820512</v>
      </c>
      <c r="DP32" s="18">
        <f>DO32*VLOOKUP('Données projet'!$B$14,Paramètres!$A$1:$I$89,3,0)*VLOOKUP('Données projet'!$B$14,Paramètres!$A$1:$I$89,5,0)</f>
        <v>104.79799999999999</v>
      </c>
      <c r="DQ32" s="14">
        <f t="shared" si="43"/>
        <v>28.101918557678896</v>
      </c>
      <c r="DR32" s="22">
        <f t="shared" si="16"/>
        <v>231.46735815462407</v>
      </c>
      <c r="DS32" s="62">
        <f t="shared" si="17"/>
        <v>524.80069148795735</v>
      </c>
      <c r="DT32" s="62">
        <f ca="1">AVERAGE(OFFSET($DS$3,0,0,'Données projet'!$E$14+1,1))-AVERAGE(OFFSET($H$3,0,0,'Données projet'!$E$14+1,1))</f>
        <v>260.93525280373063</v>
      </c>
      <c r="DU32" s="62">
        <f t="shared" si="44"/>
        <v>206.83968452163816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1.9887500000000009</v>
      </c>
      <c r="EJ32" s="13">
        <f>IF('Données projet'!$A$192&gt;35,EJ31+EI32-ER31,IF(A32&lt;'Données projet'!$A$192,$EG$205^A32,IF(A32='Données projet'!$A$192,'Données projet'!$B$192,EJ31+EI32-ER31)))</f>
        <v>52.798750000000034</v>
      </c>
      <c r="EK32" s="18">
        <f>EJ32*VLOOKUP('Données projet'!$B$15,Paramètres!$A$1:$I$89,3,0)*VLOOKUP('Données projet'!$B$15,Paramètres!$A$1:$I$89,5,0)</f>
        <v>60.824160000000035</v>
      </c>
      <c r="EL32" s="14">
        <f t="shared" si="45"/>
        <v>17.376476782758175</v>
      </c>
      <c r="EM32" s="22">
        <f t="shared" si="19"/>
        <v>136.19944239663721</v>
      </c>
      <c r="EN32" s="62">
        <f t="shared" si="20"/>
        <v>429.53277572997052</v>
      </c>
      <c r="EO32" s="62">
        <f ca="1">AVERAGE(OFFSET($EN$3,0,0,'Données projet'!$E$15+1,1))-AVERAGE(OFFSET($H$3,0,0,'Données projet'!$E$15+1,1))</f>
        <v>118.01099353898547</v>
      </c>
      <c r="EP32" s="62">
        <f t="shared" si="46"/>
        <v>103.17146760845947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7</v>
      </c>
      <c r="FE32" s="13">
        <f>IF('Données projet'!$A$218&gt;35,FE31+FD32-FM31,IF(A32&lt;'Données projet'!$A$218,$FB$205^A32,IF(A32='Données projet'!$A$218,'Données projet'!$B$218,FE31+FD32-FM31)))</f>
        <v>98</v>
      </c>
      <c r="FF32" s="18">
        <f>FE32*VLOOKUP('Données projet'!$B$16,Paramètres!$A$1:$I$89,3,0)*VLOOKUP('Données projet'!$B$16,Paramètres!$A$1:$I$89,5,0)</f>
        <v>97.843199999999996</v>
      </c>
      <c r="FG32" s="14">
        <f t="shared" si="47"/>
        <v>26.447519466918756</v>
      </c>
      <c r="FH32" s="22">
        <f t="shared" si="22"/>
        <v>216.47300307155012</v>
      </c>
      <c r="FI32" s="62">
        <f t="shared" si="23"/>
        <v>509.80633640488344</v>
      </c>
      <c r="FJ32" s="62">
        <f ca="1">AVERAGE(OFFSET($FI$3,0,0,'Données projet'!$E$16+1,1))-AVERAGE(OFFSET($H$3,0,0,'Données projet'!$E$16+1,1))</f>
        <v>343.71044073996887</v>
      </c>
      <c r="FK32" s="62">
        <f t="shared" si="48"/>
        <v>193.51732627292375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105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105</v>
      </c>
      <c r="O33" s="14">
        <f>N33*VLOOKUP('Données projet'!$B$9,Paramètres!$A$1:$I$89,3,0)*VLOOKUP('Données projet'!$B$9,Paramètres!$A$1:$I$89,5,0)</f>
        <v>95.004000000000005</v>
      </c>
      <c r="P33" s="14">
        <f t="shared" si="33"/>
        <v>25.768242550600785</v>
      </c>
      <c r="Q33" s="22">
        <f t="shared" si="2"/>
        <v>210.34498910896306</v>
      </c>
      <c r="R33" s="62">
        <f t="shared" si="0"/>
        <v>503.67832244229635</v>
      </c>
      <c r="S33" s="62">
        <f ca="1">AVERAGE(OFFSET($R$3,0,0,'Données projet'!$E$9+1,1))-AVERAGE(OFFSET($H$3,0,0,'Données projet'!$E$9+1,1))</f>
        <v>303.73499739059076</v>
      </c>
      <c r="T33" s="62">
        <f t="shared" si="34"/>
        <v>172.32171001882188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29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147</v>
      </c>
      <c r="AG33" s="13">
        <f>VLOOKUP(A33,'Données projet'!$A$61:$I$81,9,0)</f>
        <v>12</v>
      </c>
      <c r="AH33" s="13">
        <f t="array" ref="AH33">INDEX(AG:AG,MIN(IF(ISNUMBER(AG33:AG229),ROW(AG33:AG229),"")))</f>
        <v>12</v>
      </c>
      <c r="AI33" s="14">
        <f>IF('Données projet'!$A$62&gt;35,AI32+AH33-AQ32,IF(A33&lt;'Données projet'!$A$62,$AF$205^A33,IF(A33='Données projet'!$A$62,'Données projet'!$B$62,AI32+AH33-AQ32)))</f>
        <v>146.99999999999997</v>
      </c>
      <c r="AJ33" s="14">
        <f>AI33*VLOOKUP('Données projet'!$B$10,Paramètres!$A$1:$I$89,3,0)*VLOOKUP('Données projet'!$B$10,Paramètres!$A$1:$I$89,5,0)</f>
        <v>107.78039999999999</v>
      </c>
      <c r="AK33" s="14">
        <f t="shared" si="35"/>
        <v>28.807410696030036</v>
      </c>
      <c r="AL33" s="22">
        <f t="shared" si="4"/>
        <v>237.89043696225227</v>
      </c>
      <c r="AM33" s="62">
        <f t="shared" si="5"/>
        <v>531.22377029558561</v>
      </c>
      <c r="AN33" s="62">
        <f ca="1">AVERAGE(OFFSET($AM$3,0,0,'Données projet'!$E$10+1,1))-AVERAGE(OFFSET($H$3,0,0,'Données projet'!$E$10+1,1))</f>
        <v>215.66498680344858</v>
      </c>
      <c r="AO33" s="62">
        <f t="shared" si="36"/>
        <v>199.86715787211114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211.1</v>
      </c>
      <c r="BB33" s="13">
        <f>VLOOKUP(A33,'Données projet'!$A$87:$I$107,9,0)</f>
        <v>15.950000000000003</v>
      </c>
      <c r="BC33" s="13">
        <f t="array" ref="BC33">INDEX(BB:BB,MIN(IF(ISNUMBER(BB33:BB229),ROW(BB33:BB229),"")))</f>
        <v>15.950000000000003</v>
      </c>
      <c r="BD33" s="13">
        <f>IF('Données projet'!$A$88&gt;35,BD32+BC33-BL32,IF(A33&lt;'Données projet'!$A$88,$BA$205^A33,IF(A33='Données projet'!$A$88,'Données projet'!$B$88,BD32+BC33-BL32)))</f>
        <v>211.09999999999997</v>
      </c>
      <c r="BE33" s="14">
        <f>BD33*VLOOKUP('Données projet'!$B$11,Paramètres!$A$1:$I$89,3,0)*VLOOKUP('Données projet'!$B$11,Paramètres!$A$1:$I$89,5,0)</f>
        <v>126.23779999999999</v>
      </c>
      <c r="BF33" s="14">
        <f t="shared" si="37"/>
        <v>33.12554513217659</v>
      </c>
      <c r="BG33" s="22">
        <f t="shared" si="7"/>
        <v>277.55782610520754</v>
      </c>
      <c r="BH33" s="62">
        <f t="shared" si="8"/>
        <v>570.89115943854085</v>
      </c>
      <c r="BI33" s="62">
        <f ca="1">AVERAGE(OFFSET($BH$3,0,0,'Données projet'!$E$11+1,1))-AVERAGE(OFFSET($H$3,0,0,'Données projet'!$E$11+1,1))</f>
        <v>155.11440101086782</v>
      </c>
      <c r="BJ33" s="62">
        <f t="shared" si="38"/>
        <v>239.53454701506638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13.496340715659322</v>
      </c>
      <c r="BQ33" s="23">
        <f>EXP(-LN(2)/25)*BQ32+(1-EXP(-LN(2)/25))/(LN(2)/25)*Calculateur!BL33*Calculateur!BN33*VLOOKUP('Données projet'!$B$11,Paramètres!$A$1:$I$89,3,0)*0.475*44/12</f>
        <v>7.242036585500248</v>
      </c>
      <c r="BR33" s="23">
        <f>EXP(-LN(2)/2)*BR32+(1-EXP(-LN(2)/2))/(LN(2)/2)*BL33*BO33*VLOOKUP('Données projet'!$B$11,Paramètres!$A$1:$I$89,3,0)*0.475*44/12</f>
        <v>2.9489430749271803</v>
      </c>
      <c r="BS33" s="24">
        <f t="shared" si="9"/>
        <v>23.687320376086749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211.1</v>
      </c>
      <c r="BW33" s="13">
        <f>VLOOKUP(A33,'Données projet'!$A$113:$I$133,9,0)</f>
        <v>15.950000000000003</v>
      </c>
      <c r="BX33" s="13">
        <f t="array" ref="BX33">INDEX(BW:BW,MIN(IF(ISNUMBER(BW33:BW229),ROW(BW33:BW229),"")))</f>
        <v>15.950000000000003</v>
      </c>
      <c r="BY33" s="13">
        <f>IF('Données projet'!$A$114&gt;35,BY32+BX33-CG32,IF(A33&lt;'Données projet'!$A$114,$BV$205^A33,IF(A33='Données projet'!$A$114,'Données projet'!$B$114,BY32+BX33-CG32)))</f>
        <v>211.09999999999997</v>
      </c>
      <c r="BZ33" s="14">
        <f>BY33*VLOOKUP('Données projet'!$B$12,Paramètres!$A$1:$I$89,3,0)*VLOOKUP('Données projet'!$B$12,Paramètres!$A$1:$I$89,5,0)</f>
        <v>126.23779999999999</v>
      </c>
      <c r="CA33" s="14">
        <f t="shared" si="39"/>
        <v>33.12554513217659</v>
      </c>
      <c r="CB33" s="22">
        <f t="shared" si="10"/>
        <v>277.55782610520754</v>
      </c>
      <c r="CC33" s="62">
        <f t="shared" si="11"/>
        <v>570.89115943854085</v>
      </c>
      <c r="CD33" s="62">
        <f ca="1">AVERAGE(OFFSET($CC$3,0,0,'Données projet'!$E$12+1,1))-AVERAGE(OFFSET($H$3,0,0,'Données projet'!$E$12+1,1))</f>
        <v>155.11440101086782</v>
      </c>
      <c r="CE33" s="62">
        <f t="shared" si="40"/>
        <v>239.53454701506638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13.496340715659322</v>
      </c>
      <c r="CL33" s="23">
        <f>EXP(-LN(2)/25)*CL32+(1-EXP(-LN(2)/25))/(LN(2)/25)*Calculateur!CG33*Calculateur!CI33*VLOOKUP('Données projet'!$B$12,Paramètres!$A$1:$I$89,3,0)*0.475*44/12</f>
        <v>7.242036585500248</v>
      </c>
      <c r="CM33" s="23">
        <f>EXP(-LN(2)/2)*CM32+(1-EXP(-LN(2)/2))/(LN(2)/2)*CG33*CJ33*VLOOKUP('Données projet'!$B$12,Paramètres!$A$1:$I$89,3,0)*0.475*44/12</f>
        <v>2.9489430749271803</v>
      </c>
      <c r="CN33" s="24">
        <f t="shared" si="12"/>
        <v>23.687320376086749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146</v>
      </c>
      <c r="CR33" s="13">
        <f>VLOOKUP(A33,'Données projet'!$A$139:$I$159,9,0)</f>
        <v>8.8000000000000007</v>
      </c>
      <c r="CS33" s="13">
        <f t="array" ref="CS33">INDEX(CR:CR,MIN(IF(ISNUMBER(CR33:CR229),ROW(CR33:CR229),"")))</f>
        <v>8.8000000000000007</v>
      </c>
      <c r="CT33" s="13">
        <f>IF('Données projet'!$A$140&gt;35,CT32+CS33-DB32,IF(A33&lt;'Données projet'!$A$140,$CQ$205^A33,IF(A33='Données projet'!$A$140,'Données projet'!$B$140,CT32+CS33-DB32)))</f>
        <v>146</v>
      </c>
      <c r="CU33" s="18">
        <f>CT33*VLOOKUP('Données projet'!$B$13,Paramètres!$A$1:$I$89,3,0)*VLOOKUP('Données projet'!$B$13,Paramètres!$A$1:$I$89,5,0)</f>
        <v>118.43520000000001</v>
      </c>
      <c r="CV33" s="14">
        <f t="shared" si="41"/>
        <v>31.309757056296963</v>
      </c>
      <c r="CW33" s="22">
        <f t="shared" si="13"/>
        <v>260.80580020638394</v>
      </c>
      <c r="CX33" s="62">
        <f t="shared" si="14"/>
        <v>554.13913353971725</v>
      </c>
      <c r="CY33" s="62">
        <f ca="1">AVERAGE(OFFSET($CX$3,0,0,'Données projet'!$E$13+1,1))-AVERAGE(OFFSET($H$3,0,0,'Données projet'!$E$13+1,1))</f>
        <v>191.03017979797141</v>
      </c>
      <c r="CZ33" s="62">
        <f t="shared" si="42"/>
        <v>222.78252111624278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116.66666666666666</v>
      </c>
      <c r="DM33" s="13">
        <f>VLOOKUP(A33,'Données projet'!$A$165:$I$185,9,0)</f>
        <v>6.5384615384615357</v>
      </c>
      <c r="DN33" s="13">
        <f t="array" ref="DN33">INDEX(DM:DM,MIN(IF(ISNUMBER(DM33:DM229),ROW(DM33:DM229),"")))</f>
        <v>6.5384615384615357</v>
      </c>
      <c r="DO33" s="13">
        <f>IF('Données projet'!$A$166&gt;35,DO32+DN33-DW32,IF(A33&lt;'Données projet'!$A$166,$DL$205^A33,IF(A33='Données projet'!$A$166,'Données projet'!$B$166,DO32+DN33-DW32)))</f>
        <v>116.66666666666666</v>
      </c>
      <c r="DP33" s="18">
        <f>DO33*VLOOKUP('Données projet'!$B$14,Paramètres!$A$1:$I$89,3,0)*VLOOKUP('Données projet'!$B$14,Paramètres!$A$1:$I$89,5,0)</f>
        <v>111.02</v>
      </c>
      <c r="DQ33" s="14">
        <f t="shared" si="43"/>
        <v>29.571175279490561</v>
      </c>
      <c r="DR33" s="22">
        <f t="shared" si="16"/>
        <v>244.86296361177938</v>
      </c>
      <c r="DS33" s="62">
        <f t="shared" si="17"/>
        <v>538.19629694511264</v>
      </c>
      <c r="DT33" s="62">
        <f ca="1">AVERAGE(OFFSET($DS$3,0,0,'Données projet'!$E$14+1,1))-AVERAGE(OFFSET($H$3,0,0,'Données projet'!$E$14+1,1))</f>
        <v>260.93525280373063</v>
      </c>
      <c r="DU33" s="62">
        <f t="shared" si="44"/>
        <v>206.83968452163816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25.641025641025639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54.787500000000009</v>
      </c>
      <c r="EH33" s="13">
        <f>VLOOKUP(A33,'Données projet'!$A$191:$I$211,9,0)</f>
        <v>1.9887500000000009</v>
      </c>
      <c r="EI33" s="13">
        <f t="array" ref="EI33">INDEX(EH:EH,MIN(IF(ISNUMBER(EH33:EH229),ROW(EH33:EH229),"")))</f>
        <v>1.9887500000000009</v>
      </c>
      <c r="EJ33" s="13">
        <f>IF('Données projet'!$A$192&gt;35,EJ32+EI33-ER32,IF(A33&lt;'Données projet'!$A$192,$EG$205^A33,IF(A33='Données projet'!$A$192,'Données projet'!$B$192,EJ32+EI33-ER32)))</f>
        <v>54.787500000000037</v>
      </c>
      <c r="EK33" s="18">
        <f>EJ33*VLOOKUP('Données projet'!$B$15,Paramètres!$A$1:$I$89,3,0)*VLOOKUP('Données projet'!$B$15,Paramètres!$A$1:$I$89,5,0)</f>
        <v>63.115200000000037</v>
      </c>
      <c r="EL33" s="14">
        <f t="shared" si="45"/>
        <v>17.953554085320896</v>
      </c>
      <c r="EM33" s="22">
        <f t="shared" si="19"/>
        <v>141.19474669860062</v>
      </c>
      <c r="EN33" s="62">
        <f t="shared" si="20"/>
        <v>434.52808003193394</v>
      </c>
      <c r="EO33" s="62">
        <f ca="1">AVERAGE(OFFSET($EN$3,0,0,'Données projet'!$E$15+1,1))-AVERAGE(OFFSET($H$3,0,0,'Données projet'!$E$15+1,1))</f>
        <v>118.01099353898547</v>
      </c>
      <c r="EP33" s="62">
        <f t="shared" si="46"/>
        <v>103.17146760845947</v>
      </c>
      <c r="EQ33" s="16">
        <f>IF(ISNA(VLOOKUP(A33,'Données projet'!$A$191:$I$211,3,0)),0,VLOOKUP(A33,'Données projet'!$A$191:$I$211,3,0))</f>
        <v>1</v>
      </c>
      <c r="ER33" s="16">
        <f>IF(ISNA(VLOOKUP(A33,'Données projet'!$A$191:$I$211,4,0)),0,VLOOKUP(A33,'Données projet'!$A$191:$I$211,4,0))</f>
        <v>11.375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105</v>
      </c>
      <c r="FC33" s="13">
        <f>VLOOKUP(A33,'Données projet'!$A$217:$I$237,9,0)</f>
        <v>7</v>
      </c>
      <c r="FD33" s="13">
        <f t="array" ref="FD33">INDEX(FC:FC,MIN(IF(ISNUMBER(FC33:FC229),ROW(FC33:FC229),"")))</f>
        <v>7</v>
      </c>
      <c r="FE33" s="13">
        <f>IF('Données projet'!$A$218&gt;35,FE32+FD33-FM32,IF(A33&lt;'Données projet'!$A$218,$FB$205^A33,IF(A33='Données projet'!$A$218,'Données projet'!$B$218,FE32+FD33-FM32)))</f>
        <v>105</v>
      </c>
      <c r="FF33" s="18">
        <f>FE33*VLOOKUP('Données projet'!$B$16,Paramètres!$A$1:$I$89,3,0)*VLOOKUP('Données projet'!$B$16,Paramètres!$A$1:$I$89,5,0)</f>
        <v>104.83200000000001</v>
      </c>
      <c r="FG33" s="14">
        <f t="shared" si="47"/>
        <v>28.109974371137717</v>
      </c>
      <c r="FH33" s="22">
        <f t="shared" si="22"/>
        <v>231.54060536306486</v>
      </c>
      <c r="FI33" s="62">
        <f t="shared" si="23"/>
        <v>524.87393869639823</v>
      </c>
      <c r="FJ33" s="62">
        <f ca="1">AVERAGE(OFFSET($FI$3,0,0,'Données projet'!$E$16+1,1))-AVERAGE(OFFSET($H$3,0,0,'Données projet'!$E$16+1,1))</f>
        <v>343.71044073996887</v>
      </c>
      <c r="FK33" s="62">
        <f t="shared" si="48"/>
        <v>193.51732627292375</v>
      </c>
      <c r="FL33" s="16">
        <f>IF(ISNA(VLOOKUP(A33,'Données projet'!$A$217:$I$237,3,0)),0,VLOOKUP(A33,'Données projet'!$A$217:$I$237,3,0))</f>
        <v>1</v>
      </c>
      <c r="FM33" s="16">
        <f>IF(ISNA(VLOOKUP(A33,'Données projet'!$A$217:$I$237,4,0)),0,VLOOKUP(A33,'Données projet'!$A$217:$I$237,4,0))</f>
        <v>29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76.003200000000007</v>
      </c>
      <c r="P34" s="14">
        <f t="shared" si="33"/>
        <v>21.157049992000456</v>
      </c>
      <c r="Q34" s="22">
        <f t="shared" si="2"/>
        <v>169.22076873606747</v>
      </c>
      <c r="R34" s="62">
        <f t="shared" si="0"/>
        <v>462.55410206940076</v>
      </c>
      <c r="S34" s="62">
        <f ca="1">AVERAGE(OFFSET($R$3,0,0,'Données projet'!$E$9+1,1))-AVERAGE(OFFSET($H$3,0,0,'Données projet'!$E$9+1,1))</f>
        <v>303.73499739059076</v>
      </c>
      <c r="T34" s="62">
        <f t="shared" si="34"/>
        <v>172.32171001882188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10.6</v>
      </c>
      <c r="AI34" s="14">
        <f>IF('Données projet'!$A$62&gt;35,AI33+AH34-AQ33,IF(A34&lt;'Données projet'!$A$62,$AF$205^A34,IF(A34='Données projet'!$A$62,'Données projet'!$B$62,AI33+AH34-AQ33)))</f>
        <v>157.59999999999997</v>
      </c>
      <c r="AJ34" s="14">
        <f>AI34*VLOOKUP('Données projet'!$B$10,Paramètres!$A$1:$I$89,3,0)*VLOOKUP('Données projet'!$B$10,Paramètres!$A$1:$I$89,5,0)</f>
        <v>115.55231999999997</v>
      </c>
      <c r="AK34" s="14">
        <f t="shared" si="35"/>
        <v>30.635381800029723</v>
      </c>
      <c r="AL34" s="22">
        <f t="shared" si="4"/>
        <v>254.61024730171837</v>
      </c>
      <c r="AM34" s="62">
        <f t="shared" si="5"/>
        <v>547.94358063505172</v>
      </c>
      <c r="AN34" s="62">
        <f ca="1">AVERAGE(OFFSET($AM$3,0,0,'Données projet'!$E$10+1,1))-AVERAGE(OFFSET($H$3,0,0,'Données projet'!$E$10+1,1))</f>
        <v>215.66498680344858</v>
      </c>
      <c r="AO34" s="62">
        <f t="shared" si="36"/>
        <v>199.86715787211114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16.150000000000006</v>
      </c>
      <c r="BD34" s="13">
        <f>IF('Données projet'!$A$88&gt;35,BD33+BC34-BL33,IF(A34&lt;'Données projet'!$A$88,$BA$205^A34,IF(A34='Données projet'!$A$88,'Données projet'!$B$88,BD33+BC34-BL33)))</f>
        <v>227.24999999999997</v>
      </c>
      <c r="BE34" s="14">
        <f>BD34*VLOOKUP('Données projet'!$B$11,Paramètres!$A$1:$I$89,3,0)*VLOOKUP('Données projet'!$B$11,Paramètres!$A$1:$I$89,5,0)</f>
        <v>135.8955</v>
      </c>
      <c r="BF34" s="14">
        <f t="shared" si="37"/>
        <v>35.355099996655149</v>
      </c>
      <c r="BG34" s="22">
        <f t="shared" si="7"/>
        <v>298.26146166084101</v>
      </c>
      <c r="BH34" s="62">
        <f t="shared" si="8"/>
        <v>591.59479499417432</v>
      </c>
      <c r="BI34" s="62">
        <f ca="1">AVERAGE(OFFSET($BH$3,0,0,'Données projet'!$E$11+1,1))-AVERAGE(OFFSET($H$3,0,0,'Données projet'!$E$11+1,1))</f>
        <v>155.11440101086782</v>
      </c>
      <c r="BJ34" s="62">
        <f t="shared" si="38"/>
        <v>239.53454701506638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13.231685706180242</v>
      </c>
      <c r="BQ34" s="23">
        <f>EXP(-LN(2)/25)*BQ33+(1-EXP(-LN(2)/25))/(LN(2)/25)*Calculateur!BL34*Calculateur!BN34*VLOOKUP('Données projet'!$B$11,Paramètres!$A$1:$I$89,3,0)*0.475*44/12</f>
        <v>7.0440027142275916</v>
      </c>
      <c r="BR34" s="23">
        <f>EXP(-LN(2)/2)*BR33+(1-EXP(-LN(2)/2))/(LN(2)/2)*BL34*BO34*VLOOKUP('Données projet'!$B$11,Paramètres!$A$1:$I$89,3,0)*0.475*44/12</f>
        <v>2.0852176456141183</v>
      </c>
      <c r="BS34" s="24">
        <f t="shared" si="9"/>
        <v>22.360906066021951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16.150000000000006</v>
      </c>
      <c r="BY34" s="13">
        <f>IF('Données projet'!$A$114&gt;35,BY33+BX34-CG33,IF(A34&lt;'Données projet'!$A$114,$BV$205^A34,IF(A34='Données projet'!$A$114,'Données projet'!$B$114,BY33+BX34-CG33)))</f>
        <v>227.24999999999997</v>
      </c>
      <c r="BZ34" s="14">
        <f>BY34*VLOOKUP('Données projet'!$B$12,Paramètres!$A$1:$I$89,3,0)*VLOOKUP('Données projet'!$B$12,Paramètres!$A$1:$I$89,5,0)</f>
        <v>135.8955</v>
      </c>
      <c r="CA34" s="14">
        <f t="shared" si="39"/>
        <v>35.355099996655149</v>
      </c>
      <c r="CB34" s="22">
        <f t="shared" si="10"/>
        <v>298.26146166084101</v>
      </c>
      <c r="CC34" s="62">
        <f t="shared" si="11"/>
        <v>591.59479499417432</v>
      </c>
      <c r="CD34" s="62">
        <f ca="1">AVERAGE(OFFSET($CC$3,0,0,'Données projet'!$E$12+1,1))-AVERAGE(OFFSET($H$3,0,0,'Données projet'!$E$12+1,1))</f>
        <v>155.11440101086782</v>
      </c>
      <c r="CE34" s="62">
        <f t="shared" si="40"/>
        <v>239.53454701506638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13.231685706180242</v>
      </c>
      <c r="CL34" s="23">
        <f>EXP(-LN(2)/25)*CL33+(1-EXP(-LN(2)/25))/(LN(2)/25)*Calculateur!CG34*Calculateur!CI34*VLOOKUP('Données projet'!$B$12,Paramètres!$A$1:$I$89,3,0)*0.475*44/12</f>
        <v>7.0440027142275916</v>
      </c>
      <c r="CM34" s="23">
        <f>EXP(-LN(2)/2)*CM33+(1-EXP(-LN(2)/2))/(LN(2)/2)*CG34*CJ34*VLOOKUP('Données projet'!$B$12,Paramètres!$A$1:$I$89,3,0)*0.475*44/12</f>
        <v>2.0852176456141183</v>
      </c>
      <c r="CN34" s="24">
        <f t="shared" si="12"/>
        <v>22.360906066021951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8.8000000000000007</v>
      </c>
      <c r="CT34" s="13">
        <f>IF('Données projet'!$A$140&gt;35,CT33+CS34-DB33,IF(A34&lt;'Données projet'!$A$140,$CQ$205^A34,IF(A34='Données projet'!$A$140,'Données projet'!$B$140,CT33+CS34-DB33)))</f>
        <v>154.80000000000001</v>
      </c>
      <c r="CU34" s="18">
        <f>CT34*VLOOKUP('Données projet'!$B$13,Paramètres!$A$1:$I$89,3,0)*VLOOKUP('Données projet'!$B$13,Paramètres!$A$1:$I$89,5,0)</f>
        <v>125.57376000000002</v>
      </c>
      <c r="CV34" s="14">
        <f t="shared" si="41"/>
        <v>32.97153235129214</v>
      </c>
      <c r="CW34" s="22">
        <f t="shared" si="13"/>
        <v>276.13305084516719</v>
      </c>
      <c r="CX34" s="62">
        <f t="shared" si="14"/>
        <v>569.46638417850045</v>
      </c>
      <c r="CY34" s="62">
        <f ca="1">AVERAGE(OFFSET($CX$3,0,0,'Données projet'!$E$13+1,1))-AVERAGE(OFFSET($H$3,0,0,'Données projet'!$E$13+1,1))</f>
        <v>191.03017979797141</v>
      </c>
      <c r="CZ34" s="62">
        <f t="shared" si="42"/>
        <v>222.78252111624278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6.4102564102564088</v>
      </c>
      <c r="DO34" s="13">
        <f>IF('Données projet'!$A$166&gt;35,DO33+DN34-DW33,IF(A34&lt;'Données projet'!$A$166,$DL$205^A34,IF(A34='Données projet'!$A$166,'Données projet'!$B$166,DO33+DN34-DW33)))</f>
        <v>97.435897435897431</v>
      </c>
      <c r="DP34" s="18">
        <f>DO34*VLOOKUP('Données projet'!$B$14,Paramètres!$A$1:$I$89,3,0)*VLOOKUP('Données projet'!$B$14,Paramètres!$A$1:$I$89,5,0)</f>
        <v>92.72</v>
      </c>
      <c r="DQ34" s="14">
        <f t="shared" si="43"/>
        <v>25.22008241222111</v>
      </c>
      <c r="DR34" s="22">
        <f t="shared" si="16"/>
        <v>205.41231020128509</v>
      </c>
      <c r="DS34" s="62">
        <f t="shared" si="17"/>
        <v>498.74564353461841</v>
      </c>
      <c r="DT34" s="62">
        <f ca="1">AVERAGE(OFFSET($DS$3,0,0,'Données projet'!$E$14+1,1))-AVERAGE(OFFSET($H$3,0,0,'Données projet'!$E$14+1,1))</f>
        <v>260.93525280373063</v>
      </c>
      <c r="DU34" s="62">
        <f t="shared" si="44"/>
        <v>206.83968452163816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1.9254166666666663</v>
      </c>
      <c r="EJ34" s="13">
        <f>IF('Données projet'!$A$192&gt;35,EJ33+EI34-ER33,IF(A34&lt;'Données projet'!$A$192,$EG$205^A34,IF(A34='Données projet'!$A$192,'Données projet'!$B$192,EJ33+EI34-ER33)))</f>
        <v>45.3379166666667</v>
      </c>
      <c r="EK34" s="18">
        <f>EJ34*VLOOKUP('Données projet'!$B$15,Paramètres!$A$1:$I$89,3,0)*VLOOKUP('Données projet'!$B$15,Paramètres!$A$1:$I$89,5,0)</f>
        <v>52.229280000000031</v>
      </c>
      <c r="EL34" s="14">
        <f t="shared" si="45"/>
        <v>15.188011234079523</v>
      </c>
      <c r="EM34" s="22">
        <f t="shared" si="19"/>
        <v>117.41844889935521</v>
      </c>
      <c r="EN34" s="62">
        <f t="shared" si="20"/>
        <v>410.75178223268853</v>
      </c>
      <c r="EO34" s="62">
        <f ca="1">AVERAGE(OFFSET($EN$3,0,0,'Données projet'!$E$15+1,1))-AVERAGE(OFFSET($H$3,0,0,'Données projet'!$E$15+1,1))</f>
        <v>118.01099353898547</v>
      </c>
      <c r="EP34" s="62">
        <f t="shared" si="46"/>
        <v>103.17146760845947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8</v>
      </c>
      <c r="FE34" s="13">
        <f>IF('Données projet'!$A$218&gt;35,FE33+FD34-FM33,IF(A34&lt;'Données projet'!$A$218,$FB$205^A34,IF(A34='Données projet'!$A$218,'Données projet'!$B$218,FE33+FD34-FM33)))</f>
        <v>84</v>
      </c>
      <c r="FF34" s="18">
        <f>FE34*VLOOKUP('Données projet'!$B$16,Paramètres!$A$1:$I$89,3,0)*VLOOKUP('Données projet'!$B$16,Paramètres!$A$1:$I$89,5,0)</f>
        <v>83.865600000000001</v>
      </c>
      <c r="FG34" s="14">
        <f t="shared" si="47"/>
        <v>23.079732033574274</v>
      </c>
      <c r="FH34" s="22">
        <f t="shared" si="22"/>
        <v>186.26311995847519</v>
      </c>
      <c r="FI34" s="62">
        <f t="shared" si="23"/>
        <v>479.59645329180853</v>
      </c>
      <c r="FJ34" s="62">
        <f ca="1">AVERAGE(OFFSET($FI$3,0,0,'Données projet'!$E$16+1,1))-AVERAGE(OFFSET($H$3,0,0,'Données projet'!$E$16+1,1))</f>
        <v>343.71044073996887</v>
      </c>
      <c r="FK34" s="62">
        <f t="shared" si="48"/>
        <v>193.51732627292375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83.241600000000005</v>
      </c>
      <c r="P35" s="14">
        <f t="shared" si="33"/>
        <v>22.927930643846508</v>
      </c>
      <c r="Q35" s="22">
        <f t="shared" ref="Q35:Q66" si="53">(O35+P35)*0.475*44/12</f>
        <v>184.91193253803269</v>
      </c>
      <c r="R35" s="62">
        <f t="shared" si="0"/>
        <v>478.24526587136597</v>
      </c>
      <c r="S35" s="62">
        <f ca="1">AVERAGE(OFFSET($R$3,0,0,'Données projet'!$E$9+1,1))-AVERAGE(OFFSET($H$3,0,0,'Données projet'!$E$9+1,1))</f>
        <v>303.73499739059076</v>
      </c>
      <c r="T35" s="62">
        <f t="shared" si="34"/>
        <v>172.32171001882188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10.6</v>
      </c>
      <c r="AI35" s="14">
        <f>IF('Données projet'!$A$62&gt;35,AI34+AH35-AQ34,IF(A35&lt;'Données projet'!$A$62,$AF$205^A35,IF(A35='Données projet'!$A$62,'Données projet'!$B$62,AI34+AH35-AQ34)))</f>
        <v>168.19999999999996</v>
      </c>
      <c r="AJ35" s="14">
        <f>AI35*VLOOKUP('Données projet'!$B$10,Paramètres!$A$1:$I$89,3,0)*VLOOKUP('Données projet'!$B$10,Paramètres!$A$1:$I$89,5,0)</f>
        <v>123.32423999999996</v>
      </c>
      <c r="AK35" s="14">
        <f t="shared" si="35"/>
        <v>32.449086362790929</v>
      </c>
      <c r="AL35" s="22">
        <f t="shared" si="4"/>
        <v>271.30521008186082</v>
      </c>
      <c r="AM35" s="62">
        <f t="shared" si="5"/>
        <v>564.63854341519414</v>
      </c>
      <c r="AN35" s="62">
        <f ca="1">AVERAGE(OFFSET($AM$3,0,0,'Données projet'!$E$10+1,1))-AVERAGE(OFFSET($H$3,0,0,'Données projet'!$E$10+1,1))</f>
        <v>215.66498680344858</v>
      </c>
      <c r="AO35" s="62">
        <f t="shared" si="36"/>
        <v>199.86715787211114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>
        <f>VLOOKUP(A35,'Données projet'!$A$87:$I$107,2,0)</f>
        <v>243.4</v>
      </c>
      <c r="BB35" s="13">
        <f>VLOOKUP(A35,'Données projet'!$A$87:$I$107,9,0)</f>
        <v>16.150000000000006</v>
      </c>
      <c r="BC35" s="13">
        <f t="array" ref="BC35">INDEX(BB:BB,MIN(IF(ISNUMBER(BB35:BB231),ROW(BB35:BB231),"")))</f>
        <v>16.150000000000006</v>
      </c>
      <c r="BD35" s="13">
        <f>IF('Données projet'!$A$88&gt;35,BD34+BC35-BL34,IF(A35&lt;'Données projet'!$A$88,$BA$205^A35,IF(A35='Données projet'!$A$88,'Données projet'!$B$88,BD34+BC35-BL34)))</f>
        <v>243.39999999999998</v>
      </c>
      <c r="BE35" s="14">
        <f>BD35*VLOOKUP('Données projet'!$B$11,Paramètres!$A$1:$I$89,3,0)*VLOOKUP('Données projet'!$B$11,Paramètres!$A$1:$I$89,5,0)</f>
        <v>145.5532</v>
      </c>
      <c r="BF35" s="14">
        <f t="shared" si="37"/>
        <v>37.566271258601809</v>
      </c>
      <c r="BG35" s="22">
        <f t="shared" si="7"/>
        <v>318.93307910873148</v>
      </c>
      <c r="BH35" s="62">
        <f t="shared" si="8"/>
        <v>612.26641244206485</v>
      </c>
      <c r="BI35" s="62">
        <f ca="1">AVERAGE(OFFSET($BH$3,0,0,'Données projet'!$E$11+1,1))-AVERAGE(OFFSET($H$3,0,0,'Données projet'!$E$11+1,1))</f>
        <v>155.11440101086782</v>
      </c>
      <c r="BJ35" s="62">
        <f t="shared" si="38"/>
        <v>239.53454701506638</v>
      </c>
      <c r="BK35" s="16">
        <f>IF(ISNA(VLOOKUP(A35,'Données projet'!$A$87:$I$107,3,0)),0,VLOOKUP(A35,'Données projet'!$A$87:$I$107,3,0))</f>
        <v>4</v>
      </c>
      <c r="BL35" s="16">
        <f>IF(ISNA(VLOOKUP(A35,'Données projet'!$A$87:$I$107,4,0)),0,VLOOKUP(A35,'Données projet'!$A$87:$I$107,4,0))</f>
        <v>62.7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12.972220420013429</v>
      </c>
      <c r="BQ35" s="23">
        <f>EXP(-LN(2)/25)*BQ34+(1-EXP(-LN(2)/25))/(LN(2)/25)*Calculateur!BL35*Calculateur!BN35*VLOOKUP('Données projet'!$B$11,Paramètres!$A$1:$I$89,3,0)*0.475*44/12</f>
        <v>6.8513840895790343</v>
      </c>
      <c r="BR35" s="23">
        <f>EXP(-LN(2)/2)*BR34+(1-EXP(-LN(2)/2))/(LN(2)/2)*BL35*BO35*VLOOKUP('Données projet'!$B$11,Paramètres!$A$1:$I$89,3,0)*0.475*44/12</f>
        <v>1.4744715374635902</v>
      </c>
      <c r="BS35" s="24">
        <f t="shared" si="9"/>
        <v>21.298076047056053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>
        <f>VLOOKUP(A35,'Données projet'!$A$113:$I$133,2,0)</f>
        <v>243.4</v>
      </c>
      <c r="BW35" s="13">
        <f>VLOOKUP(A35,'Données projet'!$A$113:$I$133,9,0)</f>
        <v>16.150000000000006</v>
      </c>
      <c r="BX35" s="13">
        <f t="array" ref="BX35">INDEX(BW:BW,MIN(IF(ISNUMBER(BW35:BW231),ROW(BW35:BW231),"")))</f>
        <v>16.150000000000006</v>
      </c>
      <c r="BY35" s="13">
        <f>IF('Données projet'!$A$114&gt;35,BY34+BX35-CG34,IF(A35&lt;'Données projet'!$A$114,$BV$205^A35,IF(A35='Données projet'!$A$114,'Données projet'!$B$114,BY34+BX35-CG34)))</f>
        <v>243.39999999999998</v>
      </c>
      <c r="BZ35" s="14">
        <f>BY35*VLOOKUP('Données projet'!$B$12,Paramètres!$A$1:$I$89,3,0)*VLOOKUP('Données projet'!$B$12,Paramètres!$A$1:$I$89,5,0)</f>
        <v>145.5532</v>
      </c>
      <c r="CA35" s="14">
        <f t="shared" si="39"/>
        <v>37.566271258601809</v>
      </c>
      <c r="CB35" s="22">
        <f t="shared" si="10"/>
        <v>318.93307910873148</v>
      </c>
      <c r="CC35" s="62">
        <f t="shared" si="11"/>
        <v>612.26641244206485</v>
      </c>
      <c r="CD35" s="62">
        <f ca="1">AVERAGE(OFFSET($CC$3,0,0,'Données projet'!$E$12+1,1))-AVERAGE(OFFSET($H$3,0,0,'Données projet'!$E$12+1,1))</f>
        <v>155.11440101086782</v>
      </c>
      <c r="CE35" s="62">
        <f t="shared" si="40"/>
        <v>239.53454701506638</v>
      </c>
      <c r="CF35" s="16">
        <f>IF(ISNA(VLOOKUP(A35,'Données projet'!$A$113:$I$133,3,0)),0,VLOOKUP(A35,'Données projet'!$A$113:$I$133,3,0))</f>
        <v>4</v>
      </c>
      <c r="CG35" s="16">
        <f>IF(ISNA(VLOOKUP(A35,'Données projet'!$A$113:$I$133,4,0)),0,VLOOKUP(A35,'Données projet'!$A$113:$I$133,4,0))</f>
        <v>62.7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12.972220420013429</v>
      </c>
      <c r="CL35" s="23">
        <f>EXP(-LN(2)/25)*CL34+(1-EXP(-LN(2)/25))/(LN(2)/25)*Calculateur!CG35*Calculateur!CI35*VLOOKUP('Données projet'!$B$12,Paramètres!$A$1:$I$89,3,0)*0.475*44/12</f>
        <v>6.8513840895790343</v>
      </c>
      <c r="CM35" s="23">
        <f>EXP(-LN(2)/2)*CM34+(1-EXP(-LN(2)/2))/(LN(2)/2)*CG35*CJ35*VLOOKUP('Données projet'!$B$12,Paramètres!$A$1:$I$89,3,0)*0.475*44/12</f>
        <v>1.4744715374635902</v>
      </c>
      <c r="CN35" s="24">
        <f t="shared" si="12"/>
        <v>21.298076047056053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8.8000000000000007</v>
      </c>
      <c r="CT35" s="13">
        <f>IF('Données projet'!$A$140&gt;35,CT34+CS35-DB34,IF(A35&lt;'Données projet'!$A$140,$CQ$205^A35,IF(A35='Données projet'!$A$140,'Données projet'!$B$140,CT34+CS35-DB34)))</f>
        <v>163.60000000000002</v>
      </c>
      <c r="CU35" s="18">
        <f>CT35*VLOOKUP('Données projet'!$B$13,Paramètres!$A$1:$I$89,3,0)*VLOOKUP('Données projet'!$B$13,Paramètres!$A$1:$I$89,5,0)</f>
        <v>132.71232000000003</v>
      </c>
      <c r="CV35" s="14">
        <f t="shared" si="41"/>
        <v>34.622341655285041</v>
      </c>
      <c r="CW35" s="22">
        <f t="shared" si="13"/>
        <v>291.44120238295483</v>
      </c>
      <c r="CX35" s="62">
        <f t="shared" si="14"/>
        <v>584.77453571628814</v>
      </c>
      <c r="CY35" s="62">
        <f ca="1">AVERAGE(OFFSET($CX$3,0,0,'Données projet'!$E$13+1,1))-AVERAGE(OFFSET($H$3,0,0,'Données projet'!$E$13+1,1))</f>
        <v>191.03017979797141</v>
      </c>
      <c r="CZ35" s="62">
        <f t="shared" si="42"/>
        <v>222.78252111624278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6.4102564102564088</v>
      </c>
      <c r="DO35" s="13">
        <f>IF('Données projet'!$A$166&gt;35,DO34+DN35-DW34,IF(A35&lt;'Données projet'!$A$166,$DL$205^A35,IF(A35='Données projet'!$A$166,'Données projet'!$B$166,DO34+DN35-DW34)))</f>
        <v>103.84615384615384</v>
      </c>
      <c r="DP35" s="18">
        <f>DO35*VLOOKUP('Données projet'!$B$14,Paramètres!$A$1:$I$89,3,0)*VLOOKUP('Données projet'!$B$14,Paramètres!$A$1:$I$89,5,0)</f>
        <v>98.82</v>
      </c>
      <c r="DQ35" s="14">
        <f t="shared" si="43"/>
        <v>26.680684905958366</v>
      </c>
      <c r="DR35" s="22">
        <f t="shared" si="16"/>
        <v>218.58035954454417</v>
      </c>
      <c r="DS35" s="62">
        <f t="shared" si="17"/>
        <v>511.91369287787745</v>
      </c>
      <c r="DT35" s="62">
        <f ca="1">AVERAGE(OFFSET($DS$3,0,0,'Données projet'!$E$14+1,1))-AVERAGE(OFFSET($H$3,0,0,'Données projet'!$E$14+1,1))</f>
        <v>260.93525280373063</v>
      </c>
      <c r="DU35" s="62">
        <f t="shared" si="44"/>
        <v>206.83968452163816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1.9254166666666663</v>
      </c>
      <c r="EJ35" s="13">
        <f>IF('Données projet'!$A$192&gt;35,EJ34+EI35-ER34,IF(A35&lt;'Données projet'!$A$192,$EG$205^A35,IF(A35='Données projet'!$A$192,'Données projet'!$B$192,EJ34+EI35-ER34)))</f>
        <v>47.263333333333364</v>
      </c>
      <c r="EK35" s="18">
        <f>EJ35*VLOOKUP('Données projet'!$B$15,Paramètres!$A$1:$I$89,3,0)*VLOOKUP('Données projet'!$B$15,Paramètres!$A$1:$I$89,5,0)</f>
        <v>54.447360000000032</v>
      </c>
      <c r="EL35" s="14">
        <f t="shared" si="45"/>
        <v>15.756552073943871</v>
      </c>
      <c r="EM35" s="22">
        <f t="shared" si="19"/>
        <v>122.27181352878561</v>
      </c>
      <c r="EN35" s="62">
        <f t="shared" si="20"/>
        <v>415.60514686211894</v>
      </c>
      <c r="EO35" s="62">
        <f ca="1">AVERAGE(OFFSET($EN$3,0,0,'Données projet'!$E$15+1,1))-AVERAGE(OFFSET($H$3,0,0,'Données projet'!$E$15+1,1))</f>
        <v>118.01099353898547</v>
      </c>
      <c r="EP35" s="62">
        <f t="shared" si="46"/>
        <v>103.17146760845947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8</v>
      </c>
      <c r="FE35" s="13">
        <f>IF('Données projet'!$A$218&gt;35,FE34+FD35-FM34,IF(A35&lt;'Données projet'!$A$218,$FB$205^A35,IF(A35='Données projet'!$A$218,'Données projet'!$B$218,FE34+FD35-FM34)))</f>
        <v>92</v>
      </c>
      <c r="FF35" s="18">
        <f>FE35*VLOOKUP('Données projet'!$B$16,Paramètres!$A$1:$I$89,3,0)*VLOOKUP('Données projet'!$B$16,Paramètres!$A$1:$I$89,5,0)</f>
        <v>91.852800000000002</v>
      </c>
      <c r="FG35" s="14">
        <f t="shared" si="47"/>
        <v>25.011544404557082</v>
      </c>
      <c r="FH35" s="22">
        <f t="shared" si="22"/>
        <v>203.53873317127025</v>
      </c>
      <c r="FI35" s="62">
        <f t="shared" si="23"/>
        <v>496.87206650460359</v>
      </c>
      <c r="FJ35" s="62">
        <f ca="1">AVERAGE(OFFSET($FI$3,0,0,'Données projet'!$E$16+1,1))-AVERAGE(OFFSET($H$3,0,0,'Données projet'!$E$16+1,1))</f>
        <v>343.71044073996887</v>
      </c>
      <c r="FK35" s="62">
        <f t="shared" si="48"/>
        <v>193.51732627292375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90.47999999999999</v>
      </c>
      <c r="P36" s="14">
        <f t="shared" si="33"/>
        <v>24.680953573367994</v>
      </c>
      <c r="Q36" s="22">
        <f t="shared" si="53"/>
        <v>200.57199414028256</v>
      </c>
      <c r="R36" s="62">
        <f t="shared" si="0"/>
        <v>493.9053274736159</v>
      </c>
      <c r="S36" s="62">
        <f ca="1">AVERAGE(OFFSET($R$3,0,0,'Données projet'!$E$9+1,1))-AVERAGE(OFFSET($H$3,0,0,'Données projet'!$E$9+1,1))</f>
        <v>303.73499739059076</v>
      </c>
      <c r="T36" s="62">
        <f t="shared" si="34"/>
        <v>172.32171001882188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10.6</v>
      </c>
      <c r="AI36" s="14">
        <f>IF('Données projet'!$A$62&gt;35,AI35+AH36-AQ35,IF(A36&lt;'Données projet'!$A$62,$AF$205^A36,IF(A36='Données projet'!$A$62,'Données projet'!$B$62,AI35+AH36-AQ35)))</f>
        <v>178.79999999999995</v>
      </c>
      <c r="AJ36" s="14">
        <f>AI36*VLOOKUP('Données projet'!$B$10,Paramètres!$A$1:$I$89,3,0)*VLOOKUP('Données projet'!$B$10,Paramètres!$A$1:$I$89,5,0)</f>
        <v>131.09615999999997</v>
      </c>
      <c r="AK36" s="14">
        <f t="shared" si="35"/>
        <v>34.249525812267358</v>
      </c>
      <c r="AL36" s="22">
        <f t="shared" si="4"/>
        <v>287.9770694563656</v>
      </c>
      <c r="AM36" s="62">
        <f t="shared" si="5"/>
        <v>581.31040278969886</v>
      </c>
      <c r="AN36" s="62">
        <f ca="1">AVERAGE(OFFSET($AM$3,0,0,'Données projet'!$E$10+1,1))-AVERAGE(OFFSET($H$3,0,0,'Données projet'!$E$10+1,1))</f>
        <v>215.66498680344858</v>
      </c>
      <c r="AO36" s="62">
        <f t="shared" si="36"/>
        <v>199.86715787211114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12.800000000000011</v>
      </c>
      <c r="BD36" s="13">
        <f>IF('Données projet'!$A$88&gt;35,BD35+BC36-BL35,IF(A36&lt;'Données projet'!$A$88,$BA$205^A36,IF(A36='Données projet'!$A$88,'Données projet'!$B$88,BD35+BC36-BL35)))</f>
        <v>193.5</v>
      </c>
      <c r="BE36" s="14">
        <f>BD36*VLOOKUP('Données projet'!$B$11,Paramètres!$A$1:$I$89,3,0)*VLOOKUP('Données projet'!$B$11,Paramètres!$A$1:$I$89,5,0)</f>
        <v>115.71300000000001</v>
      </c>
      <c r="BF36" s="14">
        <f t="shared" si="37"/>
        <v>30.673019842466044</v>
      </c>
      <c r="BG36" s="22">
        <f t="shared" si="7"/>
        <v>254.95565122562834</v>
      </c>
      <c r="BH36" s="62">
        <f t="shared" si="8"/>
        <v>548.2889845589616</v>
      </c>
      <c r="BI36" s="62">
        <f ca="1">AVERAGE(OFFSET($BH$3,0,0,'Données projet'!$E$11+1,1))-AVERAGE(OFFSET($H$3,0,0,'Données projet'!$E$11+1,1))</f>
        <v>155.11440101086782</v>
      </c>
      <c r="BJ36" s="62">
        <f t="shared" si="38"/>
        <v>239.53454701506638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12.717843089850149</v>
      </c>
      <c r="BQ36" s="23">
        <f>EXP(-LN(2)/25)*BQ35+(1-EXP(-LN(2)/25))/(LN(2)/25)*Calculateur!BL36*Calculateur!BN36*VLOOKUP('Données projet'!$B$11,Paramètres!$A$1:$I$89,3,0)*0.475*44/12</f>
        <v>6.6640326313508655</v>
      </c>
      <c r="BR36" s="23">
        <f>EXP(-LN(2)/2)*BR35+(1-EXP(-LN(2)/2))/(LN(2)/2)*BL36*BO36*VLOOKUP('Données projet'!$B$11,Paramètres!$A$1:$I$89,3,0)*0.475*44/12</f>
        <v>1.0426088228070591</v>
      </c>
      <c r="BS36" s="24">
        <f t="shared" si="9"/>
        <v>20.42448454400807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12.800000000000011</v>
      </c>
      <c r="BY36" s="13">
        <f>IF('Données projet'!$A$114&gt;35,BY35+BX36-CG35,IF(A36&lt;'Données projet'!$A$114,$BV$205^A36,IF(A36='Données projet'!$A$114,'Données projet'!$B$114,BY35+BX36-CG35)))</f>
        <v>193.5</v>
      </c>
      <c r="BZ36" s="14">
        <f>BY36*VLOOKUP('Données projet'!$B$12,Paramètres!$A$1:$I$89,3,0)*VLOOKUP('Données projet'!$B$12,Paramètres!$A$1:$I$89,5,0)</f>
        <v>115.71300000000001</v>
      </c>
      <c r="CA36" s="14">
        <f t="shared" si="39"/>
        <v>30.673019842466044</v>
      </c>
      <c r="CB36" s="22">
        <f t="shared" si="10"/>
        <v>254.95565122562834</v>
      </c>
      <c r="CC36" s="62">
        <f t="shared" si="11"/>
        <v>548.2889845589616</v>
      </c>
      <c r="CD36" s="62">
        <f ca="1">AVERAGE(OFFSET($CC$3,0,0,'Données projet'!$E$12+1,1))-AVERAGE(OFFSET($H$3,0,0,'Données projet'!$E$12+1,1))</f>
        <v>155.11440101086782</v>
      </c>
      <c r="CE36" s="62">
        <f t="shared" si="40"/>
        <v>239.53454701506638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12.717843089850149</v>
      </c>
      <c r="CL36" s="23">
        <f>EXP(-LN(2)/25)*CL35+(1-EXP(-LN(2)/25))/(LN(2)/25)*Calculateur!CG36*Calculateur!CI36*VLOOKUP('Données projet'!$B$12,Paramètres!$A$1:$I$89,3,0)*0.475*44/12</f>
        <v>6.6640326313508655</v>
      </c>
      <c r="CM36" s="23">
        <f>EXP(-LN(2)/2)*CM35+(1-EXP(-LN(2)/2))/(LN(2)/2)*CG36*CJ36*VLOOKUP('Données projet'!$B$12,Paramètres!$A$1:$I$89,3,0)*0.475*44/12</f>
        <v>1.0426088228070591</v>
      </c>
      <c r="CN36" s="24">
        <f t="shared" si="12"/>
        <v>20.42448454400807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8.8000000000000007</v>
      </c>
      <c r="CT36" s="13">
        <f>IF('Données projet'!$A$140&gt;35,CT35+CS36-DB35,IF(A36&lt;'Données projet'!$A$140,$CQ$205^A36,IF(A36='Données projet'!$A$140,'Données projet'!$B$140,CT35+CS36-DB35)))</f>
        <v>172.40000000000003</v>
      </c>
      <c r="CU36" s="18">
        <f>CT36*VLOOKUP('Données projet'!$B$13,Paramètres!$A$1:$I$89,3,0)*VLOOKUP('Données projet'!$B$13,Paramètres!$A$1:$I$89,5,0)</f>
        <v>139.85088000000005</v>
      </c>
      <c r="CV36" s="14">
        <f t="shared" si="41"/>
        <v>36.262842078476233</v>
      </c>
      <c r="CW36" s="22">
        <f t="shared" si="13"/>
        <v>306.7313992866795</v>
      </c>
      <c r="CX36" s="62">
        <f t="shared" si="14"/>
        <v>600.06473262001282</v>
      </c>
      <c r="CY36" s="62">
        <f ca="1">AVERAGE(OFFSET($CX$3,0,0,'Données projet'!$E$13+1,1))-AVERAGE(OFFSET($H$3,0,0,'Données projet'!$E$13+1,1))</f>
        <v>191.03017979797141</v>
      </c>
      <c r="CZ36" s="62">
        <f t="shared" si="42"/>
        <v>222.78252111624278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6.4102564102564088</v>
      </c>
      <c r="DO36" s="13">
        <f>IF('Données projet'!$A$166&gt;35,DO35+DN36-DW35,IF(A36&lt;'Données projet'!$A$166,$DL$205^A36,IF(A36='Données projet'!$A$166,'Données projet'!$B$166,DO35+DN36-DW35)))</f>
        <v>110.25641025641025</v>
      </c>
      <c r="DP36" s="18">
        <f>DO36*VLOOKUP('Données projet'!$B$14,Paramètres!$A$1:$I$89,3,0)*VLOOKUP('Données projet'!$B$14,Paramètres!$A$1:$I$89,5,0)</f>
        <v>104.91999999999999</v>
      </c>
      <c r="DQ36" s="14">
        <f t="shared" si="43"/>
        <v>28.130823299932707</v>
      </c>
      <c r="DR36" s="22">
        <f t="shared" si="16"/>
        <v>231.73018391404943</v>
      </c>
      <c r="DS36" s="62">
        <f t="shared" si="17"/>
        <v>525.06351724738272</v>
      </c>
      <c r="DT36" s="62">
        <f ca="1">AVERAGE(OFFSET($DS$3,0,0,'Données projet'!$E$14+1,1))-AVERAGE(OFFSET($H$3,0,0,'Données projet'!$E$14+1,1))</f>
        <v>260.93525280373063</v>
      </c>
      <c r="DU36" s="62">
        <f t="shared" si="44"/>
        <v>206.83968452163816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1.9254166666666663</v>
      </c>
      <c r="EJ36" s="13">
        <f>IF('Données projet'!$A$192&gt;35,EJ35+EI36-ER35,IF(A36&lt;'Données projet'!$A$192,$EG$205^A36,IF(A36='Données projet'!$A$192,'Données projet'!$B$192,EJ35+EI36-ER35)))</f>
        <v>49.188750000000027</v>
      </c>
      <c r="EK36" s="18">
        <f>EJ36*VLOOKUP('Données projet'!$B$15,Paramètres!$A$1:$I$89,3,0)*VLOOKUP('Données projet'!$B$15,Paramètres!$A$1:$I$89,5,0)</f>
        <v>56.665440000000025</v>
      </c>
      <c r="EL36" s="14">
        <f t="shared" si="45"/>
        <v>16.322402540008241</v>
      </c>
      <c r="EM36" s="22">
        <f t="shared" si="19"/>
        <v>127.12049242384775</v>
      </c>
      <c r="EN36" s="62">
        <f t="shared" si="20"/>
        <v>420.45382575718105</v>
      </c>
      <c r="EO36" s="62">
        <f ca="1">AVERAGE(OFFSET($EN$3,0,0,'Données projet'!$E$15+1,1))-AVERAGE(OFFSET($H$3,0,0,'Données projet'!$E$15+1,1))</f>
        <v>118.01099353898547</v>
      </c>
      <c r="EP36" s="62">
        <f t="shared" si="46"/>
        <v>103.17146760845947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8</v>
      </c>
      <c r="FE36" s="13">
        <f>IF('Données projet'!$A$218&gt;35,FE35+FD36-FM35,IF(A36&lt;'Données projet'!$A$218,$FB$205^A36,IF(A36='Données projet'!$A$218,'Données projet'!$B$218,FE35+FD36-FM35)))</f>
        <v>100</v>
      </c>
      <c r="FF36" s="18">
        <f>FE36*VLOOKUP('Données projet'!$B$16,Paramètres!$A$1:$I$89,3,0)*VLOOKUP('Données projet'!$B$16,Paramètres!$A$1:$I$89,5,0)</f>
        <v>99.84</v>
      </c>
      <c r="FG36" s="14">
        <f t="shared" si="47"/>
        <v>26.923876203052867</v>
      </c>
      <c r="FH36" s="22">
        <f t="shared" si="22"/>
        <v>220.7804177203171</v>
      </c>
      <c r="FI36" s="62">
        <f t="shared" si="23"/>
        <v>514.11375105365039</v>
      </c>
      <c r="FJ36" s="62">
        <f ca="1">AVERAGE(OFFSET($FI$3,0,0,'Données projet'!$E$16+1,1))-AVERAGE(OFFSET($H$3,0,0,'Données projet'!$E$16+1,1))</f>
        <v>343.71044073996887</v>
      </c>
      <c r="FK36" s="62">
        <f t="shared" si="48"/>
        <v>193.51732627292375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97.718399999999988</v>
      </c>
      <c r="P37" s="14">
        <f t="shared" si="33"/>
        <v>26.417709819192194</v>
      </c>
      <c r="Q37" s="22">
        <f t="shared" si="53"/>
        <v>216.20372460175972</v>
      </c>
      <c r="R37" s="62">
        <f t="shared" si="0"/>
        <v>509.537057935093</v>
      </c>
      <c r="S37" s="62">
        <f ca="1">AVERAGE(OFFSET($R$3,0,0,'Données projet'!$E$9+1,1))-AVERAGE(OFFSET($H$3,0,0,'Données projet'!$E$9+1,1))</f>
        <v>303.73499739059076</v>
      </c>
      <c r="T37" s="62">
        <f t="shared" si="34"/>
        <v>172.32171001882188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10.6</v>
      </c>
      <c r="AI37" s="14">
        <f>IF('Données projet'!$A$62&gt;35,AI36+AH37-AQ36,IF(A37&lt;'Données projet'!$A$62,$AF$205^A37,IF(A37='Données projet'!$A$62,'Données projet'!$B$62,AI36+AH37-AQ36)))</f>
        <v>189.39999999999995</v>
      </c>
      <c r="AJ37" s="14">
        <f>AI37*VLOOKUP('Données projet'!$B$10,Paramètres!$A$1:$I$89,3,0)*VLOOKUP('Données projet'!$B$10,Paramètres!$A$1:$I$89,5,0)</f>
        <v>138.86807999999996</v>
      </c>
      <c r="AK37" s="14">
        <f t="shared" si="35"/>
        <v>36.037576130973861</v>
      </c>
      <c r="AL37" s="22">
        <f t="shared" si="4"/>
        <v>304.62735109477939</v>
      </c>
      <c r="AM37" s="62">
        <f t="shared" si="5"/>
        <v>597.9606844281127</v>
      </c>
      <c r="AN37" s="62">
        <f ca="1">AVERAGE(OFFSET($AM$3,0,0,'Données projet'!$E$10+1,1))-AVERAGE(OFFSET($H$3,0,0,'Données projet'!$E$10+1,1))</f>
        <v>215.66498680344858</v>
      </c>
      <c r="AO37" s="62">
        <f t="shared" si="36"/>
        <v>199.86715787211114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>
        <f>VLOOKUP(A37,'Données projet'!$A$87:$I$107,2,0)</f>
        <v>206.3</v>
      </c>
      <c r="BB37" s="13">
        <f>VLOOKUP(A37,'Données projet'!$A$87:$I$107,9,0)</f>
        <v>12.800000000000011</v>
      </c>
      <c r="BC37" s="13">
        <f t="array" ref="BC37">INDEX(BB:BB,MIN(IF(ISNUMBER(BB37:BB233),ROW(BB37:BB233),"")))</f>
        <v>12.800000000000011</v>
      </c>
      <c r="BD37" s="13">
        <f>IF('Données projet'!$A$88&gt;35,BD36+BC37-BL36,IF(A37&lt;'Données projet'!$A$88,$BA$205^A37,IF(A37='Données projet'!$A$88,'Données projet'!$B$88,BD36+BC37-BL36)))</f>
        <v>206.3</v>
      </c>
      <c r="BE37" s="14">
        <f>BD37*VLOOKUP('Données projet'!$B$11,Paramètres!$A$1:$I$89,3,0)*VLOOKUP('Données projet'!$B$11,Paramètres!$A$1:$I$89,5,0)</f>
        <v>123.36740000000002</v>
      </c>
      <c r="BF37" s="14">
        <f t="shared" si="37"/>
        <v>32.459120552876648</v>
      </c>
      <c r="BG37" s="22">
        <f t="shared" si="7"/>
        <v>271.39785662959355</v>
      </c>
      <c r="BH37" s="62">
        <f t="shared" si="8"/>
        <v>564.73118996292692</v>
      </c>
      <c r="BI37" s="62">
        <f ca="1">AVERAGE(OFFSET($BH$3,0,0,'Données projet'!$E$11+1,1))-AVERAGE(OFFSET($H$3,0,0,'Données projet'!$E$11+1,1))</f>
        <v>155.11440101086782</v>
      </c>
      <c r="BJ37" s="62">
        <f t="shared" si="38"/>
        <v>239.53454701506638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12.46845394397652</v>
      </c>
      <c r="BQ37" s="23">
        <f>EXP(-LN(2)/25)*BQ36+(1-EXP(-LN(2)/25))/(LN(2)/25)*Calculateur!BL37*Calculateur!BN37*VLOOKUP('Données projet'!$B$11,Paramètres!$A$1:$I$89,3,0)*0.475*44/12</f>
        <v>6.4818043086003305</v>
      </c>
      <c r="BR37" s="23">
        <f>EXP(-LN(2)/2)*BR36+(1-EXP(-LN(2)/2))/(LN(2)/2)*BL37*BO37*VLOOKUP('Données projet'!$B$11,Paramètres!$A$1:$I$89,3,0)*0.475*44/12</f>
        <v>0.73723576873179508</v>
      </c>
      <c r="BS37" s="24">
        <f t="shared" si="9"/>
        <v>19.687494021308648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>
        <f>VLOOKUP(A37,'Données projet'!$A$113:$I$133,2,0)</f>
        <v>206.3</v>
      </c>
      <c r="BW37" s="13">
        <f>VLOOKUP(A37,'Données projet'!$A$113:$I$133,9,0)</f>
        <v>12.800000000000011</v>
      </c>
      <c r="BX37" s="13">
        <f t="array" ref="BX37">INDEX(BW:BW,MIN(IF(ISNUMBER(BW37:BW233),ROW(BW37:BW233),"")))</f>
        <v>12.800000000000011</v>
      </c>
      <c r="BY37" s="13">
        <f>IF('Données projet'!$A$114&gt;35,BY36+BX37-CG36,IF(A37&lt;'Données projet'!$A$114,$BV$205^A37,IF(A37='Données projet'!$A$114,'Données projet'!$B$114,BY36+BX37-CG36)))</f>
        <v>206.3</v>
      </c>
      <c r="BZ37" s="14">
        <f>BY37*VLOOKUP('Données projet'!$B$12,Paramètres!$A$1:$I$89,3,0)*VLOOKUP('Données projet'!$B$12,Paramètres!$A$1:$I$89,5,0)</f>
        <v>123.36740000000002</v>
      </c>
      <c r="CA37" s="14">
        <f t="shared" si="39"/>
        <v>32.459120552876648</v>
      </c>
      <c r="CB37" s="22">
        <f t="shared" si="10"/>
        <v>271.39785662959355</v>
      </c>
      <c r="CC37" s="62">
        <f t="shared" si="11"/>
        <v>564.73118996292692</v>
      </c>
      <c r="CD37" s="62">
        <f ca="1">AVERAGE(OFFSET($CC$3,0,0,'Données projet'!$E$12+1,1))-AVERAGE(OFFSET($H$3,0,0,'Données projet'!$E$12+1,1))</f>
        <v>155.11440101086782</v>
      </c>
      <c r="CE37" s="62">
        <f t="shared" si="40"/>
        <v>239.53454701506638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12.46845394397652</v>
      </c>
      <c r="CL37" s="23">
        <f>EXP(-LN(2)/25)*CL36+(1-EXP(-LN(2)/25))/(LN(2)/25)*Calculateur!CG37*Calculateur!CI37*VLOOKUP('Données projet'!$B$12,Paramètres!$A$1:$I$89,3,0)*0.475*44/12</f>
        <v>6.4818043086003305</v>
      </c>
      <c r="CM37" s="23">
        <f>EXP(-LN(2)/2)*CM36+(1-EXP(-LN(2)/2))/(LN(2)/2)*CG37*CJ37*VLOOKUP('Données projet'!$B$12,Paramètres!$A$1:$I$89,3,0)*0.475*44/12</f>
        <v>0.73723576873179508</v>
      </c>
      <c r="CN37" s="24">
        <f t="shared" si="12"/>
        <v>19.687494021308648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8.8000000000000007</v>
      </c>
      <c r="CT37" s="13">
        <f>IF('Données projet'!$A$140&gt;35,CT36+CS37-DB36,IF(A37&lt;'Données projet'!$A$140,$CQ$205^A37,IF(A37='Données projet'!$A$140,'Données projet'!$B$140,CT36+CS37-DB36)))</f>
        <v>181.20000000000005</v>
      </c>
      <c r="CU37" s="18">
        <f>CT37*VLOOKUP('Données projet'!$B$13,Paramètres!$A$1:$I$89,3,0)*VLOOKUP('Données projet'!$B$13,Paramètres!$A$1:$I$89,5,0)</f>
        <v>146.98944000000006</v>
      </c>
      <c r="CV37" s="14">
        <f t="shared" si="41"/>
        <v>37.893619858723746</v>
      </c>
      <c r="CW37" s="22">
        <f t="shared" si="13"/>
        <v>322.00466258727732</v>
      </c>
      <c r="CX37" s="62">
        <f t="shared" si="14"/>
        <v>615.33799592061064</v>
      </c>
      <c r="CY37" s="62">
        <f ca="1">AVERAGE(OFFSET($CX$3,0,0,'Données projet'!$E$13+1,1))-AVERAGE(OFFSET($H$3,0,0,'Données projet'!$E$13+1,1))</f>
        <v>191.03017979797141</v>
      </c>
      <c r="CZ37" s="62">
        <f t="shared" si="42"/>
        <v>222.78252111624278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6.4102564102564088</v>
      </c>
      <c r="DO37" s="13">
        <f>IF('Données projet'!$A$166&gt;35,DO36+DN37-DW36,IF(A37&lt;'Données projet'!$A$166,$DL$205^A37,IF(A37='Données projet'!$A$166,'Données projet'!$B$166,DO36+DN37-DW36)))</f>
        <v>116.66666666666666</v>
      </c>
      <c r="DP37" s="18">
        <f>DO37*VLOOKUP('Données projet'!$B$14,Paramètres!$A$1:$I$89,3,0)*VLOOKUP('Données projet'!$B$14,Paramètres!$A$1:$I$89,5,0)</f>
        <v>111.02</v>
      </c>
      <c r="DQ37" s="14">
        <f t="shared" si="43"/>
        <v>29.571175279490561</v>
      </c>
      <c r="DR37" s="22">
        <f t="shared" si="16"/>
        <v>244.86296361177938</v>
      </c>
      <c r="DS37" s="62">
        <f t="shared" si="17"/>
        <v>538.19629694511264</v>
      </c>
      <c r="DT37" s="62">
        <f ca="1">AVERAGE(OFFSET($DS$3,0,0,'Données projet'!$E$14+1,1))-AVERAGE(OFFSET($H$3,0,0,'Données projet'!$E$14+1,1))</f>
        <v>260.93525280373063</v>
      </c>
      <c r="DU37" s="62">
        <f t="shared" si="44"/>
        <v>206.83968452163816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1.9254166666666663</v>
      </c>
      <c r="EJ37" s="13">
        <f>IF('Données projet'!$A$192&gt;35,EJ36+EI37-ER36,IF(A37&lt;'Données projet'!$A$192,$EG$205^A37,IF(A37='Données projet'!$A$192,'Données projet'!$B$192,EJ36+EI37-ER36)))</f>
        <v>51.114166666666691</v>
      </c>
      <c r="EK37" s="18">
        <f>EJ37*VLOOKUP('Données projet'!$B$15,Paramètres!$A$1:$I$89,3,0)*VLOOKUP('Données projet'!$B$15,Paramètres!$A$1:$I$89,5,0)</f>
        <v>58.883520000000026</v>
      </c>
      <c r="EL37" s="14">
        <f t="shared" si="45"/>
        <v>16.885679994502389</v>
      </c>
      <c r="EM37" s="22">
        <f t="shared" si="19"/>
        <v>131.96468999042506</v>
      </c>
      <c r="EN37" s="62">
        <f t="shared" si="20"/>
        <v>425.29802332375834</v>
      </c>
      <c r="EO37" s="62">
        <f ca="1">AVERAGE(OFFSET($EN$3,0,0,'Données projet'!$E$15+1,1))-AVERAGE(OFFSET($H$3,0,0,'Données projet'!$E$15+1,1))</f>
        <v>118.01099353898547</v>
      </c>
      <c r="EP37" s="62">
        <f t="shared" si="46"/>
        <v>103.17146760845947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8</v>
      </c>
      <c r="FE37" s="13">
        <f>IF('Données projet'!$A$218&gt;35,FE36+FD37-FM36,IF(A37&lt;'Données projet'!$A$218,$FB$205^A37,IF(A37='Données projet'!$A$218,'Données projet'!$B$218,FE36+FD37-FM36)))</f>
        <v>108</v>
      </c>
      <c r="FF37" s="18">
        <f>FE37*VLOOKUP('Données projet'!$B$16,Paramètres!$A$1:$I$89,3,0)*VLOOKUP('Données projet'!$B$16,Paramètres!$A$1:$I$89,5,0)</f>
        <v>107.8272</v>
      </c>
      <c r="FG37" s="14">
        <f t="shared" si="47"/>
        <v>28.818463055965484</v>
      </c>
      <c r="FH37" s="22">
        <f t="shared" si="22"/>
        <v>237.99119648913987</v>
      </c>
      <c r="FI37" s="62">
        <f t="shared" si="23"/>
        <v>531.32452982247321</v>
      </c>
      <c r="FJ37" s="62">
        <f ca="1">AVERAGE(OFFSET($FI$3,0,0,'Données projet'!$E$16+1,1))-AVERAGE(OFFSET($H$3,0,0,'Données projet'!$E$16+1,1))</f>
        <v>343.71044073996887</v>
      </c>
      <c r="FK37" s="62">
        <f t="shared" si="48"/>
        <v>193.51732627292375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104.9568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525.14279449916307</v>
      </c>
      <c r="S38" s="62">
        <f ca="1">AVERAGE(OFFSET($R$3,0,0,'Données projet'!$E$9+1,1))-AVERAGE(OFFSET($H$3,0,0,'Données projet'!$E$9+1,1))</f>
        <v>303.73499739059076</v>
      </c>
      <c r="T38" s="62">
        <f t="shared" si="34"/>
        <v>172.32171001882188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200</v>
      </c>
      <c r="AG38" s="13">
        <f>VLOOKUP(A38,'Données projet'!$A$61:$I$81,9,0)</f>
        <v>10.6</v>
      </c>
      <c r="AH38" s="13">
        <f t="array" ref="AH38">INDEX(AG:AG,MIN(IF(ISNUMBER(AG38:AG234),ROW(AG38:AG234),"")))</f>
        <v>10.6</v>
      </c>
      <c r="AI38" s="14">
        <f>IF('Données projet'!$A$62&gt;35,AI37+AH38-AQ37,IF(A38&lt;'Données projet'!$A$62,$AF$205^A38,IF(A38='Données projet'!$A$62,'Données projet'!$B$62,AI37+AH38-AQ37)))</f>
        <v>199.99999999999994</v>
      </c>
      <c r="AJ38" s="14">
        <f>AI38*VLOOKUP('Données projet'!$B$10,Paramètres!$A$1:$I$89,3,0)*VLOOKUP('Données projet'!$B$10,Paramètres!$A$1:$I$89,5,0)</f>
        <v>146.63999999999996</v>
      </c>
      <c r="AK38" s="14">
        <f t="shared" si="35"/>
        <v>37.814009712703026</v>
      </c>
      <c r="AL38" s="22">
        <f t="shared" si="4"/>
        <v>321.25740024962437</v>
      </c>
      <c r="AM38" s="62">
        <f t="shared" si="5"/>
        <v>614.59073358295768</v>
      </c>
      <c r="AN38" s="62">
        <f ca="1">AVERAGE(OFFSET($AM$3,0,0,'Données projet'!$E$10+1,1))-AVERAGE(OFFSET($H$3,0,0,'Données projet'!$E$10+1,1))</f>
        <v>215.66498680344858</v>
      </c>
      <c r="AO38" s="62">
        <f t="shared" si="36"/>
        <v>199.86715787211114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56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12.949999999999989</v>
      </c>
      <c r="BD38" s="13">
        <f>IF('Données projet'!$A$88&gt;35,BD37+BC38-BL37,IF(A38&lt;'Données projet'!$A$88,$BA$205^A38,IF(A38='Données projet'!$A$88,'Données projet'!$B$88,BD37+BC38-BL37)))</f>
        <v>219.25</v>
      </c>
      <c r="BE38" s="14">
        <f>BD38*VLOOKUP('Données projet'!$B$11,Paramètres!$A$1:$I$89,3,0)*VLOOKUP('Données projet'!$B$11,Paramètres!$A$1:$I$89,5,0)</f>
        <v>131.11150000000001</v>
      </c>
      <c r="BF38" s="14">
        <f t="shared" si="37"/>
        <v>34.253066949042768</v>
      </c>
      <c r="BG38" s="22">
        <f t="shared" si="7"/>
        <v>288.00995410291614</v>
      </c>
      <c r="BH38" s="62">
        <f t="shared" si="8"/>
        <v>581.34328743624951</v>
      </c>
      <c r="BI38" s="62">
        <f ca="1">AVERAGE(OFFSET($BH$3,0,0,'Données projet'!$E$11+1,1))-AVERAGE(OFFSET($H$3,0,0,'Données projet'!$E$11+1,1))</f>
        <v>155.11440101086782</v>
      </c>
      <c r="BJ38" s="62">
        <f t="shared" si="38"/>
        <v>239.53454701506638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12.223955167141115</v>
      </c>
      <c r="BQ38" s="23">
        <f>EXP(-LN(2)/25)*BQ37+(1-EXP(-LN(2)/25))/(LN(2)/25)*Calculateur!BL38*Calculateur!BN38*VLOOKUP('Données projet'!$B$11,Paramètres!$A$1:$I$89,3,0)*0.475*44/12</f>
        <v>6.3045590289183799</v>
      </c>
      <c r="BR38" s="23">
        <f>EXP(-LN(2)/2)*BR37+(1-EXP(-LN(2)/2))/(LN(2)/2)*BL38*BO38*VLOOKUP('Données projet'!$B$11,Paramètres!$A$1:$I$89,3,0)*0.475*44/12</f>
        <v>0.52130441140352957</v>
      </c>
      <c r="BS38" s="24">
        <f t="shared" si="9"/>
        <v>19.049818607463028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12.949999999999989</v>
      </c>
      <c r="BY38" s="13">
        <f>IF('Données projet'!$A$114&gt;35,BY37+BX38-CG37,IF(A38&lt;'Données projet'!$A$114,$BV$205^A38,IF(A38='Données projet'!$A$114,'Données projet'!$B$114,BY37+BX38-CG37)))</f>
        <v>219.25</v>
      </c>
      <c r="BZ38" s="14">
        <f>BY38*VLOOKUP('Données projet'!$B$12,Paramètres!$A$1:$I$89,3,0)*VLOOKUP('Données projet'!$B$12,Paramètres!$A$1:$I$89,5,0)</f>
        <v>131.11150000000001</v>
      </c>
      <c r="CA38" s="14">
        <f t="shared" si="39"/>
        <v>34.253066949042768</v>
      </c>
      <c r="CB38" s="22">
        <f t="shared" si="10"/>
        <v>288.00995410291614</v>
      </c>
      <c r="CC38" s="62">
        <f t="shared" si="11"/>
        <v>581.34328743624951</v>
      </c>
      <c r="CD38" s="62">
        <f ca="1">AVERAGE(OFFSET($CC$3,0,0,'Données projet'!$E$12+1,1))-AVERAGE(OFFSET($H$3,0,0,'Données projet'!$E$12+1,1))</f>
        <v>155.11440101086782</v>
      </c>
      <c r="CE38" s="62">
        <f t="shared" si="40"/>
        <v>239.53454701506638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12.223955167141115</v>
      </c>
      <c r="CL38" s="23">
        <f>EXP(-LN(2)/25)*CL37+(1-EXP(-LN(2)/25))/(LN(2)/25)*Calculateur!CG38*Calculateur!CI38*VLOOKUP('Données projet'!$B$12,Paramètres!$A$1:$I$89,3,0)*0.475*44/12</f>
        <v>6.3045590289183799</v>
      </c>
      <c r="CM38" s="23">
        <f>EXP(-LN(2)/2)*CM37+(1-EXP(-LN(2)/2))/(LN(2)/2)*CG38*CJ38*VLOOKUP('Données projet'!$B$12,Paramètres!$A$1:$I$89,3,0)*0.475*44/12</f>
        <v>0.52130441140352957</v>
      </c>
      <c r="CN38" s="24">
        <f t="shared" si="12"/>
        <v>19.049818607463028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190</v>
      </c>
      <c r="CR38" s="13">
        <f>VLOOKUP(A38,'Données projet'!$A$139:$I$159,9,0)</f>
        <v>8.8000000000000007</v>
      </c>
      <c r="CS38" s="13">
        <f t="array" ref="CS38">INDEX(CR:CR,MIN(IF(ISNUMBER(CR38:CR234),ROW(CR38:CR234),"")))</f>
        <v>8.8000000000000007</v>
      </c>
      <c r="CT38" s="13">
        <f>IF('Données projet'!$A$140&gt;35,CT37+CS38-DB37,IF(A38&lt;'Données projet'!$A$140,$CQ$205^A38,IF(A38='Données projet'!$A$140,'Données projet'!$B$140,CT37+CS38-DB37)))</f>
        <v>190.00000000000006</v>
      </c>
      <c r="CU38" s="18">
        <f>CT38*VLOOKUP('Données projet'!$B$13,Paramètres!$A$1:$I$89,3,0)*VLOOKUP('Données projet'!$B$13,Paramètres!$A$1:$I$89,5,0)</f>
        <v>154.12800000000007</v>
      </c>
      <c r="CV38" s="14">
        <f t="shared" si="41"/>
        <v>39.51520107536119</v>
      </c>
      <c r="CW38" s="22">
        <f t="shared" si="13"/>
        <v>337.26190853958752</v>
      </c>
      <c r="CX38" s="62">
        <f t="shared" si="14"/>
        <v>630.59524187292084</v>
      </c>
      <c r="CY38" s="62">
        <f ca="1">AVERAGE(OFFSET($CX$3,0,0,'Données projet'!$E$13+1,1))-AVERAGE(OFFSET($H$3,0,0,'Données projet'!$E$13+1,1))</f>
        <v>191.03017979797141</v>
      </c>
      <c r="CZ38" s="62">
        <f t="shared" si="42"/>
        <v>222.78252111624278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76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123.07692307692307</v>
      </c>
      <c r="DM38" s="13">
        <f>VLOOKUP(A38,'Données projet'!$A$165:$I$185,9,0)</f>
        <v>6.4102564102564088</v>
      </c>
      <c r="DN38" s="13">
        <f t="array" ref="DN38">INDEX(DM:DM,MIN(IF(ISNUMBER(DM38:DM234),ROW(DM38:DM234),"")))</f>
        <v>6.4102564102564088</v>
      </c>
      <c r="DO38" s="13">
        <f>IF('Données projet'!$A$166&gt;35,DO37+DN38-DW37,IF(A38&lt;'Données projet'!$A$166,$DL$205^A38,IF(A38='Données projet'!$A$166,'Données projet'!$B$166,DO37+DN38-DW37)))</f>
        <v>123.07692307692307</v>
      </c>
      <c r="DP38" s="18">
        <f>DO38*VLOOKUP('Données projet'!$B$14,Paramètres!$A$1:$I$89,3,0)*VLOOKUP('Données projet'!$B$14,Paramètres!$A$1:$I$89,5,0)</f>
        <v>117.11999999999999</v>
      </c>
      <c r="DQ38" s="14">
        <f t="shared" si="43"/>
        <v>31.002339853075508</v>
      </c>
      <c r="DR38" s="22">
        <f t="shared" si="16"/>
        <v>257.97974191077316</v>
      </c>
      <c r="DS38" s="62">
        <f t="shared" si="17"/>
        <v>551.31307524410647</v>
      </c>
      <c r="DT38" s="62">
        <f ca="1">AVERAGE(OFFSET($DS$3,0,0,'Données projet'!$E$14+1,1))-AVERAGE(OFFSET($H$3,0,0,'Données projet'!$E$14+1,1))</f>
        <v>260.93525280373063</v>
      </c>
      <c r="DU38" s="62">
        <f t="shared" si="44"/>
        <v>206.83968452163816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1.9254166666666663</v>
      </c>
      <c r="EJ38" s="13">
        <f>IF('Données projet'!$A$192&gt;35,EJ37+EI38-ER37,IF(A38&lt;'Données projet'!$A$192,$EG$205^A38,IF(A38='Données projet'!$A$192,'Données projet'!$B$192,EJ37+EI38-ER37)))</f>
        <v>53.039583333333354</v>
      </c>
      <c r="EK38" s="18">
        <f>EJ38*VLOOKUP('Données projet'!$B$15,Paramètres!$A$1:$I$89,3,0)*VLOOKUP('Données projet'!$B$15,Paramètres!$A$1:$I$89,5,0)</f>
        <v>61.101600000000019</v>
      </c>
      <c r="EL38" s="14">
        <f t="shared" si="45"/>
        <v>17.446492456972504</v>
      </c>
      <c r="EM38" s="22">
        <f t="shared" si="19"/>
        <v>136.80459436256049</v>
      </c>
      <c r="EN38" s="62">
        <f t="shared" si="20"/>
        <v>430.13792769589384</v>
      </c>
      <c r="EO38" s="62">
        <f ca="1">AVERAGE(OFFSET($EN$3,0,0,'Données projet'!$E$15+1,1))-AVERAGE(OFFSET($H$3,0,0,'Données projet'!$E$15+1,1))</f>
        <v>118.01099353898547</v>
      </c>
      <c r="EP38" s="62">
        <f t="shared" si="46"/>
        <v>103.17146760845947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116</v>
      </c>
      <c r="FC38" s="13">
        <f>VLOOKUP(A38,'Données projet'!$A$217:$I$237,9,0)</f>
        <v>8</v>
      </c>
      <c r="FD38" s="13">
        <f t="array" ref="FD38">INDEX(FC:FC,MIN(IF(ISNUMBER(FC38:FC234),ROW(FC38:FC234),"")))</f>
        <v>8</v>
      </c>
      <c r="FE38" s="13">
        <f>IF('Données projet'!$A$218&gt;35,FE37+FD38-FM37,IF(A38&lt;'Données projet'!$A$218,$FB$205^A38,IF(A38='Données projet'!$A$218,'Données projet'!$B$218,FE37+FD38-FM37)))</f>
        <v>116</v>
      </c>
      <c r="FF38" s="18">
        <f>FE38*VLOOKUP('Données projet'!$B$16,Paramètres!$A$1:$I$89,3,0)*VLOOKUP('Données projet'!$B$16,Paramètres!$A$1:$I$89,5,0)</f>
        <v>115.81439999999999</v>
      </c>
      <c r="FG38" s="14">
        <f t="shared" si="47"/>
        <v>30.696768873861398</v>
      </c>
      <c r="FH38" s="22">
        <f t="shared" si="22"/>
        <v>255.17361912197524</v>
      </c>
      <c r="FI38" s="62">
        <f t="shared" si="23"/>
        <v>548.50695245530858</v>
      </c>
      <c r="FJ38" s="62">
        <f ca="1">AVERAGE(OFFSET($FI$3,0,0,'Données projet'!$E$16+1,1))-AVERAGE(OFFSET($H$3,0,0,'Données projet'!$E$16+1,1))</f>
        <v>343.71044073996887</v>
      </c>
      <c r="FK38" s="62">
        <f t="shared" si="48"/>
        <v>193.51732627292375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124.4</v>
      </c>
      <c r="O39" s="14">
        <f>N39*VLOOKUP('Données projet'!$B$9,Paramètres!$A$1:$I$89,3,0)*VLOOKUP('Données projet'!$B$9,Paramètres!$A$1:$I$89,5,0)</f>
        <v>112.55712000000001</v>
      </c>
      <c r="P39" s="14">
        <f t="shared" si="33"/>
        <v>29.932653834140599</v>
      </c>
      <c r="Q39" s="22">
        <f t="shared" si="53"/>
        <v>248.16968942779488</v>
      </c>
      <c r="R39" s="62">
        <f t="shared" si="0"/>
        <v>541.50302276112825</v>
      </c>
      <c r="S39" s="62">
        <f ca="1">AVERAGE(OFFSET($R$3,0,0,'Données projet'!$E$9+1,1))-AVERAGE(OFFSET($H$3,0,0,'Données projet'!$E$9+1,1))</f>
        <v>303.73499739059076</v>
      </c>
      <c r="T39" s="62">
        <f t="shared" si="34"/>
        <v>172.32171001882188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9.6</v>
      </c>
      <c r="AI39" s="14">
        <f>IF('Données projet'!$A$62&gt;35,AI38+AH39-AQ38,IF(A39&lt;'Données projet'!$A$62,$AF$205^A39,IF(A39='Données projet'!$A$62,'Données projet'!$B$62,AI38+AH39-AQ38)))</f>
        <v>153.59999999999994</v>
      </c>
      <c r="AJ39" s="14">
        <f>AI39*VLOOKUP('Données projet'!$B$10,Paramètres!$A$1:$I$89,3,0)*VLOOKUP('Données projet'!$B$10,Paramètres!$A$1:$I$89,5,0)</f>
        <v>112.61951999999995</v>
      </c>
      <c r="AK39" s="14">
        <f t="shared" si="35"/>
        <v>29.947316013837597</v>
      </c>
      <c r="AL39" s="22">
        <f t="shared" si="4"/>
        <v>248.30390605743375</v>
      </c>
      <c r="AM39" s="62">
        <f t="shared" si="5"/>
        <v>541.63723939076704</v>
      </c>
      <c r="AN39" s="62">
        <f ca="1">AVERAGE(OFFSET($AM$3,0,0,'Données projet'!$E$10+1,1))-AVERAGE(OFFSET($H$3,0,0,'Données projet'!$E$10+1,1))</f>
        <v>215.66498680344858</v>
      </c>
      <c r="AO39" s="62">
        <f t="shared" si="36"/>
        <v>199.86715787211114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>
        <f>VLOOKUP(A39,'Données projet'!$A$87:$I$107,2,0)</f>
        <v>232.2</v>
      </c>
      <c r="BB39" s="13">
        <f>VLOOKUP(A39,'Données projet'!$A$87:$I$107,9,0)</f>
        <v>12.949999999999989</v>
      </c>
      <c r="BC39" s="13">
        <f t="array" ref="BC39">INDEX(BB:BB,MIN(IF(ISNUMBER(BB39:BB235),ROW(BB39:BB235),"")))</f>
        <v>12.949999999999989</v>
      </c>
      <c r="BD39" s="13">
        <f>IF('Données projet'!$A$88&gt;35,BD38+BC39-BL38,IF(A39&lt;'Données projet'!$A$88,$BA$205^A39,IF(A39='Données projet'!$A$88,'Données projet'!$B$88,BD38+BC39-BL38)))</f>
        <v>232.2</v>
      </c>
      <c r="BE39" s="14">
        <f>BD39*VLOOKUP('Données projet'!$B$11,Paramètres!$A$1:$I$89,3,0)*VLOOKUP('Données projet'!$B$11,Paramètres!$A$1:$I$89,5,0)</f>
        <v>138.85560000000001</v>
      </c>
      <c r="BF39" s="14">
        <f t="shared" si="37"/>
        <v>36.034714420414154</v>
      </c>
      <c r="BG39" s="22">
        <f t="shared" si="7"/>
        <v>304.60063094888801</v>
      </c>
      <c r="BH39" s="62">
        <f t="shared" si="8"/>
        <v>597.93396428222127</v>
      </c>
      <c r="BI39" s="62">
        <f ca="1">AVERAGE(OFFSET($BH$3,0,0,'Données projet'!$E$11+1,1))-AVERAGE(OFFSET($H$3,0,0,'Données projet'!$E$11+1,1))</f>
        <v>155.11440101086782</v>
      </c>
      <c r="BJ39" s="62">
        <f t="shared" si="38"/>
        <v>239.53454701506638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11.984250862189924</v>
      </c>
      <c r="BQ39" s="23">
        <f>EXP(-LN(2)/25)*BQ38+(1-EXP(-LN(2)/25))/(LN(2)/25)*Calculateur!BL39*Calculateur!BN39*VLOOKUP('Données projet'!$B$11,Paramètres!$A$1:$I$89,3,0)*0.475*44/12</f>
        <v>6.1321605307302569</v>
      </c>
      <c r="BR39" s="23">
        <f>EXP(-LN(2)/2)*BR38+(1-EXP(-LN(2)/2))/(LN(2)/2)*BL39*BO39*VLOOKUP('Données projet'!$B$11,Paramètres!$A$1:$I$89,3,0)*0.475*44/12</f>
        <v>0.36861788436589754</v>
      </c>
      <c r="BS39" s="24">
        <f t="shared" si="9"/>
        <v>18.485029277286078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>
        <f>VLOOKUP(A39,'Données projet'!$A$113:$I$133,2,0)</f>
        <v>232.2</v>
      </c>
      <c r="BW39" s="13">
        <f>VLOOKUP(A39,'Données projet'!$A$113:$I$133,9,0)</f>
        <v>12.949999999999989</v>
      </c>
      <c r="BX39" s="13">
        <f t="array" ref="BX39">INDEX(BW:BW,MIN(IF(ISNUMBER(BW39:BW235),ROW(BW39:BW235),"")))</f>
        <v>12.949999999999989</v>
      </c>
      <c r="BY39" s="13">
        <f>IF('Données projet'!$A$114&gt;35,BY38+BX39-CG38,IF(A39&lt;'Données projet'!$A$114,$BV$205^A39,IF(A39='Données projet'!$A$114,'Données projet'!$B$114,BY38+BX39-CG38)))</f>
        <v>232.2</v>
      </c>
      <c r="BZ39" s="14">
        <f>BY39*VLOOKUP('Données projet'!$B$12,Paramètres!$A$1:$I$89,3,0)*VLOOKUP('Données projet'!$B$12,Paramètres!$A$1:$I$89,5,0)</f>
        <v>138.85560000000001</v>
      </c>
      <c r="CA39" s="14">
        <f t="shared" si="39"/>
        <v>36.034714420414154</v>
      </c>
      <c r="CB39" s="22">
        <f t="shared" si="10"/>
        <v>304.60063094888801</v>
      </c>
      <c r="CC39" s="62">
        <f t="shared" si="11"/>
        <v>597.93396428222127</v>
      </c>
      <c r="CD39" s="62">
        <f ca="1">AVERAGE(OFFSET($CC$3,0,0,'Données projet'!$E$12+1,1))-AVERAGE(OFFSET($H$3,0,0,'Données projet'!$E$12+1,1))</f>
        <v>155.11440101086782</v>
      </c>
      <c r="CE39" s="62">
        <f t="shared" si="40"/>
        <v>239.53454701506638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11.984250862189924</v>
      </c>
      <c r="CL39" s="23">
        <f>EXP(-LN(2)/25)*CL38+(1-EXP(-LN(2)/25))/(LN(2)/25)*Calculateur!CG39*Calculateur!CI39*VLOOKUP('Données projet'!$B$12,Paramètres!$A$1:$I$89,3,0)*0.475*44/12</f>
        <v>6.1321605307302569</v>
      </c>
      <c r="CM39" s="23">
        <f>EXP(-LN(2)/2)*CM38+(1-EXP(-LN(2)/2))/(LN(2)/2)*CG39*CJ39*VLOOKUP('Données projet'!$B$12,Paramètres!$A$1:$I$89,3,0)*0.475*44/12</f>
        <v>0.36861788436589754</v>
      </c>
      <c r="CN39" s="24">
        <f t="shared" si="12"/>
        <v>18.485029277286078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7.6</v>
      </c>
      <c r="CT39" s="13">
        <f>IF('Données projet'!$A$140&gt;35,CT38+CS39-DB38,IF(A39&lt;'Données projet'!$A$140,$CQ$205^A39,IF(A39='Données projet'!$A$140,'Données projet'!$B$140,CT38+CS39-DB38)))</f>
        <v>121.60000000000005</v>
      </c>
      <c r="CU39" s="18">
        <f>CT39*VLOOKUP('Données projet'!$B$13,Paramètres!$A$1:$I$89,3,0)*VLOOKUP('Données projet'!$B$13,Paramètres!$A$1:$I$89,5,0)</f>
        <v>98.641920000000042</v>
      </c>
      <c r="CV39" s="14">
        <f t="shared" si="41"/>
        <v>26.638196684151392</v>
      </c>
      <c r="CW39" s="22">
        <f t="shared" si="13"/>
        <v>218.19620322489709</v>
      </c>
      <c r="CX39" s="62">
        <f t="shared" si="14"/>
        <v>511.5295365582304</v>
      </c>
      <c r="CY39" s="62">
        <f ca="1">AVERAGE(OFFSET($CX$3,0,0,'Données projet'!$E$13+1,1))-AVERAGE(OFFSET($H$3,0,0,'Données projet'!$E$13+1,1))</f>
        <v>191.03017979797141</v>
      </c>
      <c r="CZ39" s="62">
        <f t="shared" si="42"/>
        <v>222.78252111624278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5.8974358974359005</v>
      </c>
      <c r="DO39" s="13">
        <f>IF('Données projet'!$A$166&gt;35,DO38+DN39-DW38,IF(A39&lt;'Données projet'!$A$166,$DL$205^A39,IF(A39='Données projet'!$A$166,'Données projet'!$B$166,DO38+DN39-DW38)))</f>
        <v>128.97435897435898</v>
      </c>
      <c r="DP39" s="18">
        <f>DO39*VLOOKUP('Données projet'!$B$14,Paramètres!$A$1:$I$89,3,0)*VLOOKUP('Données projet'!$B$14,Paramètres!$A$1:$I$89,5,0)</f>
        <v>122.73200000000001</v>
      </c>
      <c r="DQ39" s="14">
        <f t="shared" si="43"/>
        <v>32.311356202721527</v>
      </c>
      <c r="DR39" s="22">
        <f t="shared" si="16"/>
        <v>270.03384538640671</v>
      </c>
      <c r="DS39" s="62">
        <f t="shared" si="17"/>
        <v>563.36717871973997</v>
      </c>
      <c r="DT39" s="62">
        <f ca="1">AVERAGE(OFFSET($DS$3,0,0,'Données projet'!$E$14+1,1))-AVERAGE(OFFSET($H$3,0,0,'Données projet'!$E$14+1,1))</f>
        <v>260.93525280373063</v>
      </c>
      <c r="DU39" s="62">
        <f t="shared" si="44"/>
        <v>206.83968452163816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1.9254166666666663</v>
      </c>
      <c r="EJ39" s="13">
        <f>IF('Données projet'!$A$192&gt;35,EJ38+EI39-ER38,IF(A39&lt;'Données projet'!$A$192,$EG$205^A39,IF(A39='Données projet'!$A$192,'Données projet'!$B$192,EJ38+EI39-ER38)))</f>
        <v>54.965000000000018</v>
      </c>
      <c r="EK39" s="18">
        <f>EJ39*VLOOKUP('Données projet'!$B$15,Paramètres!$A$1:$I$89,3,0)*VLOOKUP('Données projet'!$B$15,Paramètres!$A$1:$I$89,5,0)</f>
        <v>63.319680000000012</v>
      </c>
      <c r="EL39" s="14">
        <f t="shared" si="45"/>
        <v>18.004939659941751</v>
      </c>
      <c r="EM39" s="22">
        <f t="shared" si="19"/>
        <v>141.64037924106523</v>
      </c>
      <c r="EN39" s="62">
        <f t="shared" si="20"/>
        <v>434.97371257439852</v>
      </c>
      <c r="EO39" s="62">
        <f ca="1">AVERAGE(OFFSET($EN$3,0,0,'Données projet'!$E$15+1,1))-AVERAGE(OFFSET($H$3,0,0,'Données projet'!$E$15+1,1))</f>
        <v>118.01099353898547</v>
      </c>
      <c r="EP39" s="62">
        <f t="shared" si="46"/>
        <v>103.17146760845947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8.4</v>
      </c>
      <c r="FE39" s="13">
        <f>IF('Données projet'!$A$218&gt;35,FE38+FD39-FM38,IF(A39&lt;'Données projet'!$A$218,$FB$205^A39,IF(A39='Données projet'!$A$218,'Données projet'!$B$218,FE38+FD39-FM38)))</f>
        <v>124.4</v>
      </c>
      <c r="FF39" s="18">
        <f>FE39*VLOOKUP('Données projet'!$B$16,Paramètres!$A$1:$I$89,3,0)*VLOOKUP('Données projet'!$B$16,Paramètres!$A$1:$I$89,5,0)</f>
        <v>124.20096000000001</v>
      </c>
      <c r="FG39" s="14">
        <f t="shared" si="47"/>
        <v>32.65283344355251</v>
      </c>
      <c r="FH39" s="22">
        <f t="shared" si="22"/>
        <v>273.18702358085392</v>
      </c>
      <c r="FI39" s="62">
        <f t="shared" si="23"/>
        <v>566.52035691418723</v>
      </c>
      <c r="FJ39" s="62">
        <f ca="1">AVERAGE(OFFSET($FI$3,0,0,'Données projet'!$E$16+1,1))-AVERAGE(OFFSET($H$3,0,0,'Données projet'!$E$16+1,1))</f>
        <v>343.71044073996887</v>
      </c>
      <c r="FK39" s="62">
        <f t="shared" si="48"/>
        <v>193.51732627292375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132.80000000000001</v>
      </c>
      <c r="O40" s="14">
        <f>N40*VLOOKUP('Données projet'!$B$9,Paramètres!$A$1:$I$89,3,0)*VLOOKUP('Données projet'!$B$9,Paramètres!$A$1:$I$89,5,0)</f>
        <v>120.15744000000001</v>
      </c>
      <c r="P40" s="14">
        <f t="shared" si="33"/>
        <v>31.711716786129845</v>
      </c>
      <c r="Q40" s="22">
        <f t="shared" si="53"/>
        <v>264.50544806917611</v>
      </c>
      <c r="R40" s="62">
        <f t="shared" si="0"/>
        <v>557.83878140250943</v>
      </c>
      <c r="S40" s="62">
        <f ca="1">AVERAGE(OFFSET($R$3,0,0,'Données projet'!$E$9+1,1))-AVERAGE(OFFSET($H$3,0,0,'Données projet'!$E$9+1,1))</f>
        <v>303.73499739059076</v>
      </c>
      <c r="T40" s="62">
        <f t="shared" si="34"/>
        <v>172.32171001882188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9.6</v>
      </c>
      <c r="AI40" s="14">
        <f>IF('Données projet'!$A$62&gt;35,AI39+AH40-AQ39,IF(A40&lt;'Données projet'!$A$62,$AF$205^A40,IF(A40='Données projet'!$A$62,'Données projet'!$B$62,AI39+AH40-AQ39)))</f>
        <v>163.19999999999993</v>
      </c>
      <c r="AJ40" s="14">
        <f>AI40*VLOOKUP('Données projet'!$B$10,Paramètres!$A$1:$I$89,3,0)*VLOOKUP('Données projet'!$B$10,Paramètres!$A$1:$I$89,5,0)</f>
        <v>119.65823999999995</v>
      </c>
      <c r="AK40" s="14">
        <f t="shared" si="35"/>
        <v>31.595276160231307</v>
      </c>
      <c r="AL40" s="22">
        <f t="shared" si="4"/>
        <v>263.43320731240277</v>
      </c>
      <c r="AM40" s="62">
        <f t="shared" si="5"/>
        <v>556.76654064573609</v>
      </c>
      <c r="AN40" s="62">
        <f ca="1">AVERAGE(OFFSET($AM$3,0,0,'Données projet'!$E$10+1,1))-AVERAGE(OFFSET($H$3,0,0,'Données projet'!$E$10+1,1))</f>
        <v>215.66498680344858</v>
      </c>
      <c r="AO40" s="62">
        <f t="shared" si="36"/>
        <v>199.86715787211114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13.150000000000006</v>
      </c>
      <c r="BD40" s="13">
        <f>IF('Données projet'!$A$88&gt;35,BD39+BC40-BL39,IF(A40&lt;'Données projet'!$A$88,$BA$205^A40,IF(A40='Données projet'!$A$88,'Données projet'!$B$88,BD39+BC40-BL39)))</f>
        <v>245.35</v>
      </c>
      <c r="BE40" s="14">
        <f>BD40*VLOOKUP('Données projet'!$B$11,Paramètres!$A$1:$I$89,3,0)*VLOOKUP('Données projet'!$B$11,Paramètres!$A$1:$I$89,5,0)</f>
        <v>146.7193</v>
      </c>
      <c r="BF40" s="14">
        <f t="shared" si="37"/>
        <v>37.832077938438708</v>
      </c>
      <c r="BG40" s="22">
        <f t="shared" si="7"/>
        <v>321.42698324278075</v>
      </c>
      <c r="BH40" s="62">
        <f t="shared" si="8"/>
        <v>614.76031657611406</v>
      </c>
      <c r="BI40" s="62">
        <f ca="1">AVERAGE(OFFSET($BH$3,0,0,'Données projet'!$E$11+1,1))-AVERAGE(OFFSET($H$3,0,0,'Données projet'!$E$11+1,1))</f>
        <v>155.11440101086782</v>
      </c>
      <c r="BJ40" s="62">
        <f t="shared" si="38"/>
        <v>239.53454701506638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11.749247012453635</v>
      </c>
      <c r="BQ40" s="23">
        <f>EXP(-LN(2)/25)*BQ39+(1-EXP(-LN(2)/25))/(LN(2)/25)*Calculateur!BL40*Calculateur!BN40*VLOOKUP('Données projet'!$B$11,Paramètres!$A$1:$I$89,3,0)*0.475*44/12</f>
        <v>5.9644762785411309</v>
      </c>
      <c r="BR40" s="23">
        <f>EXP(-LN(2)/2)*BR39+(1-EXP(-LN(2)/2))/(LN(2)/2)*BL40*BO40*VLOOKUP('Données projet'!$B$11,Paramètres!$A$1:$I$89,3,0)*0.475*44/12</f>
        <v>0.26065220570176478</v>
      </c>
      <c r="BS40" s="24">
        <f t="shared" si="9"/>
        <v>17.974375496696528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13.150000000000006</v>
      </c>
      <c r="BY40" s="13">
        <f>IF('Données projet'!$A$114&gt;35,BY39+BX40-CG39,IF(A40&lt;'Données projet'!$A$114,$BV$205^A40,IF(A40='Données projet'!$A$114,'Données projet'!$B$114,BY39+BX40-CG39)))</f>
        <v>245.35</v>
      </c>
      <c r="BZ40" s="14">
        <f>BY40*VLOOKUP('Données projet'!$B$12,Paramètres!$A$1:$I$89,3,0)*VLOOKUP('Données projet'!$B$12,Paramètres!$A$1:$I$89,5,0)</f>
        <v>146.7193</v>
      </c>
      <c r="CA40" s="14">
        <f t="shared" si="39"/>
        <v>37.832077938438708</v>
      </c>
      <c r="CB40" s="22">
        <f t="shared" si="10"/>
        <v>321.42698324278075</v>
      </c>
      <c r="CC40" s="62">
        <f t="shared" si="11"/>
        <v>614.76031657611406</v>
      </c>
      <c r="CD40" s="62">
        <f ca="1">AVERAGE(OFFSET($CC$3,0,0,'Données projet'!$E$12+1,1))-AVERAGE(OFFSET($H$3,0,0,'Données projet'!$E$12+1,1))</f>
        <v>155.11440101086782</v>
      </c>
      <c r="CE40" s="62">
        <f t="shared" si="40"/>
        <v>239.53454701506638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11.749247012453635</v>
      </c>
      <c r="CL40" s="23">
        <f>EXP(-LN(2)/25)*CL39+(1-EXP(-LN(2)/25))/(LN(2)/25)*Calculateur!CG40*Calculateur!CI40*VLOOKUP('Données projet'!$B$12,Paramètres!$A$1:$I$89,3,0)*0.475*44/12</f>
        <v>5.9644762785411309</v>
      </c>
      <c r="CM40" s="23">
        <f>EXP(-LN(2)/2)*CM39+(1-EXP(-LN(2)/2))/(LN(2)/2)*CG40*CJ40*VLOOKUP('Données projet'!$B$12,Paramètres!$A$1:$I$89,3,0)*0.475*44/12</f>
        <v>0.26065220570176478</v>
      </c>
      <c r="CN40" s="24">
        <f t="shared" si="12"/>
        <v>17.974375496696528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7.6</v>
      </c>
      <c r="CT40" s="13">
        <f>IF('Données projet'!$A$140&gt;35,CT39+CS40-DB39,IF(A40&lt;'Données projet'!$A$140,$CQ$205^A40,IF(A40='Données projet'!$A$140,'Données projet'!$B$140,CT39+CS40-DB39)))</f>
        <v>129.20000000000005</v>
      </c>
      <c r="CU40" s="18">
        <f>CT40*VLOOKUP('Données projet'!$B$13,Paramètres!$A$1:$I$89,3,0)*VLOOKUP('Données projet'!$B$13,Paramètres!$A$1:$I$89,5,0)</f>
        <v>104.80704000000004</v>
      </c>
      <c r="CV40" s="14">
        <f t="shared" si="41"/>
        <v>28.104060486002457</v>
      </c>
      <c r="CW40" s="22">
        <f t="shared" si="13"/>
        <v>231.48683334645435</v>
      </c>
      <c r="CX40" s="62">
        <f t="shared" si="14"/>
        <v>524.82016667978769</v>
      </c>
      <c r="CY40" s="62">
        <f ca="1">AVERAGE(OFFSET($CX$3,0,0,'Données projet'!$E$13+1,1))-AVERAGE(OFFSET($H$3,0,0,'Données projet'!$E$13+1,1))</f>
        <v>191.03017979797141</v>
      </c>
      <c r="CZ40" s="62">
        <f t="shared" si="42"/>
        <v>222.78252111624278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5.8974358974359005</v>
      </c>
      <c r="DO40" s="13">
        <f>IF('Données projet'!$A$166&gt;35,DO39+DN40-DW39,IF(A40&lt;'Données projet'!$A$166,$DL$205^A40,IF(A40='Données projet'!$A$166,'Données projet'!$B$166,DO39+DN40-DW39)))</f>
        <v>134.87179487179489</v>
      </c>
      <c r="DP40" s="18">
        <f>DO40*VLOOKUP('Données projet'!$B$14,Paramètres!$A$1:$I$89,3,0)*VLOOKUP('Données projet'!$B$14,Paramètres!$A$1:$I$89,5,0)</f>
        <v>128.34400000000002</v>
      </c>
      <c r="DQ40" s="14">
        <f t="shared" si="43"/>
        <v>33.613421309084202</v>
      </c>
      <c r="DR40" s="22">
        <f t="shared" si="16"/>
        <v>282.07584211332164</v>
      </c>
      <c r="DS40" s="62">
        <f t="shared" si="17"/>
        <v>575.4091754466549</v>
      </c>
      <c r="DT40" s="62">
        <f ca="1">AVERAGE(OFFSET($DS$3,0,0,'Données projet'!$E$14+1,1))-AVERAGE(OFFSET($H$3,0,0,'Données projet'!$E$14+1,1))</f>
        <v>260.93525280373063</v>
      </c>
      <c r="DU40" s="62">
        <f t="shared" si="44"/>
        <v>206.83968452163816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1.9254166666666663</v>
      </c>
      <c r="EJ40" s="13">
        <f>IF('Données projet'!$A$192&gt;35,EJ39+EI40-ER39,IF(A40&lt;'Données projet'!$A$192,$EG$205^A40,IF(A40='Données projet'!$A$192,'Données projet'!$B$192,EJ39+EI40-ER39)))</f>
        <v>56.890416666666681</v>
      </c>
      <c r="EK40" s="18">
        <f>EJ40*VLOOKUP('Données projet'!$B$15,Paramètres!$A$1:$I$89,3,0)*VLOOKUP('Données projet'!$B$15,Paramètres!$A$1:$I$89,5,0)</f>
        <v>65.537760000000006</v>
      </c>
      <c r="EL40" s="14">
        <f t="shared" si="45"/>
        <v>18.561113952495973</v>
      </c>
      <c r="EM40" s="22">
        <f t="shared" si="19"/>
        <v>146.47220546726382</v>
      </c>
      <c r="EN40" s="62">
        <f t="shared" si="20"/>
        <v>439.80553880059711</v>
      </c>
      <c r="EO40" s="62">
        <f ca="1">AVERAGE(OFFSET($EN$3,0,0,'Données projet'!$E$15+1,1))-AVERAGE(OFFSET($H$3,0,0,'Données projet'!$E$15+1,1))</f>
        <v>118.01099353898547</v>
      </c>
      <c r="EP40" s="62">
        <f t="shared" si="46"/>
        <v>103.17146760845947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8.4</v>
      </c>
      <c r="FE40" s="13">
        <f>IF('Données projet'!$A$218&gt;35,FE39+FD40-FM39,IF(A40&lt;'Données projet'!$A$218,$FB$205^A40,IF(A40='Données projet'!$A$218,'Données projet'!$B$218,FE39+FD40-FM39)))</f>
        <v>132.80000000000001</v>
      </c>
      <c r="FF40" s="18">
        <f>FE40*VLOOKUP('Données projet'!$B$16,Paramètres!$A$1:$I$89,3,0)*VLOOKUP('Données projet'!$B$16,Paramètres!$A$1:$I$89,5,0)</f>
        <v>132.58752000000001</v>
      </c>
      <c r="FG40" s="14">
        <f t="shared" si="47"/>
        <v>34.593571694787713</v>
      </c>
      <c r="FH40" s="22">
        <f t="shared" si="22"/>
        <v>291.17373470175522</v>
      </c>
      <c r="FI40" s="62">
        <f t="shared" si="23"/>
        <v>584.50706803508854</v>
      </c>
      <c r="FJ40" s="62">
        <f ca="1">AVERAGE(OFFSET($FI$3,0,0,'Données projet'!$E$16+1,1))-AVERAGE(OFFSET($H$3,0,0,'Données projet'!$E$16+1,1))</f>
        <v>343.71044073996887</v>
      </c>
      <c r="FK40" s="62">
        <f t="shared" si="48"/>
        <v>193.51732627292375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141.20000000000002</v>
      </c>
      <c r="O41" s="14">
        <f>N41*VLOOKUP('Données projet'!$B$9,Paramètres!$A$1:$I$89,3,0)*VLOOKUP('Données projet'!$B$9,Paramètres!$A$1:$I$89,5,0)</f>
        <v>127.75776</v>
      </c>
      <c r="P41" s="14">
        <f t="shared" si="33"/>
        <v>33.477720030956604</v>
      </c>
      <c r="Q41" s="22">
        <f t="shared" si="53"/>
        <v>280.81846105391611</v>
      </c>
      <c r="R41" s="62">
        <f t="shared" si="0"/>
        <v>574.15179438724942</v>
      </c>
      <c r="S41" s="62">
        <f ca="1">AVERAGE(OFFSET($R$3,0,0,'Données projet'!$E$9+1,1))-AVERAGE(OFFSET($H$3,0,0,'Données projet'!$E$9+1,1))</f>
        <v>303.73499739059076</v>
      </c>
      <c r="T41" s="62">
        <f t="shared" si="34"/>
        <v>172.32171001882188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9.6</v>
      </c>
      <c r="AI41" s="14">
        <f>IF('Données projet'!$A$62&gt;35,AI40+AH41-AQ40,IF(A41&lt;'Données projet'!$A$62,$AF$205^A41,IF(A41='Données projet'!$A$62,'Données projet'!$B$62,AI40+AH41-AQ40)))</f>
        <v>172.79999999999993</v>
      </c>
      <c r="AJ41" s="14">
        <f>AI41*VLOOKUP('Données projet'!$B$10,Paramètres!$A$1:$I$89,3,0)*VLOOKUP('Données projet'!$B$10,Paramètres!$A$1:$I$89,5,0)</f>
        <v>126.69695999999995</v>
      </c>
      <c r="AK41" s="14">
        <f t="shared" si="35"/>
        <v>33.231984319593479</v>
      </c>
      <c r="AL41" s="22">
        <f t="shared" si="4"/>
        <v>278.54291135662521</v>
      </c>
      <c r="AM41" s="62">
        <f t="shared" si="5"/>
        <v>571.87624468995853</v>
      </c>
      <c r="AN41" s="62">
        <f ca="1">AVERAGE(OFFSET($AM$3,0,0,'Données projet'!$E$10+1,1))-AVERAGE(OFFSET($H$3,0,0,'Données projet'!$E$10+1,1))</f>
        <v>215.66498680344858</v>
      </c>
      <c r="AO41" s="62">
        <f t="shared" si="36"/>
        <v>199.86715787211114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>
        <f>VLOOKUP(A41,'Données projet'!$A$87:$I$107,2,0)</f>
        <v>258.5</v>
      </c>
      <c r="BB41" s="13">
        <f>VLOOKUP(A41,'Données projet'!$A$87:$I$107,9,0)</f>
        <v>13.150000000000006</v>
      </c>
      <c r="BC41" s="13">
        <f t="array" ref="BC41">INDEX(BB:BB,MIN(IF(ISNUMBER(BB41:BB237),ROW(BB41:BB237),"")))</f>
        <v>13.150000000000006</v>
      </c>
      <c r="BD41" s="13">
        <f>IF('Données projet'!$A$88&gt;35,BD40+BC41-BL40,IF(A41&lt;'Données projet'!$A$88,$BA$205^A41,IF(A41='Données projet'!$A$88,'Données projet'!$B$88,BD40+BC41-BL40)))</f>
        <v>258.5</v>
      </c>
      <c r="BE41" s="14">
        <f>BD41*VLOOKUP('Données projet'!$B$11,Paramètres!$A$1:$I$89,3,0)*VLOOKUP('Données projet'!$B$11,Paramètres!$A$1:$I$89,5,0)</f>
        <v>154.58300000000003</v>
      </c>
      <c r="BF41" s="14">
        <f t="shared" si="37"/>
        <v>39.618257534260778</v>
      </c>
      <c r="BG41" s="22">
        <f t="shared" si="7"/>
        <v>338.23385687217092</v>
      </c>
      <c r="BH41" s="62">
        <f t="shared" si="8"/>
        <v>631.56719020550418</v>
      </c>
      <c r="BI41" s="62">
        <f ca="1">AVERAGE(OFFSET($BH$3,0,0,'Données projet'!$E$11+1,1))-AVERAGE(OFFSET($H$3,0,0,'Données projet'!$E$11+1,1))</f>
        <v>155.11440101086782</v>
      </c>
      <c r="BJ41" s="62">
        <f t="shared" si="38"/>
        <v>239.53454701506638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11.51885144487248</v>
      </c>
      <c r="BQ41" s="23">
        <f>EXP(-LN(2)/25)*BQ40+(1-EXP(-LN(2)/25))/(LN(2)/25)*Calculateur!BL41*Calculateur!BN41*VLOOKUP('Données projet'!$B$11,Paramètres!$A$1:$I$89,3,0)*0.475*44/12</f>
        <v>5.8013773610462485</v>
      </c>
      <c r="BR41" s="23">
        <f>EXP(-LN(2)/2)*BR40+(1-EXP(-LN(2)/2))/(LN(2)/2)*BL41*BO41*VLOOKUP('Données projet'!$B$11,Paramètres!$A$1:$I$89,3,0)*0.475*44/12</f>
        <v>0.18430894218294877</v>
      </c>
      <c r="BS41" s="24">
        <f t="shared" si="9"/>
        <v>17.504537748101676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>
        <f>VLOOKUP(A41,'Données projet'!$A$113:$I$133,2,0)</f>
        <v>258.5</v>
      </c>
      <c r="BW41" s="13">
        <f>VLOOKUP(A41,'Données projet'!$A$113:$I$133,9,0)</f>
        <v>13.150000000000006</v>
      </c>
      <c r="BX41" s="13">
        <f t="array" ref="BX41">INDEX(BW:BW,MIN(IF(ISNUMBER(BW41:BW237),ROW(BW41:BW237),"")))</f>
        <v>13.150000000000006</v>
      </c>
      <c r="BY41" s="13">
        <f>IF('Données projet'!$A$114&gt;35,BY40+BX41-CG40,IF(A41&lt;'Données projet'!$A$114,$BV$205^A41,IF(A41='Données projet'!$A$114,'Données projet'!$B$114,BY40+BX41-CG40)))</f>
        <v>258.5</v>
      </c>
      <c r="BZ41" s="14">
        <f>BY41*VLOOKUP('Données projet'!$B$12,Paramètres!$A$1:$I$89,3,0)*VLOOKUP('Données projet'!$B$12,Paramètres!$A$1:$I$89,5,0)</f>
        <v>154.58300000000003</v>
      </c>
      <c r="CA41" s="14">
        <f t="shared" si="39"/>
        <v>39.618257534260778</v>
      </c>
      <c r="CB41" s="22">
        <f t="shared" si="10"/>
        <v>338.23385687217092</v>
      </c>
      <c r="CC41" s="62">
        <f t="shared" si="11"/>
        <v>631.56719020550418</v>
      </c>
      <c r="CD41" s="62">
        <f ca="1">AVERAGE(OFFSET($CC$3,0,0,'Données projet'!$E$12+1,1))-AVERAGE(OFFSET($H$3,0,0,'Données projet'!$E$12+1,1))</f>
        <v>155.11440101086782</v>
      </c>
      <c r="CE41" s="62">
        <f t="shared" si="40"/>
        <v>239.53454701506638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11.51885144487248</v>
      </c>
      <c r="CL41" s="23">
        <f>EXP(-LN(2)/25)*CL40+(1-EXP(-LN(2)/25))/(LN(2)/25)*Calculateur!CG41*Calculateur!CI41*VLOOKUP('Données projet'!$B$12,Paramètres!$A$1:$I$89,3,0)*0.475*44/12</f>
        <v>5.8013773610462485</v>
      </c>
      <c r="CM41" s="23">
        <f>EXP(-LN(2)/2)*CM40+(1-EXP(-LN(2)/2))/(LN(2)/2)*CG41*CJ41*VLOOKUP('Données projet'!$B$12,Paramètres!$A$1:$I$89,3,0)*0.475*44/12</f>
        <v>0.18430894218294877</v>
      </c>
      <c r="CN41" s="24">
        <f t="shared" si="12"/>
        <v>17.504537748101676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7.6</v>
      </c>
      <c r="CT41" s="13">
        <f>IF('Données projet'!$A$140&gt;35,CT40+CS41-DB40,IF(A41&lt;'Données projet'!$A$140,$CQ$205^A41,IF(A41='Données projet'!$A$140,'Données projet'!$B$140,CT40+CS41-DB40)))</f>
        <v>136.80000000000004</v>
      </c>
      <c r="CU41" s="18">
        <f>CT41*VLOOKUP('Données projet'!$B$13,Paramètres!$A$1:$I$89,3,0)*VLOOKUP('Données projet'!$B$13,Paramètres!$A$1:$I$89,5,0)</f>
        <v>110.97216000000004</v>
      </c>
      <c r="CV41" s="14">
        <f t="shared" si="41"/>
        <v>29.559915623187329</v>
      </c>
      <c r="CW41" s="22">
        <f t="shared" si="13"/>
        <v>244.76003171038471</v>
      </c>
      <c r="CX41" s="62">
        <f t="shared" si="14"/>
        <v>538.09336504371799</v>
      </c>
      <c r="CY41" s="62">
        <f ca="1">AVERAGE(OFFSET($CX$3,0,0,'Données projet'!$E$13+1,1))-AVERAGE(OFFSET($H$3,0,0,'Données projet'!$E$13+1,1))</f>
        <v>191.03017979797141</v>
      </c>
      <c r="CZ41" s="62">
        <f t="shared" si="42"/>
        <v>222.78252111624278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5.8974358974359005</v>
      </c>
      <c r="DO41" s="13">
        <f>IF('Données projet'!$A$166&gt;35,DO40+DN41-DW40,IF(A41&lt;'Données projet'!$A$166,$DL$205^A41,IF(A41='Données projet'!$A$166,'Données projet'!$B$166,DO40+DN41-DW40)))</f>
        <v>140.7692307692308</v>
      </c>
      <c r="DP41" s="18">
        <f>DO41*VLOOKUP('Données projet'!$B$14,Paramètres!$A$1:$I$89,3,0)*VLOOKUP('Données projet'!$B$14,Paramètres!$A$1:$I$89,5,0)</f>
        <v>133.95600000000002</v>
      </c>
      <c r="DQ41" s="14">
        <f t="shared" si="43"/>
        <v>34.908873862106219</v>
      </c>
      <c r="DR41" s="22">
        <f t="shared" si="16"/>
        <v>294.10632197650165</v>
      </c>
      <c r="DS41" s="62">
        <f t="shared" si="17"/>
        <v>587.43965530983496</v>
      </c>
      <c r="DT41" s="62">
        <f ca="1">AVERAGE(OFFSET($DS$3,0,0,'Données projet'!$E$14+1,1))-AVERAGE(OFFSET($H$3,0,0,'Données projet'!$E$14+1,1))</f>
        <v>260.93525280373063</v>
      </c>
      <c r="DU41" s="62">
        <f t="shared" si="44"/>
        <v>206.83968452163816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1.9254166666666663</v>
      </c>
      <c r="EJ41" s="13">
        <f>IF('Données projet'!$A$192&gt;35,EJ40+EI41-ER40,IF(A41&lt;'Données projet'!$A$192,$EG$205^A41,IF(A41='Données projet'!$A$192,'Données projet'!$B$192,EJ40+EI41-ER40)))</f>
        <v>58.815833333333345</v>
      </c>
      <c r="EK41" s="18">
        <f>EJ41*VLOOKUP('Données projet'!$B$15,Paramètres!$A$1:$I$89,3,0)*VLOOKUP('Données projet'!$B$15,Paramètres!$A$1:$I$89,5,0)</f>
        <v>67.755840000000006</v>
      </c>
      <c r="EL41" s="14">
        <f t="shared" si="45"/>
        <v>19.115101078108083</v>
      </c>
      <c r="EM41" s="22">
        <f t="shared" si="19"/>
        <v>151.3002223777049</v>
      </c>
      <c r="EN41" s="62">
        <f t="shared" si="20"/>
        <v>444.63355571103818</v>
      </c>
      <c r="EO41" s="62">
        <f ca="1">AVERAGE(OFFSET($EN$3,0,0,'Données projet'!$E$15+1,1))-AVERAGE(OFFSET($H$3,0,0,'Données projet'!$E$15+1,1))</f>
        <v>118.01099353898547</v>
      </c>
      <c r="EP41" s="62">
        <f t="shared" si="46"/>
        <v>103.17146760845947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8.4</v>
      </c>
      <c r="FE41" s="13">
        <f>IF('Données projet'!$A$218&gt;35,FE40+FD41-FM40,IF(A41&lt;'Données projet'!$A$218,$FB$205^A41,IF(A41='Données projet'!$A$218,'Données projet'!$B$218,FE40+FD41-FM40)))</f>
        <v>141.20000000000002</v>
      </c>
      <c r="FF41" s="18">
        <f>FE41*VLOOKUP('Données projet'!$B$16,Paramètres!$A$1:$I$89,3,0)*VLOOKUP('Données projet'!$B$16,Paramètres!$A$1:$I$89,5,0)</f>
        <v>140.97408000000001</v>
      </c>
      <c r="FG41" s="14">
        <f t="shared" si="47"/>
        <v>36.520063416291229</v>
      </c>
      <c r="FH41" s="22">
        <f t="shared" si="22"/>
        <v>309.13563311670725</v>
      </c>
      <c r="FI41" s="62">
        <f t="shared" si="23"/>
        <v>602.46896645004063</v>
      </c>
      <c r="FJ41" s="62">
        <f ca="1">AVERAGE(OFFSET($FI$3,0,0,'Données projet'!$E$16+1,1))-AVERAGE(OFFSET($H$3,0,0,'Données projet'!$E$16+1,1))</f>
        <v>343.71044073996887</v>
      </c>
      <c r="FK41" s="62">
        <f t="shared" si="48"/>
        <v>193.51732627292375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149.60000000000002</v>
      </c>
      <c r="O42" s="14">
        <f>N42*VLOOKUP('Données projet'!$B$9,Paramètres!$A$1:$I$89,3,0)*VLOOKUP('Données projet'!$B$9,Paramètres!$A$1:$I$89,5,0)</f>
        <v>135.35808</v>
      </c>
      <c r="P42" s="14">
        <f t="shared" si="33"/>
        <v>35.231528980112834</v>
      </c>
      <c r="Q42" s="22">
        <f t="shared" si="53"/>
        <v>297.11023564036316</v>
      </c>
      <c r="R42" s="62">
        <f t="shared" si="0"/>
        <v>590.44356897369653</v>
      </c>
      <c r="S42" s="62">
        <f ca="1">AVERAGE(OFFSET($R$3,0,0,'Données projet'!$E$9+1,1))-AVERAGE(OFFSET($H$3,0,0,'Données projet'!$E$9+1,1))</f>
        <v>303.73499739059076</v>
      </c>
      <c r="T42" s="62">
        <f t="shared" si="34"/>
        <v>172.32171001882188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9.6</v>
      </c>
      <c r="AI42" s="14">
        <f>IF('Données projet'!$A$62&gt;35,AI41+AH42-AQ41,IF(A42&lt;'Données projet'!$A$62,$AF$205^A42,IF(A42='Données projet'!$A$62,'Données projet'!$B$62,AI41+AH42-AQ41)))</f>
        <v>182.39999999999992</v>
      </c>
      <c r="AJ42" s="14">
        <f>AI42*VLOOKUP('Données projet'!$B$10,Paramètres!$A$1:$I$89,3,0)*VLOOKUP('Données projet'!$B$10,Paramètres!$A$1:$I$89,5,0)</f>
        <v>133.73567999999992</v>
      </c>
      <c r="AK42" s="14">
        <f t="shared" si="35"/>
        <v>34.858136849359212</v>
      </c>
      <c r="AL42" s="22">
        <f t="shared" si="4"/>
        <v>293.63423101263379</v>
      </c>
      <c r="AM42" s="62">
        <f t="shared" si="5"/>
        <v>586.96756434596705</v>
      </c>
      <c r="AN42" s="62">
        <f ca="1">AVERAGE(OFFSET($AM$3,0,0,'Données projet'!$E$10+1,1))-AVERAGE(OFFSET($H$3,0,0,'Données projet'!$E$10+1,1))</f>
        <v>215.66498680344858</v>
      </c>
      <c r="AO42" s="62">
        <f t="shared" si="36"/>
        <v>199.86715787211114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13.150000000000006</v>
      </c>
      <c r="BD42" s="13">
        <f>IF('Données projet'!$A$88&gt;35,BD41+BC42-BL41,IF(A42&lt;'Données projet'!$A$88,$BA$205^A42,IF(A42='Données projet'!$A$88,'Données projet'!$B$88,BD41+BC42-BL41)))</f>
        <v>271.64999999999998</v>
      </c>
      <c r="BE42" s="14">
        <f>BD42*VLOOKUP('Données projet'!$B$11,Paramètres!$A$1:$I$89,3,0)*VLOOKUP('Données projet'!$B$11,Paramètres!$A$1:$I$89,5,0)</f>
        <v>162.44669999999999</v>
      </c>
      <c r="BF42" s="14">
        <f t="shared" si="37"/>
        <v>41.393887045479943</v>
      </c>
      <c r="BG42" s="22">
        <f t="shared" si="7"/>
        <v>355.02235577087754</v>
      </c>
      <c r="BH42" s="62">
        <f t="shared" si="8"/>
        <v>648.3556891042108</v>
      </c>
      <c r="BI42" s="62">
        <f ca="1">AVERAGE(OFFSET($BH$3,0,0,'Données projet'!$E$11+1,1))-AVERAGE(OFFSET($H$3,0,0,'Données projet'!$E$11+1,1))</f>
        <v>155.11440101086782</v>
      </c>
      <c r="BJ42" s="62">
        <f t="shared" si="38"/>
        <v>239.53454701506638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11.292973793844171</v>
      </c>
      <c r="BQ42" s="23">
        <f>EXP(-LN(2)/25)*BQ41+(1-EXP(-LN(2)/25))/(LN(2)/25)*Calculateur!BL42*Calculateur!BN42*VLOOKUP('Données projet'!$B$11,Paramètres!$A$1:$I$89,3,0)*0.475*44/12</f>
        <v>5.6427383920272627</v>
      </c>
      <c r="BR42" s="23">
        <f>EXP(-LN(2)/2)*BR41+(1-EXP(-LN(2)/2))/(LN(2)/2)*BL42*BO42*VLOOKUP('Données projet'!$B$11,Paramètres!$A$1:$I$89,3,0)*0.475*44/12</f>
        <v>0.13032610285088239</v>
      </c>
      <c r="BS42" s="24">
        <f t="shared" si="9"/>
        <v>17.066038288722318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13.150000000000006</v>
      </c>
      <c r="BY42" s="13">
        <f>IF('Données projet'!$A$114&gt;35,BY41+BX42-CG41,IF(A42&lt;'Données projet'!$A$114,$BV$205^A42,IF(A42='Données projet'!$A$114,'Données projet'!$B$114,BY41+BX42-CG41)))</f>
        <v>271.64999999999998</v>
      </c>
      <c r="BZ42" s="14">
        <f>BY42*VLOOKUP('Données projet'!$B$12,Paramètres!$A$1:$I$89,3,0)*VLOOKUP('Données projet'!$B$12,Paramètres!$A$1:$I$89,5,0)</f>
        <v>162.44669999999999</v>
      </c>
      <c r="CA42" s="14">
        <f t="shared" si="39"/>
        <v>41.393887045479943</v>
      </c>
      <c r="CB42" s="22">
        <f t="shared" si="10"/>
        <v>355.02235577087754</v>
      </c>
      <c r="CC42" s="62">
        <f t="shared" si="11"/>
        <v>648.3556891042108</v>
      </c>
      <c r="CD42" s="62">
        <f ca="1">AVERAGE(OFFSET($CC$3,0,0,'Données projet'!$E$12+1,1))-AVERAGE(OFFSET($H$3,0,0,'Données projet'!$E$12+1,1))</f>
        <v>155.11440101086782</v>
      </c>
      <c r="CE42" s="62">
        <f t="shared" si="40"/>
        <v>239.53454701506638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11.292973793844171</v>
      </c>
      <c r="CL42" s="23">
        <f>EXP(-LN(2)/25)*CL41+(1-EXP(-LN(2)/25))/(LN(2)/25)*Calculateur!CG42*Calculateur!CI42*VLOOKUP('Données projet'!$B$12,Paramètres!$A$1:$I$89,3,0)*0.475*44/12</f>
        <v>5.6427383920272627</v>
      </c>
      <c r="CM42" s="23">
        <f>EXP(-LN(2)/2)*CM41+(1-EXP(-LN(2)/2))/(LN(2)/2)*CG42*CJ42*VLOOKUP('Données projet'!$B$12,Paramètres!$A$1:$I$89,3,0)*0.475*44/12</f>
        <v>0.13032610285088239</v>
      </c>
      <c r="CN42" s="24">
        <f t="shared" si="12"/>
        <v>17.066038288722318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7.6</v>
      </c>
      <c r="CT42" s="13">
        <f>IF('Données projet'!$A$140&gt;35,CT41+CS42-DB41,IF(A42&lt;'Données projet'!$A$140,$CQ$205^A42,IF(A42='Données projet'!$A$140,'Données projet'!$B$140,CT41+CS42-DB41)))</f>
        <v>144.40000000000003</v>
      </c>
      <c r="CU42" s="18">
        <f>CT42*VLOOKUP('Données projet'!$B$13,Paramètres!$A$1:$I$89,3,0)*VLOOKUP('Données projet'!$B$13,Paramètres!$A$1:$I$89,5,0)</f>
        <v>117.13728000000003</v>
      </c>
      <c r="CV42" s="14">
        <f t="shared" si="41"/>
        <v>31.006381507018595</v>
      </c>
      <c r="CW42" s="22">
        <f t="shared" si="13"/>
        <v>258.01687712472409</v>
      </c>
      <c r="CX42" s="62">
        <f t="shared" si="14"/>
        <v>551.3502104580574</v>
      </c>
      <c r="CY42" s="62">
        <f ca="1">AVERAGE(OFFSET($CX$3,0,0,'Données projet'!$E$13+1,1))-AVERAGE(OFFSET($H$3,0,0,'Données projet'!$E$13+1,1))</f>
        <v>191.03017979797141</v>
      </c>
      <c r="CZ42" s="62">
        <f t="shared" si="42"/>
        <v>222.78252111624278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5.8974358974359005</v>
      </c>
      <c r="DO42" s="13">
        <f>IF('Données projet'!$A$166&gt;35,DO41+DN42-DW41,IF(A42&lt;'Données projet'!$A$166,$DL$205^A42,IF(A42='Données projet'!$A$166,'Données projet'!$B$166,DO41+DN42-DW41)))</f>
        <v>146.66666666666671</v>
      </c>
      <c r="DP42" s="18">
        <f>DO42*VLOOKUP('Données projet'!$B$14,Paramètres!$A$1:$I$89,3,0)*VLOOKUP('Données projet'!$B$14,Paramètres!$A$1:$I$89,5,0)</f>
        <v>139.56800000000004</v>
      </c>
      <c r="DQ42" s="14">
        <f t="shared" si="43"/>
        <v>36.198022567902328</v>
      </c>
      <c r="DR42" s="22">
        <f t="shared" si="16"/>
        <v>306.12582263909667</v>
      </c>
      <c r="DS42" s="62">
        <f t="shared" si="17"/>
        <v>599.45915597242993</v>
      </c>
      <c r="DT42" s="62">
        <f ca="1">AVERAGE(OFFSET($DS$3,0,0,'Données projet'!$E$14+1,1))-AVERAGE(OFFSET($H$3,0,0,'Données projet'!$E$14+1,1))</f>
        <v>260.93525280373063</v>
      </c>
      <c r="DU42" s="62">
        <f t="shared" si="44"/>
        <v>206.83968452163816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1.9254166666666663</v>
      </c>
      <c r="EJ42" s="13">
        <f>IF('Données projet'!$A$192&gt;35,EJ41+EI42-ER41,IF(A42&lt;'Données projet'!$A$192,$EG$205^A42,IF(A42='Données projet'!$A$192,'Données projet'!$B$192,EJ41+EI42-ER41)))</f>
        <v>60.741250000000008</v>
      </c>
      <c r="EK42" s="18">
        <f>EJ42*VLOOKUP('Données projet'!$B$15,Paramètres!$A$1:$I$89,3,0)*VLOOKUP('Données projet'!$B$15,Paramètres!$A$1:$I$89,5,0)</f>
        <v>69.973920000000007</v>
      </c>
      <c r="EL42" s="14">
        <f t="shared" si="45"/>
        <v>19.666980847748825</v>
      </c>
      <c r="EM42" s="22">
        <f t="shared" si="19"/>
        <v>156.12456897649591</v>
      </c>
      <c r="EN42" s="62">
        <f t="shared" si="20"/>
        <v>449.45790230982925</v>
      </c>
      <c r="EO42" s="62">
        <f ca="1">AVERAGE(OFFSET($EN$3,0,0,'Données projet'!$E$15+1,1))-AVERAGE(OFFSET($H$3,0,0,'Données projet'!$E$15+1,1))</f>
        <v>118.01099353898547</v>
      </c>
      <c r="EP42" s="62">
        <f t="shared" si="46"/>
        <v>103.17146760845947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8.4</v>
      </c>
      <c r="FE42" s="13">
        <f>IF('Données projet'!$A$218&gt;35,FE41+FD42-FM41,IF(A42&lt;'Données projet'!$A$218,$FB$205^A42,IF(A42='Données projet'!$A$218,'Données projet'!$B$218,FE41+FD42-FM41)))</f>
        <v>149.60000000000002</v>
      </c>
      <c r="FF42" s="18">
        <f>FE42*VLOOKUP('Données projet'!$B$16,Paramètres!$A$1:$I$89,3,0)*VLOOKUP('Données projet'!$B$16,Paramètres!$A$1:$I$89,5,0)</f>
        <v>149.36064000000002</v>
      </c>
      <c r="FG42" s="14">
        <f t="shared" si="47"/>
        <v>38.433252665260959</v>
      </c>
      <c r="FH42" s="22">
        <f t="shared" si="22"/>
        <v>327.07436305866287</v>
      </c>
      <c r="FI42" s="62">
        <f t="shared" si="23"/>
        <v>620.40769639199618</v>
      </c>
      <c r="FJ42" s="62">
        <f ca="1">AVERAGE(OFFSET($FI$3,0,0,'Données projet'!$E$16+1,1))-AVERAGE(OFFSET($H$3,0,0,'Données projet'!$E$16+1,1))</f>
        <v>343.71044073996887</v>
      </c>
      <c r="FK42" s="62">
        <f t="shared" si="48"/>
        <v>193.51732627292375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158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158.00000000000003</v>
      </c>
      <c r="O43" s="14">
        <f>N43*VLOOKUP('Données projet'!$B$9,Paramètres!$A$1:$I$89,3,0)*VLOOKUP('Données projet'!$B$9,Paramètres!$A$1:$I$89,5,0)</f>
        <v>142.95840000000004</v>
      </c>
      <c r="P43" s="14">
        <f t="shared" si="33"/>
        <v>36.973906370811264</v>
      </c>
      <c r="Q43" s="22">
        <f t="shared" si="53"/>
        <v>313.38210026249641</v>
      </c>
      <c r="R43" s="62">
        <f t="shared" si="0"/>
        <v>606.71543359582972</v>
      </c>
      <c r="S43" s="62">
        <f ca="1">AVERAGE(OFFSET($R$3,0,0,'Données projet'!$E$9+1,1))-AVERAGE(OFFSET($H$3,0,0,'Données projet'!$E$9+1,1))</f>
        <v>303.73499739059076</v>
      </c>
      <c r="T43" s="62">
        <f t="shared" si="34"/>
        <v>172.32171001882188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42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192</v>
      </c>
      <c r="AG43" s="13">
        <f>VLOOKUP(A43,'Données projet'!$A$61:$I$81,9,0)</f>
        <v>9.6</v>
      </c>
      <c r="AH43" s="13">
        <f t="array" ref="AH43">INDEX(AG:AG,MIN(IF(ISNUMBER(AG43:AG239),ROW(AG43:AG239),"")))</f>
        <v>9.6</v>
      </c>
      <c r="AI43" s="14">
        <f>IF('Données projet'!$A$62&gt;35,AI42+AH43-AQ42,IF(A43&lt;'Données projet'!$A$62,$AF$205^A43,IF(A43='Données projet'!$A$62,'Données projet'!$B$62,AI42+AH43-AQ42)))</f>
        <v>191.99999999999991</v>
      </c>
      <c r="AJ43" s="14">
        <f>AI43*VLOOKUP('Données projet'!$B$10,Paramètres!$A$1:$I$89,3,0)*VLOOKUP('Données projet'!$B$10,Paramètres!$A$1:$I$89,5,0)</f>
        <v>140.77439999999993</v>
      </c>
      <c r="AK43" s="14">
        <f t="shared" si="35"/>
        <v>36.474352666172102</v>
      </c>
      <c r="AL43" s="22">
        <f t="shared" si="4"/>
        <v>308.70824422691629</v>
      </c>
      <c r="AM43" s="62">
        <f t="shared" si="5"/>
        <v>602.04157756024961</v>
      </c>
      <c r="AN43" s="62">
        <f ca="1">AVERAGE(OFFSET($AM$3,0,0,'Données projet'!$E$10+1,1))-AVERAGE(OFFSET($H$3,0,0,'Données projet'!$E$10+1,1))</f>
        <v>215.66498680344858</v>
      </c>
      <c r="AO43" s="62">
        <f t="shared" si="36"/>
        <v>199.86715787211114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284.8</v>
      </c>
      <c r="BB43" s="13">
        <f>VLOOKUP(A43,'Données projet'!$A$87:$I$107,9,0)</f>
        <v>13.150000000000006</v>
      </c>
      <c r="BC43" s="13">
        <f t="array" ref="BC43">INDEX(BB:BB,MIN(IF(ISNUMBER(BB43:BB239),ROW(BB43:BB239),"")))</f>
        <v>13.150000000000006</v>
      </c>
      <c r="BD43" s="13">
        <f>IF('Données projet'!$A$88&gt;35,BD42+BC43-BL42,IF(A43&lt;'Données projet'!$A$88,$BA$205^A43,IF(A43='Données projet'!$A$88,'Données projet'!$B$88,BD42+BC43-BL42)))</f>
        <v>284.79999999999995</v>
      </c>
      <c r="BE43" s="14">
        <f>BD43*VLOOKUP('Données projet'!$B$11,Paramètres!$A$1:$I$89,3,0)*VLOOKUP('Données projet'!$B$11,Paramètres!$A$1:$I$89,5,0)</f>
        <v>170.31039999999999</v>
      </c>
      <c r="BF43" s="14">
        <f t="shared" si="37"/>
        <v>43.159535477110296</v>
      </c>
      <c r="BG43" s="22">
        <f t="shared" si="7"/>
        <v>371.79347095596705</v>
      </c>
      <c r="BH43" s="62">
        <f t="shared" si="8"/>
        <v>665.12680428930037</v>
      </c>
      <c r="BI43" s="62">
        <f ca="1">AVERAGE(OFFSET($BH$3,0,0,'Données projet'!$E$11+1,1))-AVERAGE(OFFSET($H$3,0,0,'Données projet'!$E$11+1,1))</f>
        <v>155.11440101086782</v>
      </c>
      <c r="BJ43" s="62">
        <f t="shared" si="38"/>
        <v>239.53454701506638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11.071525465780764</v>
      </c>
      <c r="BQ43" s="23">
        <f>EXP(-LN(2)/25)*BQ42+(1-EXP(-LN(2)/25))/(LN(2)/25)*Calculateur!BL43*Calculateur!BN43*VLOOKUP('Données projet'!$B$11,Paramètres!$A$1:$I$89,3,0)*0.475*44/12</f>
        <v>5.4884374139585619</v>
      </c>
      <c r="BR43" s="23">
        <f>EXP(-LN(2)/2)*BR42+(1-EXP(-LN(2)/2))/(LN(2)/2)*BL43*BO43*VLOOKUP('Données projet'!$B$11,Paramètres!$A$1:$I$89,3,0)*0.475*44/12</f>
        <v>9.2154471091474385E-2</v>
      </c>
      <c r="BS43" s="24">
        <f t="shared" si="9"/>
        <v>16.652117350830803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284.8</v>
      </c>
      <c r="BW43" s="13">
        <f>VLOOKUP(A43,'Données projet'!$A$113:$I$133,9,0)</f>
        <v>13.150000000000006</v>
      </c>
      <c r="BX43" s="13">
        <f t="array" ref="BX43">INDEX(BW:BW,MIN(IF(ISNUMBER(BW43:BW239),ROW(BW43:BW239),"")))</f>
        <v>13.150000000000006</v>
      </c>
      <c r="BY43" s="13">
        <f>IF('Données projet'!$A$114&gt;35,BY42+BX43-CG42,IF(A43&lt;'Données projet'!$A$114,$BV$205^A43,IF(A43='Données projet'!$A$114,'Données projet'!$B$114,BY42+BX43-CG42)))</f>
        <v>284.79999999999995</v>
      </c>
      <c r="BZ43" s="14">
        <f>BY43*VLOOKUP('Données projet'!$B$12,Paramètres!$A$1:$I$89,3,0)*VLOOKUP('Données projet'!$B$12,Paramètres!$A$1:$I$89,5,0)</f>
        <v>170.31039999999999</v>
      </c>
      <c r="CA43" s="14">
        <f t="shared" si="39"/>
        <v>43.159535477110296</v>
      </c>
      <c r="CB43" s="22">
        <f t="shared" si="10"/>
        <v>371.79347095596705</v>
      </c>
      <c r="CC43" s="62">
        <f t="shared" si="11"/>
        <v>665.12680428930037</v>
      </c>
      <c r="CD43" s="62">
        <f ca="1">AVERAGE(OFFSET($CC$3,0,0,'Données projet'!$E$12+1,1))-AVERAGE(OFFSET($H$3,0,0,'Données projet'!$E$12+1,1))</f>
        <v>155.11440101086782</v>
      </c>
      <c r="CE43" s="62">
        <f t="shared" si="40"/>
        <v>239.53454701506638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11.071525465780764</v>
      </c>
      <c r="CL43" s="23">
        <f>EXP(-LN(2)/25)*CL42+(1-EXP(-LN(2)/25))/(LN(2)/25)*Calculateur!CG43*Calculateur!CI43*VLOOKUP('Données projet'!$B$12,Paramètres!$A$1:$I$89,3,0)*0.475*44/12</f>
        <v>5.4884374139585619</v>
      </c>
      <c r="CM43" s="23">
        <f>EXP(-LN(2)/2)*CM42+(1-EXP(-LN(2)/2))/(LN(2)/2)*CG43*CJ43*VLOOKUP('Données projet'!$B$12,Paramètres!$A$1:$I$89,3,0)*0.475*44/12</f>
        <v>9.2154471091474385E-2</v>
      </c>
      <c r="CN43" s="24">
        <f t="shared" si="12"/>
        <v>16.652117350830803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152</v>
      </c>
      <c r="CR43" s="13">
        <f>VLOOKUP(A43,'Données projet'!$A$139:$I$159,9,0)</f>
        <v>7.6</v>
      </c>
      <c r="CS43" s="13">
        <f t="array" ref="CS43">INDEX(CR:CR,MIN(IF(ISNUMBER(CR43:CR239),ROW(CR43:CR239),"")))</f>
        <v>7.6</v>
      </c>
      <c r="CT43" s="13">
        <f>IF('Données projet'!$A$140&gt;35,CT42+CS43-DB42,IF(A43&lt;'Données projet'!$A$140,$CQ$205^A43,IF(A43='Données projet'!$A$140,'Données projet'!$B$140,CT42+CS43-DB42)))</f>
        <v>152.00000000000003</v>
      </c>
      <c r="CU43" s="18">
        <f>CT43*VLOOKUP('Données projet'!$B$13,Paramètres!$A$1:$I$89,3,0)*VLOOKUP('Données projet'!$B$13,Paramètres!$A$1:$I$89,5,0)</f>
        <v>123.30240000000003</v>
      </c>
      <c r="CV43" s="14">
        <f t="shared" si="41"/>
        <v>32.444008665071891</v>
      </c>
      <c r="CW43" s="22">
        <f t="shared" si="13"/>
        <v>271.25832842500023</v>
      </c>
      <c r="CX43" s="62">
        <f t="shared" si="14"/>
        <v>564.59166175833354</v>
      </c>
      <c r="CY43" s="62">
        <f ca="1">AVERAGE(OFFSET($CX$3,0,0,'Données projet'!$E$13+1,1))-AVERAGE(OFFSET($H$3,0,0,'Données projet'!$E$13+1,1))</f>
        <v>191.03017979797141</v>
      </c>
      <c r="CZ43" s="62">
        <f t="shared" si="42"/>
        <v>222.78252111624278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152.56410256410257</v>
      </c>
      <c r="DM43" s="13">
        <f>VLOOKUP(A43,'Données projet'!$A$165:$I$185,9,0)</f>
        <v>5.8974358974359005</v>
      </c>
      <c r="DN43" s="13">
        <f t="array" ref="DN43">INDEX(DM:DM,MIN(IF(ISNUMBER(DM43:DM239),ROW(DM43:DM239),"")))</f>
        <v>5.8974358974359005</v>
      </c>
      <c r="DO43" s="13">
        <f>IF('Données projet'!$A$166&gt;35,DO42+DN43-DW42,IF(A43&lt;'Données projet'!$A$166,$DL$205^A43,IF(A43='Données projet'!$A$166,'Données projet'!$B$166,DO42+DN43-DW42)))</f>
        <v>152.56410256410263</v>
      </c>
      <c r="DP43" s="18">
        <f>DO43*VLOOKUP('Données projet'!$B$14,Paramètres!$A$1:$I$89,3,0)*VLOOKUP('Données projet'!$B$14,Paramètres!$A$1:$I$89,5,0)</f>
        <v>145.18000000000006</v>
      </c>
      <c r="DQ43" s="14">
        <f t="shared" si="43"/>
        <v>37.481149901429063</v>
      </c>
      <c r="DR43" s="22">
        <f t="shared" si="16"/>
        <v>318.13483607832239</v>
      </c>
      <c r="DS43" s="62">
        <f t="shared" si="17"/>
        <v>611.46816941165571</v>
      </c>
      <c r="DT43" s="62">
        <f ca="1">AVERAGE(OFFSET($DS$3,0,0,'Données projet'!$E$14+1,1))-AVERAGE(OFFSET($H$3,0,0,'Données projet'!$E$14+1,1))</f>
        <v>260.93525280373063</v>
      </c>
      <c r="DU43" s="62">
        <f t="shared" si="44"/>
        <v>206.83968452163816</v>
      </c>
      <c r="DV43" s="16">
        <f>IF(ISNA(VLOOKUP(A43,'Données projet'!$A$165:$I$185,3,0)),0,VLOOKUP(A43,'Données projet'!$A$165:$I$185,3,0))</f>
        <v>3</v>
      </c>
      <c r="DW43" s="16">
        <f>IF(ISNA(VLOOKUP(A43,'Données projet'!$A$165:$I$185,4,0)),0,VLOOKUP(A43,'Données projet'!$A$165:$I$185,4,0))</f>
        <v>28.846153846153847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62.666666666666671</v>
      </c>
      <c r="EH43" s="13">
        <f>VLOOKUP(A43,'Données projet'!$A$191:$I$211,9,0)</f>
        <v>1.9254166666666663</v>
      </c>
      <c r="EI43" s="13">
        <f t="array" ref="EI43">INDEX(EH:EH,MIN(IF(ISNUMBER(EH43:EH239),ROW(EH43:EH239),"")))</f>
        <v>1.9254166666666663</v>
      </c>
      <c r="EJ43" s="13">
        <f>IF('Données projet'!$A$192&gt;35,EJ42+EI43-ER42,IF(A43&lt;'Données projet'!$A$192,$EG$205^A43,IF(A43='Données projet'!$A$192,'Données projet'!$B$192,EJ42+EI43-ER42)))</f>
        <v>62.666666666666671</v>
      </c>
      <c r="EK43" s="18">
        <f>EJ43*VLOOKUP('Données projet'!$B$15,Paramètres!$A$1:$I$89,3,0)*VLOOKUP('Données projet'!$B$15,Paramètres!$A$1:$I$89,5,0)</f>
        <v>72.192000000000007</v>
      </c>
      <c r="EL43" s="14">
        <f t="shared" si="45"/>
        <v>20.216827725253115</v>
      </c>
      <c r="EM43" s="22">
        <f t="shared" si="19"/>
        <v>160.94537495481583</v>
      </c>
      <c r="EN43" s="62">
        <f t="shared" si="20"/>
        <v>454.27870828814912</v>
      </c>
      <c r="EO43" s="62">
        <f ca="1">AVERAGE(OFFSET($EN$3,0,0,'Données projet'!$E$15+1,1))-AVERAGE(OFFSET($H$3,0,0,'Données projet'!$E$15+1,1))</f>
        <v>118.01099353898547</v>
      </c>
      <c r="EP43" s="62">
        <f t="shared" si="46"/>
        <v>103.17146760845947</v>
      </c>
      <c r="EQ43" s="16">
        <f>IF(ISNA(VLOOKUP(A43,'Données projet'!$A$191:$I$211,3,0)),0,VLOOKUP(A43,'Données projet'!$A$191:$I$211,3,0))</f>
        <v>2</v>
      </c>
      <c r="ER43" s="16">
        <f>IF(ISNA(VLOOKUP(A43,'Données projet'!$A$191:$I$211,4,0)),0,VLOOKUP(A43,'Données projet'!$A$191:$I$211,4,0))</f>
        <v>7.0000000000000009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158</v>
      </c>
      <c r="FC43" s="13">
        <f>VLOOKUP(A43,'Données projet'!$A$217:$I$237,9,0)</f>
        <v>8.4</v>
      </c>
      <c r="FD43" s="13">
        <f t="array" ref="FD43">INDEX(FC:FC,MIN(IF(ISNUMBER(FC43:FC239),ROW(FC43:FC239),"")))</f>
        <v>8.4</v>
      </c>
      <c r="FE43" s="13">
        <f>IF('Données projet'!$A$218&gt;35,FE42+FD43-FM42,IF(A43&lt;'Données projet'!$A$218,$FB$205^A43,IF(A43='Données projet'!$A$218,'Données projet'!$B$218,FE42+FD43-FM42)))</f>
        <v>158.00000000000003</v>
      </c>
      <c r="FF43" s="18">
        <f>FE43*VLOOKUP('Données projet'!$B$16,Paramètres!$A$1:$I$89,3,0)*VLOOKUP('Données projet'!$B$16,Paramètres!$A$1:$I$89,5,0)</f>
        <v>157.74720000000002</v>
      </c>
      <c r="FG43" s="14">
        <f t="shared" si="47"/>
        <v>40.33397149392006</v>
      </c>
      <c r="FH43" s="22">
        <f t="shared" si="22"/>
        <v>344.99137368524407</v>
      </c>
      <c r="FI43" s="62">
        <f t="shared" si="23"/>
        <v>638.32470701857733</v>
      </c>
      <c r="FJ43" s="62">
        <f ca="1">AVERAGE(OFFSET($FI$3,0,0,'Données projet'!$E$16+1,1))-AVERAGE(OFFSET($H$3,0,0,'Données projet'!$E$16+1,1))</f>
        <v>343.71044073996887</v>
      </c>
      <c r="FK43" s="62">
        <f t="shared" si="48"/>
        <v>193.51732627292375</v>
      </c>
      <c r="FL43" s="16">
        <f>IF(ISNA(VLOOKUP(A43,'Données projet'!$A$217:$I$237,3,0)),0,VLOOKUP(A43,'Données projet'!$A$217:$I$237,3,0))</f>
        <v>2</v>
      </c>
      <c r="FM43" s="16">
        <f>IF(ISNA(VLOOKUP(A43,'Données projet'!$A$217:$I$237,4,0)),0,VLOOKUP(A43,'Données projet'!$A$217:$I$237,4,0))</f>
        <v>42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112.55712000000003</v>
      </c>
      <c r="P44" s="14">
        <f t="shared" si="33"/>
        <v>29.932653834140599</v>
      </c>
      <c r="Q44" s="22">
        <f t="shared" si="53"/>
        <v>248.16968942779496</v>
      </c>
      <c r="R44" s="62">
        <f t="shared" si="0"/>
        <v>541.50302276112825</v>
      </c>
      <c r="S44" s="62">
        <f ca="1">AVERAGE(OFFSET($R$3,0,0,'Données projet'!$E$9+1,1))-AVERAGE(OFFSET($H$3,0,0,'Données projet'!$E$9+1,1))</f>
        <v>303.73499739059076</v>
      </c>
      <c r="T44" s="62">
        <f t="shared" si="34"/>
        <v>172.32171001882188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8.1999999999999993</v>
      </c>
      <c r="AI44" s="14">
        <f>IF('Données projet'!$A$62&gt;35,AI43+AH44-AQ43,IF(A44&lt;'Données projet'!$A$62,$AF$205^A44,IF(A44='Données projet'!$A$62,'Données projet'!$B$62,AI43+AH44-AQ43)))</f>
        <v>200.1999999999999</v>
      </c>
      <c r="AJ44" s="14">
        <f>AI44*VLOOKUP('Données projet'!$B$10,Paramètres!$A$1:$I$89,3,0)*VLOOKUP('Données projet'!$B$10,Paramètres!$A$1:$I$89,5,0)</f>
        <v>146.78663999999992</v>
      </c>
      <c r="AK44" s="14">
        <f t="shared" si="35"/>
        <v>37.847420227803333</v>
      </c>
      <c r="AL44" s="22">
        <f t="shared" si="4"/>
        <v>321.57098823009062</v>
      </c>
      <c r="AM44" s="62">
        <f t="shared" si="5"/>
        <v>614.90432156342399</v>
      </c>
      <c r="AN44" s="62">
        <f ca="1">AVERAGE(OFFSET($AM$3,0,0,'Données projet'!$E$10+1,1))-AVERAGE(OFFSET($H$3,0,0,'Données projet'!$E$10+1,1))</f>
        <v>215.66498680344858</v>
      </c>
      <c r="AO44" s="62">
        <f t="shared" si="36"/>
        <v>199.86715787211114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13.25</v>
      </c>
      <c r="BD44" s="13">
        <f>IF('Données projet'!$A$88&gt;35,BD43+BC44-BL43,IF(A44&lt;'Données projet'!$A$88,$BA$205^A44,IF(A44='Données projet'!$A$88,'Données projet'!$B$88,BD43+BC44-BL43)))</f>
        <v>298.04999999999995</v>
      </c>
      <c r="BE44" s="14">
        <f>BD44*VLOOKUP('Données projet'!$B$11,Paramètres!$A$1:$I$89,3,0)*VLOOKUP('Données projet'!$B$11,Paramètres!$A$1:$I$89,5,0)</f>
        <v>178.23389999999998</v>
      </c>
      <c r="BF44" s="14">
        <f t="shared" si="37"/>
        <v>44.929036256162249</v>
      </c>
      <c r="BG44" s="22">
        <f t="shared" si="7"/>
        <v>388.67544731281583</v>
      </c>
      <c r="BH44" s="62">
        <f t="shared" si="8"/>
        <v>682.00878064614915</v>
      </c>
      <c r="BI44" s="62">
        <f ca="1">AVERAGE(OFFSET($BH$3,0,0,'Données projet'!$E$11+1,1))-AVERAGE(OFFSET($H$3,0,0,'Données projet'!$E$11+1,1))</f>
        <v>155.11440101086782</v>
      </c>
      <c r="BJ44" s="62">
        <f t="shared" si="38"/>
        <v>239.53454701506638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10.854419604360539</v>
      </c>
      <c r="BQ44" s="23">
        <f>EXP(-LN(2)/25)*BQ43+(1-EXP(-LN(2)/25))/(LN(2)/25)*Calculateur!BL44*Calculateur!BN44*VLOOKUP('Données projet'!$B$11,Paramètres!$A$1:$I$89,3,0)*0.475*44/12</f>
        <v>5.3383558042494856</v>
      </c>
      <c r="BR44" s="23">
        <f>EXP(-LN(2)/2)*BR43+(1-EXP(-LN(2)/2))/(LN(2)/2)*BL44*BO44*VLOOKUP('Données projet'!$B$11,Paramètres!$A$1:$I$89,3,0)*0.475*44/12</f>
        <v>6.5163051425441196E-2</v>
      </c>
      <c r="BS44" s="24">
        <f t="shared" si="9"/>
        <v>16.257938460035465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13.25</v>
      </c>
      <c r="BY44" s="13">
        <f>IF('Données projet'!$A$114&gt;35,BY43+BX44-CG43,IF(A44&lt;'Données projet'!$A$114,$BV$205^A44,IF(A44='Données projet'!$A$114,'Données projet'!$B$114,BY43+BX44-CG43)))</f>
        <v>298.04999999999995</v>
      </c>
      <c r="BZ44" s="14">
        <f>BY44*VLOOKUP('Données projet'!$B$12,Paramètres!$A$1:$I$89,3,0)*VLOOKUP('Données projet'!$B$12,Paramètres!$A$1:$I$89,5,0)</f>
        <v>178.23389999999998</v>
      </c>
      <c r="CA44" s="14">
        <f t="shared" si="39"/>
        <v>44.929036256162249</v>
      </c>
      <c r="CB44" s="22">
        <f t="shared" si="10"/>
        <v>388.67544731281583</v>
      </c>
      <c r="CC44" s="62">
        <f t="shared" si="11"/>
        <v>682.00878064614915</v>
      </c>
      <c r="CD44" s="62">
        <f ca="1">AVERAGE(OFFSET($CC$3,0,0,'Données projet'!$E$12+1,1))-AVERAGE(OFFSET($H$3,0,0,'Données projet'!$E$12+1,1))</f>
        <v>155.11440101086782</v>
      </c>
      <c r="CE44" s="62">
        <f t="shared" si="40"/>
        <v>239.53454701506638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10.854419604360539</v>
      </c>
      <c r="CL44" s="23">
        <f>EXP(-LN(2)/25)*CL43+(1-EXP(-LN(2)/25))/(LN(2)/25)*Calculateur!CG44*Calculateur!CI44*VLOOKUP('Données projet'!$B$12,Paramètres!$A$1:$I$89,3,0)*0.475*44/12</f>
        <v>5.3383558042494856</v>
      </c>
      <c r="CM44" s="23">
        <f>EXP(-LN(2)/2)*CM43+(1-EXP(-LN(2)/2))/(LN(2)/2)*CG44*CJ44*VLOOKUP('Données projet'!$B$12,Paramètres!$A$1:$I$89,3,0)*0.475*44/12</f>
        <v>6.5163051425441196E-2</v>
      </c>
      <c r="CN44" s="24">
        <f t="shared" si="12"/>
        <v>16.257938460035465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7.6</v>
      </c>
      <c r="CT44" s="13">
        <f>IF('Données projet'!$A$140&gt;35,CT43+CS44-DB43,IF(A44&lt;'Données projet'!$A$140,$CQ$205^A44,IF(A44='Données projet'!$A$140,'Données projet'!$B$140,CT43+CS44-DB43)))</f>
        <v>159.60000000000002</v>
      </c>
      <c r="CU44" s="18">
        <f>CT44*VLOOKUP('Données projet'!$B$13,Paramètres!$A$1:$I$89,3,0)*VLOOKUP('Données projet'!$B$13,Paramètres!$A$1:$I$89,5,0)</f>
        <v>129.46752000000004</v>
      </c>
      <c r="CV44" s="14">
        <f t="shared" si="41"/>
        <v>33.873289462262882</v>
      </c>
      <c r="CW44" s="22">
        <f t="shared" si="13"/>
        <v>284.48524314677451</v>
      </c>
      <c r="CX44" s="62">
        <f t="shared" si="14"/>
        <v>577.81857648010782</v>
      </c>
      <c r="CY44" s="62">
        <f ca="1">AVERAGE(OFFSET($CX$3,0,0,'Données projet'!$E$13+1,1))-AVERAGE(OFFSET($H$3,0,0,'Données projet'!$E$13+1,1))</f>
        <v>191.03017979797141</v>
      </c>
      <c r="CZ44" s="62">
        <f t="shared" si="42"/>
        <v>222.78252111624278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5.7692307692307683</v>
      </c>
      <c r="DO44" s="13">
        <f>IF('Données projet'!$A$166&gt;35,DO43+DN44-DW43,IF(A44&lt;'Données projet'!$A$166,$DL$205^A44,IF(A44='Données projet'!$A$166,'Données projet'!$B$166,DO43+DN44-DW43)))</f>
        <v>129.48717948717956</v>
      </c>
      <c r="DP44" s="18">
        <f>DO44*VLOOKUP('Données projet'!$B$14,Paramètres!$A$1:$I$89,3,0)*VLOOKUP('Données projet'!$B$14,Paramètres!$A$1:$I$89,5,0)</f>
        <v>123.22000000000007</v>
      </c>
      <c r="DQ44" s="14">
        <f t="shared" si="43"/>
        <v>32.42485010818541</v>
      </c>
      <c r="DR44" s="22">
        <f t="shared" si="16"/>
        <v>271.08144727175642</v>
      </c>
      <c r="DS44" s="62">
        <f t="shared" si="17"/>
        <v>564.41478060508973</v>
      </c>
      <c r="DT44" s="62">
        <f ca="1">AVERAGE(OFFSET($DS$3,0,0,'Données projet'!$E$14+1,1))-AVERAGE(OFFSET($H$3,0,0,'Données projet'!$E$14+1,1))</f>
        <v>260.93525280373063</v>
      </c>
      <c r="DU44" s="62">
        <f t="shared" si="44"/>
        <v>206.83968452163816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1.8720833333333331</v>
      </c>
      <c r="EJ44" s="13">
        <f>IF('Données projet'!$A$192&gt;35,EJ43+EI44-ER43,IF(A44&lt;'Données projet'!$A$192,$EG$205^A44,IF(A44='Données projet'!$A$192,'Données projet'!$B$192,EJ43+EI44-ER43)))</f>
        <v>57.538750000000007</v>
      </c>
      <c r="EK44" s="18">
        <f>EJ44*VLOOKUP('Données projet'!$B$15,Paramètres!$A$1:$I$89,3,0)*VLOOKUP('Données projet'!$B$15,Paramètres!$A$1:$I$89,5,0)</f>
        <v>66.28464000000001</v>
      </c>
      <c r="EL44" s="14">
        <f t="shared" si="45"/>
        <v>18.747894674998243</v>
      </c>
      <c r="EM44" s="22">
        <f t="shared" si="19"/>
        <v>148.09833122562196</v>
      </c>
      <c r="EN44" s="62">
        <f t="shared" si="20"/>
        <v>441.43166455895528</v>
      </c>
      <c r="EO44" s="62">
        <f ca="1">AVERAGE(OFFSET($EN$3,0,0,'Données projet'!$E$15+1,1))-AVERAGE(OFFSET($H$3,0,0,'Données projet'!$E$15+1,1))</f>
        <v>118.01099353898547</v>
      </c>
      <c r="EP44" s="62">
        <f t="shared" si="46"/>
        <v>103.17146760845947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8.4</v>
      </c>
      <c r="FE44" s="13">
        <f>IF('Données projet'!$A$218&gt;35,FE43+FD44-FM43,IF(A44&lt;'Données projet'!$A$218,$FB$205^A44,IF(A44='Données projet'!$A$218,'Données projet'!$B$218,FE43+FD44-FM43)))</f>
        <v>124.40000000000003</v>
      </c>
      <c r="FF44" s="18">
        <f>FE44*VLOOKUP('Données projet'!$B$16,Paramètres!$A$1:$I$89,3,0)*VLOOKUP('Données projet'!$B$16,Paramètres!$A$1:$I$89,5,0)</f>
        <v>124.20096000000005</v>
      </c>
      <c r="FG44" s="14">
        <f t="shared" si="47"/>
        <v>32.65283344355251</v>
      </c>
      <c r="FH44" s="22">
        <f t="shared" si="22"/>
        <v>273.18702358085397</v>
      </c>
      <c r="FI44" s="62">
        <f t="shared" si="23"/>
        <v>566.52035691418723</v>
      </c>
      <c r="FJ44" s="62">
        <f ca="1">AVERAGE(OFFSET($FI$3,0,0,'Données projet'!$E$16+1,1))-AVERAGE(OFFSET($H$3,0,0,'Données projet'!$E$16+1,1))</f>
        <v>343.71044073996887</v>
      </c>
      <c r="FK44" s="62">
        <f t="shared" si="48"/>
        <v>193.51732627292375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120.15744000000002</v>
      </c>
      <c r="P45" s="14">
        <f t="shared" si="33"/>
        <v>31.711716786129845</v>
      </c>
      <c r="Q45" s="22">
        <f t="shared" si="53"/>
        <v>264.50544806917623</v>
      </c>
      <c r="R45" s="62">
        <f t="shared" si="0"/>
        <v>557.83878140250954</v>
      </c>
      <c r="S45" s="62">
        <f ca="1">AVERAGE(OFFSET($R$3,0,0,'Données projet'!$E$9+1,1))-AVERAGE(OFFSET($H$3,0,0,'Données projet'!$E$9+1,1))</f>
        <v>303.73499739059076</v>
      </c>
      <c r="T45" s="62">
        <f t="shared" si="34"/>
        <v>172.32171001882188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8.1999999999999993</v>
      </c>
      <c r="AI45" s="14">
        <f>IF('Données projet'!$A$62&gt;35,AI44+AH45-AQ44,IF(A45&lt;'Données projet'!$A$62,$AF$205^A45,IF(A45='Données projet'!$A$62,'Données projet'!$B$62,AI44+AH45-AQ44)))</f>
        <v>208.39999999999989</v>
      </c>
      <c r="AJ45" s="14">
        <f>AI45*VLOOKUP('Données projet'!$B$10,Paramètres!$A$1:$I$89,3,0)*VLOOKUP('Données projet'!$B$10,Paramètres!$A$1:$I$89,5,0)</f>
        <v>152.79887999999994</v>
      </c>
      <c r="AK45" s="14">
        <f t="shared" si="35"/>
        <v>39.213955159388576</v>
      </c>
      <c r="AL45" s="22">
        <f t="shared" si="4"/>
        <v>334.42235456926829</v>
      </c>
      <c r="AM45" s="62">
        <f t="shared" si="5"/>
        <v>627.75568790260161</v>
      </c>
      <c r="AN45" s="62">
        <f ca="1">AVERAGE(OFFSET($AM$3,0,0,'Données projet'!$E$10+1,1))-AVERAGE(OFFSET($H$3,0,0,'Données projet'!$E$10+1,1))</f>
        <v>215.66498680344858</v>
      </c>
      <c r="AO45" s="62">
        <f t="shared" si="36"/>
        <v>199.86715787211114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311.3</v>
      </c>
      <c r="BB45" s="13">
        <f>VLOOKUP(A45,'Données projet'!$A$87:$I$107,9,0)</f>
        <v>13.25</v>
      </c>
      <c r="BC45" s="13">
        <f t="array" ref="BC45">INDEX(BB:BB,MIN(IF(ISNUMBER(BB45:BB241),ROW(BB45:BB241),"")))</f>
        <v>13.25</v>
      </c>
      <c r="BD45" s="13">
        <f>IF('Données projet'!$A$88&gt;35,BD44+BC45-BL44,IF(A45&lt;'Données projet'!$A$88,$BA$205^A45,IF(A45='Données projet'!$A$88,'Données projet'!$B$88,BD44+BC45-BL44)))</f>
        <v>311.29999999999995</v>
      </c>
      <c r="BE45" s="14">
        <f>BD45*VLOOKUP('Données projet'!$B$11,Paramètres!$A$1:$I$89,3,0)*VLOOKUP('Données projet'!$B$11,Paramètres!$A$1:$I$89,5,0)</f>
        <v>186.15739999999997</v>
      </c>
      <c r="BF45" s="14">
        <f t="shared" si="37"/>
        <v>46.689400986642845</v>
      </c>
      <c r="BG45" s="22">
        <f t="shared" si="7"/>
        <v>405.54151171840289</v>
      </c>
      <c r="BH45" s="62">
        <f t="shared" si="8"/>
        <v>698.8748450517362</v>
      </c>
      <c r="BI45" s="62">
        <f ca="1">AVERAGE(OFFSET($BH$3,0,0,'Données projet'!$E$11+1,1))-AVERAGE(OFFSET($H$3,0,0,'Données projet'!$E$11+1,1))</f>
        <v>155.11440101086782</v>
      </c>
      <c r="BJ45" s="62">
        <f t="shared" si="38"/>
        <v>239.53454701506638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10.641571056461263</v>
      </c>
      <c r="BQ45" s="23">
        <f>EXP(-LN(2)/25)*BQ44+(1-EXP(-LN(2)/25))/(LN(2)/25)*Calculateur!BL45*Calculateur!BN45*VLOOKUP('Données projet'!$B$11,Paramètres!$A$1:$I$89,3,0)*0.475*44/12</f>
        <v>5.1923781840503525</v>
      </c>
      <c r="BR45" s="23">
        <f>EXP(-LN(2)/2)*BR44+(1-EXP(-LN(2)/2))/(LN(2)/2)*BL45*BO45*VLOOKUP('Données projet'!$B$11,Paramètres!$A$1:$I$89,3,0)*0.475*44/12</f>
        <v>4.6077235545737193E-2</v>
      </c>
      <c r="BS45" s="24">
        <f t="shared" si="9"/>
        <v>15.880026476057353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>
        <f>VLOOKUP(A45,'Données projet'!$A$113:$I$133,2,0)</f>
        <v>311.3</v>
      </c>
      <c r="BW45" s="13">
        <f>VLOOKUP(A45,'Données projet'!$A$113:$I$133,9,0)</f>
        <v>13.25</v>
      </c>
      <c r="BX45" s="13">
        <f t="array" ref="BX45">INDEX(BW:BW,MIN(IF(ISNUMBER(BW45:BW241),ROW(BW45:BW241),"")))</f>
        <v>13.25</v>
      </c>
      <c r="BY45" s="13">
        <f>IF('Données projet'!$A$114&gt;35,BY44+BX45-CG44,IF(A45&lt;'Données projet'!$A$114,$BV$205^A45,IF(A45='Données projet'!$A$114,'Données projet'!$B$114,BY44+BX45-CG44)))</f>
        <v>311.29999999999995</v>
      </c>
      <c r="BZ45" s="14">
        <f>BY45*VLOOKUP('Données projet'!$B$12,Paramètres!$A$1:$I$89,3,0)*VLOOKUP('Données projet'!$B$12,Paramètres!$A$1:$I$89,5,0)</f>
        <v>186.15739999999997</v>
      </c>
      <c r="CA45" s="14">
        <f t="shared" si="39"/>
        <v>46.689400986642845</v>
      </c>
      <c r="CB45" s="22">
        <f t="shared" si="10"/>
        <v>405.54151171840289</v>
      </c>
      <c r="CC45" s="62">
        <f t="shared" si="11"/>
        <v>698.8748450517362</v>
      </c>
      <c r="CD45" s="62">
        <f ca="1">AVERAGE(OFFSET($CC$3,0,0,'Données projet'!$E$12+1,1))-AVERAGE(OFFSET($H$3,0,0,'Données projet'!$E$12+1,1))</f>
        <v>155.11440101086782</v>
      </c>
      <c r="CE45" s="62">
        <f t="shared" si="40"/>
        <v>239.53454701506638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10.641571056461263</v>
      </c>
      <c r="CL45" s="23">
        <f>EXP(-LN(2)/25)*CL44+(1-EXP(-LN(2)/25))/(LN(2)/25)*Calculateur!CG45*Calculateur!CI45*VLOOKUP('Données projet'!$B$12,Paramètres!$A$1:$I$89,3,0)*0.475*44/12</f>
        <v>5.1923781840503525</v>
      </c>
      <c r="CM45" s="23">
        <f>EXP(-LN(2)/2)*CM44+(1-EXP(-LN(2)/2))/(LN(2)/2)*CG45*CJ45*VLOOKUP('Données projet'!$B$12,Paramètres!$A$1:$I$89,3,0)*0.475*44/12</f>
        <v>4.6077235545737193E-2</v>
      </c>
      <c r="CN45" s="24">
        <f t="shared" si="12"/>
        <v>15.880026476057353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7.6</v>
      </c>
      <c r="CT45" s="13">
        <f>IF('Données projet'!$A$140&gt;35,CT44+CS45-DB44,IF(A45&lt;'Données projet'!$A$140,$CQ$205^A45,IF(A45='Données projet'!$A$140,'Données projet'!$B$140,CT44+CS45-DB44)))</f>
        <v>167.20000000000002</v>
      </c>
      <c r="CU45" s="18">
        <f>CT45*VLOOKUP('Données projet'!$B$13,Paramètres!$A$1:$I$89,3,0)*VLOOKUP('Données projet'!$B$13,Paramètres!$A$1:$I$89,5,0)</f>
        <v>135.63264000000004</v>
      </c>
      <c r="CV45" s="14">
        <f t="shared" si="41"/>
        <v>35.294666721954265</v>
      </c>
      <c r="CW45" s="22">
        <f t="shared" si="13"/>
        <v>297.69839254073707</v>
      </c>
      <c r="CX45" s="62">
        <f t="shared" si="14"/>
        <v>591.03172587407039</v>
      </c>
      <c r="CY45" s="62">
        <f ca="1">AVERAGE(OFFSET($CX$3,0,0,'Données projet'!$E$13+1,1))-AVERAGE(OFFSET($H$3,0,0,'Données projet'!$E$13+1,1))</f>
        <v>191.03017979797141</v>
      </c>
      <c r="CZ45" s="62">
        <f t="shared" si="42"/>
        <v>222.78252111624278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5.7692307692307683</v>
      </c>
      <c r="DO45" s="13">
        <f>IF('Données projet'!$A$166&gt;35,DO44+DN45-DW44,IF(A45&lt;'Données projet'!$A$166,$DL$205^A45,IF(A45='Données projet'!$A$166,'Données projet'!$B$166,DO44+DN45-DW44)))</f>
        <v>135.25641025641033</v>
      </c>
      <c r="DP45" s="18">
        <f>DO45*VLOOKUP('Données projet'!$B$14,Paramètres!$A$1:$I$89,3,0)*VLOOKUP('Données projet'!$B$14,Paramètres!$A$1:$I$89,5,0)</f>
        <v>128.71000000000009</v>
      </c>
      <c r="DQ45" s="14">
        <f t="shared" si="43"/>
        <v>33.698105419900322</v>
      </c>
      <c r="DR45" s="22">
        <f t="shared" si="16"/>
        <v>282.86078360632649</v>
      </c>
      <c r="DS45" s="62">
        <f t="shared" si="17"/>
        <v>576.19411693965981</v>
      </c>
      <c r="DT45" s="62">
        <f ca="1">AVERAGE(OFFSET($DS$3,0,0,'Données projet'!$E$14+1,1))-AVERAGE(OFFSET($H$3,0,0,'Données projet'!$E$14+1,1))</f>
        <v>260.93525280373063</v>
      </c>
      <c r="DU45" s="62">
        <f t="shared" si="44"/>
        <v>206.83968452163816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1.8720833333333331</v>
      </c>
      <c r="EJ45" s="13">
        <f>IF('Données projet'!$A$192&gt;35,EJ44+EI45-ER44,IF(A45&lt;'Données projet'!$A$192,$EG$205^A45,IF(A45='Données projet'!$A$192,'Données projet'!$B$192,EJ44+EI45-ER44)))</f>
        <v>59.410833333333343</v>
      </c>
      <c r="EK45" s="18">
        <f>EJ45*VLOOKUP('Données projet'!$B$15,Paramètres!$A$1:$I$89,3,0)*VLOOKUP('Données projet'!$B$15,Paramètres!$A$1:$I$89,5,0)</f>
        <v>68.441280000000006</v>
      </c>
      <c r="EL45" s="14">
        <f t="shared" si="45"/>
        <v>19.285866604126806</v>
      </c>
      <c r="EM45" s="22">
        <f t="shared" si="19"/>
        <v>152.79144700218751</v>
      </c>
      <c r="EN45" s="62">
        <f t="shared" si="20"/>
        <v>446.12478033552082</v>
      </c>
      <c r="EO45" s="62">
        <f ca="1">AVERAGE(OFFSET($EN$3,0,0,'Données projet'!$E$15+1,1))-AVERAGE(OFFSET($H$3,0,0,'Données projet'!$E$15+1,1))</f>
        <v>118.01099353898547</v>
      </c>
      <c r="EP45" s="62">
        <f t="shared" si="46"/>
        <v>103.17146760845947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8.4</v>
      </c>
      <c r="FE45" s="13">
        <f>IF('Données projet'!$A$218&gt;35,FE44+FD45-FM44,IF(A45&lt;'Données projet'!$A$218,$FB$205^A45,IF(A45='Données projet'!$A$218,'Données projet'!$B$218,FE44+FD45-FM44)))</f>
        <v>132.80000000000004</v>
      </c>
      <c r="FF45" s="18">
        <f>FE45*VLOOKUP('Données projet'!$B$16,Paramètres!$A$1:$I$89,3,0)*VLOOKUP('Données projet'!$B$16,Paramètres!$A$1:$I$89,5,0)</f>
        <v>132.58752000000007</v>
      </c>
      <c r="FG45" s="14">
        <f t="shared" si="47"/>
        <v>34.593571694787713</v>
      </c>
      <c r="FH45" s="22">
        <f t="shared" si="22"/>
        <v>291.17373470175534</v>
      </c>
      <c r="FI45" s="62">
        <f t="shared" si="23"/>
        <v>584.50706803508865</v>
      </c>
      <c r="FJ45" s="62">
        <f ca="1">AVERAGE(OFFSET($FI$3,0,0,'Données projet'!$E$16+1,1))-AVERAGE(OFFSET($H$3,0,0,'Données projet'!$E$16+1,1))</f>
        <v>343.71044073996887</v>
      </c>
      <c r="FK45" s="62">
        <f t="shared" si="48"/>
        <v>193.51732627292375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127.75776000000003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574.15179438724942</v>
      </c>
      <c r="S46" s="62">
        <f ca="1">AVERAGE(OFFSET($R$3,0,0,'Données projet'!$E$9+1,1))-AVERAGE(OFFSET($H$3,0,0,'Données projet'!$E$9+1,1))</f>
        <v>303.73499739059076</v>
      </c>
      <c r="T46" s="62">
        <f t="shared" si="34"/>
        <v>172.32171001882188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8.1999999999999993</v>
      </c>
      <c r="AI46" s="14">
        <f>IF('Données projet'!$A$62&gt;35,AI45+AH46-AQ45,IF(A46&lt;'Données projet'!$A$62,$AF$205^A46,IF(A46='Données projet'!$A$62,'Données projet'!$B$62,AI45+AH46-AQ45)))</f>
        <v>216.59999999999988</v>
      </c>
      <c r="AJ46" s="14">
        <f>AI46*VLOOKUP('Données projet'!$B$10,Paramètres!$A$1:$I$89,3,0)*VLOOKUP('Données projet'!$B$10,Paramètres!$A$1:$I$89,5,0)</f>
        <v>158.8111199999999</v>
      </c>
      <c r="AK46" s="14">
        <f t="shared" si="35"/>
        <v>40.57424391712447</v>
      </c>
      <c r="AL46" s="22">
        <f t="shared" si="4"/>
        <v>347.26284215565829</v>
      </c>
      <c r="AM46" s="62">
        <f t="shared" si="5"/>
        <v>640.59617548899155</v>
      </c>
      <c r="AN46" s="62">
        <f ca="1">AVERAGE(OFFSET($AM$3,0,0,'Données projet'!$E$10+1,1))-AVERAGE(OFFSET($H$3,0,0,'Données projet'!$E$10+1,1))</f>
        <v>215.66498680344858</v>
      </c>
      <c r="AO46" s="62">
        <f t="shared" si="36"/>
        <v>199.86715787211114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13.25</v>
      </c>
      <c r="BD46" s="13">
        <f>IF('Données projet'!$A$88&gt;35,BD45+BC46-BL45,IF(A46&lt;'Données projet'!$A$88,$BA$205^A46,IF(A46='Données projet'!$A$88,'Données projet'!$B$88,BD45+BC46-BL45)))</f>
        <v>324.54999999999995</v>
      </c>
      <c r="BE46" s="14">
        <f>BD46*VLOOKUP('Données projet'!$B$11,Paramètres!$A$1:$I$89,3,0)*VLOOKUP('Données projet'!$B$11,Paramètres!$A$1:$I$89,5,0)</f>
        <v>194.08089999999999</v>
      </c>
      <c r="BF46" s="14">
        <f t="shared" si="37"/>
        <v>48.441062987070808</v>
      </c>
      <c r="BG46" s="22">
        <f t="shared" si="7"/>
        <v>422.39241886914829</v>
      </c>
      <c r="BH46" s="62">
        <f t="shared" si="8"/>
        <v>715.72575220248154</v>
      </c>
      <c r="BI46" s="62">
        <f ca="1">AVERAGE(OFFSET($BH$3,0,0,'Données projet'!$E$11+1,1))-AVERAGE(OFFSET($H$3,0,0,'Données projet'!$E$11+1,1))</f>
        <v>155.11440101086782</v>
      </c>
      <c r="BJ46" s="62">
        <f t="shared" si="38"/>
        <v>239.53454701506638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10.432896338761497</v>
      </c>
      <c r="BQ46" s="23">
        <f>EXP(-LN(2)/25)*BQ45+(1-EXP(-LN(2)/25))/(LN(2)/25)*Calculateur!BL46*Calculateur!BN46*VLOOKUP('Données projet'!$B$11,Paramètres!$A$1:$I$89,3,0)*0.475*44/12</f>
        <v>5.050392329552194</v>
      </c>
      <c r="BR46" s="23">
        <f>EXP(-LN(2)/2)*BR45+(1-EXP(-LN(2)/2))/(LN(2)/2)*BL46*BO46*VLOOKUP('Données projet'!$B$11,Paramètres!$A$1:$I$89,3,0)*0.475*44/12</f>
        <v>3.2581525712720598E-2</v>
      </c>
      <c r="BS46" s="24">
        <f t="shared" si="9"/>
        <v>15.515870194026411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13.25</v>
      </c>
      <c r="BY46" s="13">
        <f>IF('Données projet'!$A$114&gt;35,BY45+BX46-CG45,IF(A46&lt;'Données projet'!$A$114,$BV$205^A46,IF(A46='Données projet'!$A$114,'Données projet'!$B$114,BY45+BX46-CG45)))</f>
        <v>324.54999999999995</v>
      </c>
      <c r="BZ46" s="14">
        <f>BY46*VLOOKUP('Données projet'!$B$12,Paramètres!$A$1:$I$89,3,0)*VLOOKUP('Données projet'!$B$12,Paramètres!$A$1:$I$89,5,0)</f>
        <v>194.08089999999999</v>
      </c>
      <c r="CA46" s="14">
        <f t="shared" si="39"/>
        <v>48.441062987070808</v>
      </c>
      <c r="CB46" s="22">
        <f t="shared" si="10"/>
        <v>422.39241886914829</v>
      </c>
      <c r="CC46" s="62">
        <f t="shared" si="11"/>
        <v>715.72575220248154</v>
      </c>
      <c r="CD46" s="62">
        <f ca="1">AVERAGE(OFFSET($CC$3,0,0,'Données projet'!$E$12+1,1))-AVERAGE(OFFSET($H$3,0,0,'Données projet'!$E$12+1,1))</f>
        <v>155.11440101086782</v>
      </c>
      <c r="CE46" s="62">
        <f t="shared" si="40"/>
        <v>239.53454701506638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10.432896338761497</v>
      </c>
      <c r="CL46" s="23">
        <f>EXP(-LN(2)/25)*CL45+(1-EXP(-LN(2)/25))/(LN(2)/25)*Calculateur!CG46*Calculateur!CI46*VLOOKUP('Données projet'!$B$12,Paramètres!$A$1:$I$89,3,0)*0.475*44/12</f>
        <v>5.050392329552194</v>
      </c>
      <c r="CM46" s="23">
        <f>EXP(-LN(2)/2)*CM45+(1-EXP(-LN(2)/2))/(LN(2)/2)*CG46*CJ46*VLOOKUP('Données projet'!$B$12,Paramètres!$A$1:$I$89,3,0)*0.475*44/12</f>
        <v>3.2581525712720598E-2</v>
      </c>
      <c r="CN46" s="24">
        <f t="shared" si="12"/>
        <v>15.515870194026411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7.6</v>
      </c>
      <c r="CT46" s="13">
        <f>IF('Données projet'!$A$140&gt;35,CT45+CS46-DB45,IF(A46&lt;'Données projet'!$A$140,$CQ$205^A46,IF(A46='Données projet'!$A$140,'Données projet'!$B$140,CT45+CS46-DB45)))</f>
        <v>174.8</v>
      </c>
      <c r="CU46" s="18">
        <f>CT46*VLOOKUP('Données projet'!$B$13,Paramètres!$A$1:$I$89,3,0)*VLOOKUP('Données projet'!$B$13,Paramètres!$A$1:$I$89,5,0)</f>
        <v>141.79776000000004</v>
      </c>
      <c r="CV46" s="14">
        <f t="shared" si="41"/>
        <v>36.708540735279854</v>
      </c>
      <c r="CW46" s="22">
        <f t="shared" si="13"/>
        <v>310.89847378061245</v>
      </c>
      <c r="CX46" s="62">
        <f t="shared" si="14"/>
        <v>604.23180711394571</v>
      </c>
      <c r="CY46" s="62">
        <f ca="1">AVERAGE(OFFSET($CX$3,0,0,'Données projet'!$E$13+1,1))-AVERAGE(OFFSET($H$3,0,0,'Données projet'!$E$13+1,1))</f>
        <v>191.03017979797141</v>
      </c>
      <c r="CZ46" s="62">
        <f t="shared" si="42"/>
        <v>222.78252111624278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5.7692307692307683</v>
      </c>
      <c r="DO46" s="13">
        <f>IF('Données projet'!$A$166&gt;35,DO45+DN46-DW45,IF(A46&lt;'Données projet'!$A$166,$DL$205^A46,IF(A46='Données projet'!$A$166,'Données projet'!$B$166,DO45+DN46-DW45)))</f>
        <v>141.02564102564111</v>
      </c>
      <c r="DP46" s="18">
        <f>DO46*VLOOKUP('Données projet'!$B$14,Paramètres!$A$1:$I$89,3,0)*VLOOKUP('Données projet'!$B$14,Paramètres!$A$1:$I$89,5,0)</f>
        <v>134.20000000000007</v>
      </c>
      <c r="DQ46" s="14">
        <f t="shared" si="43"/>
        <v>34.965052756825415</v>
      </c>
      <c r="DR46" s="22">
        <f t="shared" si="16"/>
        <v>294.62913355147111</v>
      </c>
      <c r="DS46" s="62">
        <f t="shared" si="17"/>
        <v>587.96246688480437</v>
      </c>
      <c r="DT46" s="62">
        <f ca="1">AVERAGE(OFFSET($DS$3,0,0,'Données projet'!$E$14+1,1))-AVERAGE(OFFSET($H$3,0,0,'Données projet'!$E$14+1,1))</f>
        <v>260.93525280373063</v>
      </c>
      <c r="DU46" s="62">
        <f t="shared" si="44"/>
        <v>206.83968452163816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1.8720833333333331</v>
      </c>
      <c r="EJ46" s="13">
        <f>IF('Données projet'!$A$192&gt;35,EJ45+EI46-ER45,IF(A46&lt;'Données projet'!$A$192,$EG$205^A46,IF(A46='Données projet'!$A$192,'Données projet'!$B$192,EJ45+EI46-ER45)))</f>
        <v>61.282916666666679</v>
      </c>
      <c r="EK46" s="18">
        <f>EJ46*VLOOKUP('Données projet'!$B$15,Paramètres!$A$1:$I$89,3,0)*VLOOKUP('Données projet'!$B$15,Paramètres!$A$1:$I$89,5,0)</f>
        <v>70.597920000000002</v>
      </c>
      <c r="EL46" s="14">
        <f t="shared" si="45"/>
        <v>19.821868598485771</v>
      </c>
      <c r="EM46" s="22">
        <f t="shared" si="19"/>
        <v>157.48113180902939</v>
      </c>
      <c r="EN46" s="62">
        <f t="shared" si="20"/>
        <v>450.81446514236268</v>
      </c>
      <c r="EO46" s="62">
        <f ca="1">AVERAGE(OFFSET($EN$3,0,0,'Données projet'!$E$15+1,1))-AVERAGE(OFFSET($H$3,0,0,'Données projet'!$E$15+1,1))</f>
        <v>118.01099353898547</v>
      </c>
      <c r="EP46" s="62">
        <f t="shared" si="46"/>
        <v>103.17146760845947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8.4</v>
      </c>
      <c r="FE46" s="13">
        <f>IF('Données projet'!$A$218&gt;35,FE45+FD46-FM45,IF(A46&lt;'Données projet'!$A$218,$FB$205^A46,IF(A46='Données projet'!$A$218,'Données projet'!$B$218,FE45+FD46-FM45)))</f>
        <v>141.20000000000005</v>
      </c>
      <c r="FF46" s="18">
        <f>FE46*VLOOKUP('Données projet'!$B$16,Paramètres!$A$1:$I$89,3,0)*VLOOKUP('Données projet'!$B$16,Paramètres!$A$1:$I$89,5,0)</f>
        <v>140.97408000000007</v>
      </c>
      <c r="FG46" s="14">
        <f t="shared" si="47"/>
        <v>36.520063416291229</v>
      </c>
      <c r="FH46" s="22">
        <f t="shared" si="22"/>
        <v>309.13563311670737</v>
      </c>
      <c r="FI46" s="62">
        <f t="shared" si="23"/>
        <v>602.46896645004063</v>
      </c>
      <c r="FJ46" s="62">
        <f ca="1">AVERAGE(OFFSET($FI$3,0,0,'Données projet'!$E$16+1,1))-AVERAGE(OFFSET($H$3,0,0,'Données projet'!$E$16+1,1))</f>
        <v>343.71044073996887</v>
      </c>
      <c r="FK46" s="62">
        <f t="shared" si="48"/>
        <v>193.51732627292375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135.35808000000006</v>
      </c>
      <c r="P47" s="14">
        <f t="shared" si="33"/>
        <v>35.231528980112834</v>
      </c>
      <c r="Q47" s="22">
        <f t="shared" si="53"/>
        <v>297.11023564036327</v>
      </c>
      <c r="R47" s="62">
        <f t="shared" si="0"/>
        <v>590.44356897369653</v>
      </c>
      <c r="S47" s="62">
        <f ca="1">AVERAGE(OFFSET($R$3,0,0,'Données projet'!$E$9+1,1))-AVERAGE(OFFSET($H$3,0,0,'Données projet'!$E$9+1,1))</f>
        <v>303.73499739059076</v>
      </c>
      <c r="T47" s="62">
        <f t="shared" si="34"/>
        <v>172.32171001882188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8.1999999999999993</v>
      </c>
      <c r="AI47" s="14">
        <f>IF('Données projet'!$A$62&gt;35,AI46+AH47-AQ46,IF(A47&lt;'Données projet'!$A$62,$AF$205^A47,IF(A47='Données projet'!$A$62,'Données projet'!$B$62,AI46+AH47-AQ46)))</f>
        <v>224.79999999999987</v>
      </c>
      <c r="AJ47" s="14">
        <f>AI47*VLOOKUP('Données projet'!$B$10,Paramètres!$A$1:$I$89,3,0)*VLOOKUP('Données projet'!$B$10,Paramètres!$A$1:$I$89,5,0)</f>
        <v>164.82335999999989</v>
      </c>
      <c r="AK47" s="14">
        <f t="shared" si="35"/>
        <v>41.928550039461143</v>
      </c>
      <c r="AL47" s="22">
        <f t="shared" si="4"/>
        <v>360.09290998539467</v>
      </c>
      <c r="AM47" s="62">
        <f t="shared" si="5"/>
        <v>653.42624331872798</v>
      </c>
      <c r="AN47" s="62">
        <f ca="1">AVERAGE(OFFSET($AM$3,0,0,'Données projet'!$E$10+1,1))-AVERAGE(OFFSET($H$3,0,0,'Données projet'!$E$10+1,1))</f>
        <v>215.66498680344858</v>
      </c>
      <c r="AO47" s="62">
        <f t="shared" si="36"/>
        <v>199.86715787211114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>
        <f>VLOOKUP(A47,'Données projet'!$A$87:$I$107,2,0)</f>
        <v>337.8</v>
      </c>
      <c r="BB47" s="13">
        <f>VLOOKUP(A47,'Données projet'!$A$87:$I$107,9,0)</f>
        <v>13.25</v>
      </c>
      <c r="BC47" s="13">
        <f t="array" ref="BC47">INDEX(BB:BB,MIN(IF(ISNUMBER(BB47:BB243),ROW(BB47:BB243),"")))</f>
        <v>13.25</v>
      </c>
      <c r="BD47" s="13">
        <f>IF('Données projet'!$A$88&gt;35,BD46+BC47-BL46,IF(A47&lt;'Données projet'!$A$88,$BA$205^A47,IF(A47='Données projet'!$A$88,'Données projet'!$B$88,BD46+BC47-BL46)))</f>
        <v>337.79999999999995</v>
      </c>
      <c r="BE47" s="14">
        <f>BD47*VLOOKUP('Données projet'!$B$11,Paramètres!$A$1:$I$89,3,0)*VLOOKUP('Données projet'!$B$11,Paramètres!$A$1:$I$89,5,0)</f>
        <v>202.00439999999998</v>
      </c>
      <c r="BF47" s="14">
        <f t="shared" si="37"/>
        <v>50.184418192658534</v>
      </c>
      <c r="BG47" s="22">
        <f t="shared" si="7"/>
        <v>439.22885835221359</v>
      </c>
      <c r="BH47" s="62">
        <f t="shared" si="8"/>
        <v>732.56219168554685</v>
      </c>
      <c r="BI47" s="62">
        <f ca="1">AVERAGE(OFFSET($BH$3,0,0,'Données projet'!$E$11+1,1))-AVERAGE(OFFSET($H$3,0,0,'Données projet'!$E$11+1,1))</f>
        <v>155.11440101086782</v>
      </c>
      <c r="BJ47" s="62">
        <f t="shared" si="38"/>
        <v>239.53454701506638</v>
      </c>
      <c r="BK47" s="16">
        <f>IF(ISNA(VLOOKUP(A47,'Données projet'!$A$87:$I$107,3,0)),0,VLOOKUP(A47,'Données projet'!$A$87:$I$107,3,0))</f>
        <v>5</v>
      </c>
      <c r="BL47" s="16">
        <f>IF(ISNA(VLOOKUP(A47,'Données projet'!$A$87:$I$107,4,0)),0,VLOOKUP(A47,'Données projet'!$A$87:$I$107,4,0))</f>
        <v>337.8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10.228313604996814</v>
      </c>
      <c r="BQ47" s="23">
        <f>EXP(-LN(2)/25)*BQ46+(1-EXP(-LN(2)/25))/(LN(2)/25)*Calculateur!BL47*Calculateur!BN47*VLOOKUP('Données projet'!$B$11,Paramètres!$A$1:$I$89,3,0)*0.475*44/12</f>
        <v>4.9122890857119996</v>
      </c>
      <c r="BR47" s="23">
        <f>EXP(-LN(2)/2)*BR46+(1-EXP(-LN(2)/2))/(LN(2)/2)*BL47*BO47*VLOOKUP('Données projet'!$B$11,Paramètres!$A$1:$I$89,3,0)*0.475*44/12</f>
        <v>2.3038617772868596E-2</v>
      </c>
      <c r="BS47" s="24">
        <f t="shared" si="9"/>
        <v>15.163641308481683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>
        <f>VLOOKUP(A47,'Données projet'!$A$113:$I$133,2,0)</f>
        <v>337.8</v>
      </c>
      <c r="BW47" s="13">
        <f>VLOOKUP(A47,'Données projet'!$A$113:$I$133,9,0)</f>
        <v>13.25</v>
      </c>
      <c r="BX47" s="13">
        <f t="array" ref="BX47">INDEX(BW:BW,MIN(IF(ISNUMBER(BW47:BW243),ROW(BW47:BW243),"")))</f>
        <v>13.25</v>
      </c>
      <c r="BY47" s="13">
        <f>IF('Données projet'!$A$114&gt;35,BY46+BX47-CG46,IF(A47&lt;'Données projet'!$A$114,$BV$205^A47,IF(A47='Données projet'!$A$114,'Données projet'!$B$114,BY46+BX47-CG46)))</f>
        <v>337.79999999999995</v>
      </c>
      <c r="BZ47" s="14">
        <f>BY47*VLOOKUP('Données projet'!$B$12,Paramètres!$A$1:$I$89,3,0)*VLOOKUP('Données projet'!$B$12,Paramètres!$A$1:$I$89,5,0)</f>
        <v>202.00439999999998</v>
      </c>
      <c r="CA47" s="14">
        <f t="shared" si="39"/>
        <v>50.184418192658534</v>
      </c>
      <c r="CB47" s="22">
        <f t="shared" si="10"/>
        <v>439.22885835221359</v>
      </c>
      <c r="CC47" s="62">
        <f t="shared" si="11"/>
        <v>732.56219168554685</v>
      </c>
      <c r="CD47" s="62">
        <f ca="1">AVERAGE(OFFSET($CC$3,0,0,'Données projet'!$E$12+1,1))-AVERAGE(OFFSET($H$3,0,0,'Données projet'!$E$12+1,1))</f>
        <v>155.11440101086782</v>
      </c>
      <c r="CE47" s="62">
        <f t="shared" si="40"/>
        <v>239.53454701506638</v>
      </c>
      <c r="CF47" s="16">
        <f>IF(ISNA(VLOOKUP(A47,'Données projet'!$A$113:$I$133,3,0)),0,VLOOKUP(A47,'Données projet'!$A$113:$I$133,3,0))</f>
        <v>5</v>
      </c>
      <c r="CG47" s="16">
        <f>IF(ISNA(VLOOKUP(A47,'Données projet'!$A$113:$I$133,4,0)),0,VLOOKUP(A47,'Données projet'!$A$113:$I$133,4,0))</f>
        <v>337.8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10.228313604996814</v>
      </c>
      <c r="CL47" s="23">
        <f>EXP(-LN(2)/25)*CL46+(1-EXP(-LN(2)/25))/(LN(2)/25)*Calculateur!CG47*Calculateur!CI47*VLOOKUP('Données projet'!$B$12,Paramètres!$A$1:$I$89,3,0)*0.475*44/12</f>
        <v>4.9122890857119996</v>
      </c>
      <c r="CM47" s="23">
        <f>EXP(-LN(2)/2)*CM46+(1-EXP(-LN(2)/2))/(LN(2)/2)*CG47*CJ47*VLOOKUP('Données projet'!$B$12,Paramètres!$A$1:$I$89,3,0)*0.475*44/12</f>
        <v>2.3038617772868596E-2</v>
      </c>
      <c r="CN47" s="24">
        <f t="shared" si="12"/>
        <v>15.163641308481683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7.6</v>
      </c>
      <c r="CT47" s="13">
        <f>IF('Données projet'!$A$140&gt;35,CT46+CS47-DB46,IF(A47&lt;'Données projet'!$A$140,$CQ$205^A47,IF(A47='Données projet'!$A$140,'Données projet'!$B$140,CT46+CS47-DB46)))</f>
        <v>182.4</v>
      </c>
      <c r="CU47" s="18">
        <f>CT47*VLOOKUP('Données projet'!$B$13,Paramètres!$A$1:$I$89,3,0)*VLOOKUP('Données projet'!$B$13,Paramètres!$A$1:$I$89,5,0)</f>
        <v>147.96288000000001</v>
      </c>
      <c r="CV47" s="14">
        <f t="shared" si="41"/>
        <v>38.115275017059226</v>
      </c>
      <c r="CW47" s="22">
        <f t="shared" si="13"/>
        <v>324.0861199880448</v>
      </c>
      <c r="CX47" s="62">
        <f t="shared" si="14"/>
        <v>617.41945332137811</v>
      </c>
      <c r="CY47" s="62">
        <f ca="1">AVERAGE(OFFSET($CX$3,0,0,'Données projet'!$E$13+1,1))-AVERAGE(OFFSET($H$3,0,0,'Données projet'!$E$13+1,1))</f>
        <v>191.03017979797141</v>
      </c>
      <c r="CZ47" s="62">
        <f t="shared" si="42"/>
        <v>222.78252111624278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5.7692307692307683</v>
      </c>
      <c r="DO47" s="13">
        <f>IF('Données projet'!$A$166&gt;35,DO46+DN47-DW46,IF(A47&lt;'Données projet'!$A$166,$DL$205^A47,IF(A47='Données projet'!$A$166,'Données projet'!$B$166,DO46+DN47-DW46)))</f>
        <v>146.79487179487188</v>
      </c>
      <c r="DP47" s="18">
        <f>DO47*VLOOKUP('Données projet'!$B$14,Paramètres!$A$1:$I$89,3,0)*VLOOKUP('Données projet'!$B$14,Paramètres!$A$1:$I$89,5,0)</f>
        <v>139.69000000000008</v>
      </c>
      <c r="DQ47" s="14">
        <f t="shared" si="43"/>
        <v>36.225979688604163</v>
      </c>
      <c r="DR47" s="22">
        <f t="shared" si="16"/>
        <v>306.3869979576524</v>
      </c>
      <c r="DS47" s="62">
        <f t="shared" si="17"/>
        <v>599.72033129098577</v>
      </c>
      <c r="DT47" s="62">
        <f ca="1">AVERAGE(OFFSET($DS$3,0,0,'Données projet'!$E$14+1,1))-AVERAGE(OFFSET($H$3,0,0,'Données projet'!$E$14+1,1))</f>
        <v>260.93525280373063</v>
      </c>
      <c r="DU47" s="62">
        <f t="shared" si="44"/>
        <v>206.83968452163816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1.8720833333333331</v>
      </c>
      <c r="EJ47" s="13">
        <f>IF('Données projet'!$A$192&gt;35,EJ46+EI47-ER46,IF(A47&lt;'Données projet'!$A$192,$EG$205^A47,IF(A47='Données projet'!$A$192,'Données projet'!$B$192,EJ46+EI47-ER46)))</f>
        <v>63.155000000000015</v>
      </c>
      <c r="EK47" s="18">
        <f>EJ47*VLOOKUP('Données projet'!$B$15,Paramètres!$A$1:$I$89,3,0)*VLOOKUP('Données projet'!$B$15,Paramètres!$A$1:$I$89,5,0)</f>
        <v>72.754560000000012</v>
      </c>
      <c r="EL47" s="14">
        <f t="shared" si="45"/>
        <v>20.355967742631517</v>
      </c>
      <c r="EM47" s="22">
        <f t="shared" si="19"/>
        <v>162.16750248508325</v>
      </c>
      <c r="EN47" s="62">
        <f t="shared" si="20"/>
        <v>455.50083581841659</v>
      </c>
      <c r="EO47" s="62">
        <f ca="1">AVERAGE(OFFSET($EN$3,0,0,'Données projet'!$E$15+1,1))-AVERAGE(OFFSET($H$3,0,0,'Données projet'!$E$15+1,1))</f>
        <v>118.01099353898547</v>
      </c>
      <c r="EP47" s="62">
        <f t="shared" si="46"/>
        <v>103.17146760845947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8.4</v>
      </c>
      <c r="FE47" s="13">
        <f>IF('Données projet'!$A$218&gt;35,FE46+FD47-FM46,IF(A47&lt;'Données projet'!$A$218,$FB$205^A47,IF(A47='Données projet'!$A$218,'Données projet'!$B$218,FE46+FD47-FM46)))</f>
        <v>149.60000000000005</v>
      </c>
      <c r="FF47" s="18">
        <f>FE47*VLOOKUP('Données projet'!$B$16,Paramètres!$A$1:$I$89,3,0)*VLOOKUP('Données projet'!$B$16,Paramètres!$A$1:$I$89,5,0)</f>
        <v>149.36064000000005</v>
      </c>
      <c r="FG47" s="14">
        <f t="shared" si="47"/>
        <v>38.433252665260959</v>
      </c>
      <c r="FH47" s="22">
        <f t="shared" si="22"/>
        <v>327.07436305866293</v>
      </c>
      <c r="FI47" s="62">
        <f t="shared" si="23"/>
        <v>620.4076963919963</v>
      </c>
      <c r="FJ47" s="62">
        <f ca="1">AVERAGE(OFFSET($FI$3,0,0,'Données projet'!$E$16+1,1))-AVERAGE(OFFSET($H$3,0,0,'Données projet'!$E$16+1,1))</f>
        <v>343.71044073996887</v>
      </c>
      <c r="FK47" s="62">
        <f t="shared" si="48"/>
        <v>193.51732627292375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606.71543359582972</v>
      </c>
      <c r="S48" s="62">
        <f ca="1">AVERAGE(OFFSET($R$3,0,0,'Données projet'!$E$9+1,1))-AVERAGE(OFFSET($H$3,0,0,'Données projet'!$E$9+1,1))</f>
        <v>303.73499739059076</v>
      </c>
      <c r="T48" s="62">
        <f t="shared" si="34"/>
        <v>172.32171001882188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233</v>
      </c>
      <c r="AG48" s="13">
        <f>VLOOKUP(A48,'Données projet'!$A$61:$I$81,9,0)</f>
        <v>8.1999999999999993</v>
      </c>
      <c r="AH48" s="13">
        <f t="array" ref="AH48">INDEX(AG:AG,MIN(IF(ISNUMBER(AG48:AG244),ROW(AG48:AG244),"")))</f>
        <v>8.1999999999999993</v>
      </c>
      <c r="AI48" s="14">
        <f>IF('Données projet'!$A$62&gt;35,AI47+AH48-AQ47,IF(A48&lt;'Données projet'!$A$62,$AF$205^A48,IF(A48='Données projet'!$A$62,'Données projet'!$B$62,AI47+AH48-AQ47)))</f>
        <v>232.99999999999986</v>
      </c>
      <c r="AJ48" s="14">
        <f>AI48*VLOOKUP('Données projet'!$B$10,Paramètres!$A$1:$I$89,3,0)*VLOOKUP('Données projet'!$B$10,Paramètres!$A$1:$I$89,5,0)</f>
        <v>170.83559999999991</v>
      </c>
      <c r="AK48" s="14">
        <f t="shared" si="35"/>
        <v>43.277116749159646</v>
      </c>
      <c r="AL48" s="22">
        <f t="shared" si="4"/>
        <v>372.91298167145288</v>
      </c>
      <c r="AM48" s="62">
        <f t="shared" si="5"/>
        <v>666.2463150047862</v>
      </c>
      <c r="AN48" s="62">
        <f ca="1">AVERAGE(OFFSET($AM$3,0,0,'Données projet'!$E$10+1,1))-AVERAGE(OFFSET($H$3,0,0,'Données projet'!$E$10+1,1))</f>
        <v>215.66498680344858</v>
      </c>
      <c r="AO48" s="62">
        <f t="shared" si="36"/>
        <v>199.86715787211114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50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-5.6843418860808015E-14</v>
      </c>
      <c r="BE48" s="14">
        <f>BD48*VLOOKUP('Données projet'!$B$11,Paramètres!$A$1:$I$89,3,0)*VLOOKUP('Données projet'!$B$11,Paramètres!$A$1:$I$89,5,0)</f>
        <v>-3.3992364478763198E-14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155.11440101086782</v>
      </c>
      <c r="BJ48" s="62">
        <f t="shared" si="38"/>
        <v>239.53454701506638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10.027742613858109</v>
      </c>
      <c r="BQ48" s="23">
        <f>EXP(-LN(2)/25)*BQ47+(1-EXP(-LN(2)/25))/(LN(2)/25)*Calculateur!BL48*Calculateur!BN48*VLOOKUP('Données projet'!$B$11,Paramètres!$A$1:$I$89,3,0)*0.475*44/12</f>
        <v>4.7779622823371488</v>
      </c>
      <c r="BR48" s="23">
        <f>EXP(-LN(2)/2)*BR47+(1-EXP(-LN(2)/2))/(LN(2)/2)*BL48*BO48*VLOOKUP('Données projet'!$B$11,Paramètres!$A$1:$I$89,3,0)*0.475*44/12</f>
        <v>1.6290762856360299E-2</v>
      </c>
      <c r="BS48" s="24">
        <f t="shared" si="9"/>
        <v>14.82199565905162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-5.6843418860808015E-14</v>
      </c>
      <c r="BZ48" s="14">
        <f>BY48*VLOOKUP('Données projet'!$B$12,Paramètres!$A$1:$I$89,3,0)*VLOOKUP('Données projet'!$B$12,Paramètres!$A$1:$I$89,5,0)</f>
        <v>-3.3992364478763198E-14</v>
      </c>
      <c r="CA48" s="14" t="e">
        <f t="shared" si="39"/>
        <v>#NUM!</v>
      </c>
      <c r="CB48" s="22" t="e">
        <f t="shared" si="10"/>
        <v>#NUM!</v>
      </c>
      <c r="CC48" s="62" t="e">
        <f t="shared" si="11"/>
        <v>#NUM!</v>
      </c>
      <c r="CD48" s="62">
        <f ca="1">AVERAGE(OFFSET($CC$3,0,0,'Données projet'!$E$12+1,1))-AVERAGE(OFFSET($H$3,0,0,'Données projet'!$E$12+1,1))</f>
        <v>155.11440101086782</v>
      </c>
      <c r="CE48" s="62">
        <f t="shared" si="40"/>
        <v>239.53454701506638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10.027742613858109</v>
      </c>
      <c r="CL48" s="23">
        <f>EXP(-LN(2)/25)*CL47+(1-EXP(-LN(2)/25))/(LN(2)/25)*Calculateur!CG48*Calculateur!CI48*VLOOKUP('Données projet'!$B$12,Paramètres!$A$1:$I$89,3,0)*0.475*44/12</f>
        <v>4.7779622823371488</v>
      </c>
      <c r="CM48" s="23">
        <f>EXP(-LN(2)/2)*CM47+(1-EXP(-LN(2)/2))/(LN(2)/2)*CG48*CJ48*VLOOKUP('Données projet'!$B$12,Paramètres!$A$1:$I$89,3,0)*0.475*44/12</f>
        <v>1.6290762856360299E-2</v>
      </c>
      <c r="CN48" s="24">
        <f t="shared" si="12"/>
        <v>14.82199565905162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190</v>
      </c>
      <c r="CR48" s="13">
        <f>VLOOKUP(A48,'Données projet'!$A$139:$I$159,9,0)</f>
        <v>7.6</v>
      </c>
      <c r="CS48" s="13">
        <f t="array" ref="CS48">INDEX(CR:CR,MIN(IF(ISNUMBER(CR48:CR244),ROW(CR48:CR244),"")))</f>
        <v>7.6</v>
      </c>
      <c r="CT48" s="13">
        <f>IF('Données projet'!$A$140&gt;35,CT47+CS48-DB47,IF(A48&lt;'Données projet'!$A$140,$CQ$205^A48,IF(A48='Données projet'!$A$140,'Données projet'!$B$140,CT47+CS48-DB47)))</f>
        <v>190</v>
      </c>
      <c r="CU48" s="18">
        <f>CT48*VLOOKUP('Données projet'!$B$13,Paramètres!$A$1:$I$89,3,0)*VLOOKUP('Données projet'!$B$13,Paramètres!$A$1:$I$89,5,0)</f>
        <v>154.12800000000001</v>
      </c>
      <c r="CV48" s="14">
        <f t="shared" si="41"/>
        <v>39.515201075361155</v>
      </c>
      <c r="CW48" s="22">
        <f t="shared" si="13"/>
        <v>337.26190853958735</v>
      </c>
      <c r="CX48" s="62">
        <f t="shared" si="14"/>
        <v>630.59524187292072</v>
      </c>
      <c r="CY48" s="62">
        <f ca="1">AVERAGE(OFFSET($CX$3,0,0,'Données projet'!$E$13+1,1))-AVERAGE(OFFSET($H$3,0,0,'Données projet'!$E$13+1,1))</f>
        <v>191.03017979797141</v>
      </c>
      <c r="CZ48" s="62">
        <f t="shared" si="42"/>
        <v>222.78252111624278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152.56410256410257</v>
      </c>
      <c r="DM48" s="13">
        <f>VLOOKUP(A48,'Données projet'!$A$165:$I$185,9,0)</f>
        <v>5.7692307692307683</v>
      </c>
      <c r="DN48" s="13">
        <f t="array" ref="DN48">INDEX(DM:DM,MIN(IF(ISNUMBER(DM48:DM244),ROW(DM48:DM244),"")))</f>
        <v>5.7692307692307683</v>
      </c>
      <c r="DO48" s="13">
        <f>IF('Données projet'!$A$166&gt;35,DO47+DN48-DW47,IF(A48&lt;'Données projet'!$A$166,$DL$205^A48,IF(A48='Données projet'!$A$166,'Données projet'!$B$166,DO47+DN48-DW47)))</f>
        <v>152.56410256410265</v>
      </c>
      <c r="DP48" s="18">
        <f>DO48*VLOOKUP('Données projet'!$B$14,Paramètres!$A$1:$I$89,3,0)*VLOOKUP('Données projet'!$B$14,Paramètres!$A$1:$I$89,5,0)</f>
        <v>145.18000000000009</v>
      </c>
      <c r="DQ48" s="14">
        <f t="shared" si="43"/>
        <v>37.481149901429063</v>
      </c>
      <c r="DR48" s="22">
        <f t="shared" si="16"/>
        <v>318.13483607832245</v>
      </c>
      <c r="DS48" s="62">
        <f t="shared" si="17"/>
        <v>611.46816941165571</v>
      </c>
      <c r="DT48" s="62">
        <f ca="1">AVERAGE(OFFSET($DS$3,0,0,'Données projet'!$E$14+1,1))-AVERAGE(OFFSET($H$3,0,0,'Données projet'!$E$14+1,1))</f>
        <v>260.93525280373063</v>
      </c>
      <c r="DU48" s="62">
        <f t="shared" si="44"/>
        <v>206.83968452163816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1.8720833333333331</v>
      </c>
      <c r="EJ48" s="13">
        <f>IF('Données projet'!$A$192&gt;35,EJ47+EI48-ER47,IF(A48&lt;'Données projet'!$A$192,$EG$205^A48,IF(A48='Données projet'!$A$192,'Données projet'!$B$192,EJ47+EI48-ER47)))</f>
        <v>65.027083333333351</v>
      </c>
      <c r="EK48" s="18">
        <f>EJ48*VLOOKUP('Données projet'!$B$15,Paramètres!$A$1:$I$89,3,0)*VLOOKUP('Données projet'!$B$15,Paramètres!$A$1:$I$89,5,0)</f>
        <v>74.911200000000022</v>
      </c>
      <c r="EL48" s="14">
        <f t="shared" si="45"/>
        <v>20.888226917907243</v>
      </c>
      <c r="EM48" s="22">
        <f t="shared" si="19"/>
        <v>166.8506685486885</v>
      </c>
      <c r="EN48" s="62">
        <f t="shared" si="20"/>
        <v>460.18400188202179</v>
      </c>
      <c r="EO48" s="62">
        <f ca="1">AVERAGE(OFFSET($EN$3,0,0,'Données projet'!$E$15+1,1))-AVERAGE(OFFSET($H$3,0,0,'Données projet'!$E$15+1,1))</f>
        <v>118.01099353898547</v>
      </c>
      <c r="EP48" s="62">
        <f t="shared" si="46"/>
        <v>103.17146760845947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158</v>
      </c>
      <c r="FC48" s="13">
        <f>VLOOKUP(A48,'Données projet'!$A$217:$I$237,9,0)</f>
        <v>8.4</v>
      </c>
      <c r="FD48" s="13">
        <f t="array" ref="FD48">INDEX(FC:FC,MIN(IF(ISNUMBER(FC48:FC244),ROW(FC48:FC244),"")))</f>
        <v>8.4</v>
      </c>
      <c r="FE48" s="13">
        <f>IF('Données projet'!$A$218&gt;35,FE47+FD48-FM47,IF(A48&lt;'Données projet'!$A$218,$FB$205^A48,IF(A48='Données projet'!$A$218,'Données projet'!$B$218,FE47+FD48-FM47)))</f>
        <v>158.00000000000006</v>
      </c>
      <c r="FF48" s="18">
        <f>FE48*VLOOKUP('Données projet'!$B$16,Paramètres!$A$1:$I$89,3,0)*VLOOKUP('Données projet'!$B$16,Paramètres!$A$1:$I$89,5,0)</f>
        <v>157.74720000000005</v>
      </c>
      <c r="FG48" s="14">
        <f t="shared" si="47"/>
        <v>40.333971493920103</v>
      </c>
      <c r="FH48" s="22">
        <f t="shared" si="22"/>
        <v>344.99137368524424</v>
      </c>
      <c r="FI48" s="62">
        <f t="shared" si="23"/>
        <v>638.32470701857756</v>
      </c>
      <c r="FJ48" s="62">
        <f ca="1">AVERAGE(OFFSET($FI$3,0,0,'Données projet'!$E$16+1,1))-AVERAGE(OFFSET($H$3,0,0,'Données projet'!$E$16+1,1))</f>
        <v>343.71044073996887</v>
      </c>
      <c r="FK48" s="62">
        <f t="shared" si="48"/>
        <v>193.51732627292375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166.20000000000005</v>
      </c>
      <c r="O49" s="14">
        <f>N49*VLOOKUP('Données projet'!$B$9,Paramètres!$A$1:$I$89,3,0)*VLOOKUP('Données projet'!$B$9,Paramètres!$A$1:$I$89,5,0)</f>
        <v>150.37776000000002</v>
      </c>
      <c r="P49" s="14">
        <f t="shared" si="33"/>
        <v>38.664420365454049</v>
      </c>
      <c r="Q49" s="22">
        <f t="shared" si="53"/>
        <v>329.24846413649914</v>
      </c>
      <c r="R49" s="62">
        <f t="shared" si="0"/>
        <v>622.58179746983251</v>
      </c>
      <c r="S49" s="62">
        <f ca="1">AVERAGE(OFFSET($R$3,0,0,'Données projet'!$E$9+1,1))-AVERAGE(OFFSET($H$3,0,0,'Données projet'!$E$9+1,1))</f>
        <v>303.73499739059076</v>
      </c>
      <c r="T49" s="62">
        <f t="shared" si="34"/>
        <v>172.32171001882188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</v>
      </c>
      <c r="AI49" s="14">
        <f>IF('Données projet'!$A$62&gt;35,AI48+AH49-AQ48,IF(A49&lt;'Données projet'!$A$62,$AF$205^A49,IF(A49='Données projet'!$A$62,'Données projet'!$B$62,AI48+AH49-AQ48)))</f>
        <v>189.99999999999986</v>
      </c>
      <c r="AJ49" s="14">
        <f>AI49*VLOOKUP('Données projet'!$B$10,Paramètres!$A$1:$I$89,3,0)*VLOOKUP('Données projet'!$B$10,Paramètres!$A$1:$I$89,5,0)</f>
        <v>139.30799999999988</v>
      </c>
      <c r="AK49" s="14">
        <f t="shared" si="35"/>
        <v>36.138432324006331</v>
      </c>
      <c r="AL49" s="22">
        <f t="shared" si="4"/>
        <v>305.56920296431076</v>
      </c>
      <c r="AM49" s="62">
        <f t="shared" si="5"/>
        <v>598.90253629764402</v>
      </c>
      <c r="AN49" s="62">
        <f ca="1">AVERAGE(OFFSET($AM$3,0,0,'Données projet'!$E$10+1,1))-AVERAGE(OFFSET($H$3,0,0,'Données projet'!$E$10+1,1))</f>
        <v>215.66498680344858</v>
      </c>
      <c r="AO49" s="62">
        <f t="shared" si="36"/>
        <v>199.86715787211114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-5.6843418860808015E-14</v>
      </c>
      <c r="BE49" s="14">
        <f>BD49*VLOOKUP('Données projet'!$B$11,Paramètres!$A$1:$I$89,3,0)*VLOOKUP('Données projet'!$B$11,Paramètres!$A$1:$I$89,5,0)</f>
        <v>-3.3992364478763198E-14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155.11440101086782</v>
      </c>
      <c r="BJ49" s="62">
        <f t="shared" si="38"/>
        <v>239.53454701506638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9.8311046975194092</v>
      </c>
      <c r="BQ49" s="23">
        <f>EXP(-LN(2)/25)*BQ48+(1-EXP(-LN(2)/25))/(LN(2)/25)*Calculateur!BL49*Calculateur!BN49*VLOOKUP('Données projet'!$B$11,Paramètres!$A$1:$I$89,3,0)*0.475*44/12</f>
        <v>4.6473086524645231</v>
      </c>
      <c r="BR49" s="23">
        <f>EXP(-LN(2)/2)*BR48+(1-EXP(-LN(2)/2))/(LN(2)/2)*BL49*BO49*VLOOKUP('Données projet'!$B$11,Paramètres!$A$1:$I$89,3,0)*0.475*44/12</f>
        <v>1.1519308886434298E-2</v>
      </c>
      <c r="BS49" s="24">
        <f t="shared" si="9"/>
        <v>14.489932658870366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-5.6843418860808015E-14</v>
      </c>
      <c r="BZ49" s="14">
        <f>BY49*VLOOKUP('Données projet'!$B$12,Paramètres!$A$1:$I$89,3,0)*VLOOKUP('Données projet'!$B$12,Paramètres!$A$1:$I$89,5,0)</f>
        <v>-3.3992364478763198E-14</v>
      </c>
      <c r="CA49" s="14" t="e">
        <f t="shared" si="39"/>
        <v>#NUM!</v>
      </c>
      <c r="CB49" s="22" t="e">
        <f t="shared" si="10"/>
        <v>#NUM!</v>
      </c>
      <c r="CC49" s="62" t="e">
        <f t="shared" si="11"/>
        <v>#NUM!</v>
      </c>
      <c r="CD49" s="62">
        <f ca="1">AVERAGE(OFFSET($CC$3,0,0,'Données projet'!$E$12+1,1))-AVERAGE(OFFSET($H$3,0,0,'Données projet'!$E$12+1,1))</f>
        <v>155.11440101086782</v>
      </c>
      <c r="CE49" s="62">
        <f t="shared" si="40"/>
        <v>239.53454701506638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9.8311046975194092</v>
      </c>
      <c r="CL49" s="23">
        <f>EXP(-LN(2)/25)*CL48+(1-EXP(-LN(2)/25))/(LN(2)/25)*Calculateur!CG49*Calculateur!CI49*VLOOKUP('Données projet'!$B$12,Paramètres!$A$1:$I$89,3,0)*0.475*44/12</f>
        <v>4.6473086524645231</v>
      </c>
      <c r="CM49" s="23">
        <f>EXP(-LN(2)/2)*CM48+(1-EXP(-LN(2)/2))/(LN(2)/2)*CG49*CJ49*VLOOKUP('Données projet'!$B$12,Paramètres!$A$1:$I$89,3,0)*0.475*44/12</f>
        <v>1.1519308886434298E-2</v>
      </c>
      <c r="CN49" s="24">
        <f t="shared" si="12"/>
        <v>14.489932658870366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7.6</v>
      </c>
      <c r="CT49" s="13">
        <f>IF('Données projet'!$A$140&gt;35,CT48+CS49-DB48,IF(A49&lt;'Données projet'!$A$140,$CQ$205^A49,IF(A49='Données projet'!$A$140,'Données projet'!$B$140,CT48+CS49-DB48)))</f>
        <v>197.6</v>
      </c>
      <c r="CU49" s="18">
        <f>CT49*VLOOKUP('Données projet'!$B$13,Paramètres!$A$1:$I$89,3,0)*VLOOKUP('Données projet'!$B$13,Paramètres!$A$1:$I$89,5,0)</f>
        <v>160.29311999999999</v>
      </c>
      <c r="CV49" s="14">
        <f t="shared" si="41"/>
        <v>40.908622396455648</v>
      </c>
      <c r="CW49" s="22">
        <f t="shared" si="13"/>
        <v>350.42636800716019</v>
      </c>
      <c r="CX49" s="62">
        <f t="shared" si="14"/>
        <v>643.75970134049351</v>
      </c>
      <c r="CY49" s="62">
        <f ca="1">AVERAGE(OFFSET($CX$3,0,0,'Données projet'!$E$13+1,1))-AVERAGE(OFFSET($H$3,0,0,'Données projet'!$E$13+1,1))</f>
        <v>191.03017979797141</v>
      </c>
      <c r="CZ49" s="62">
        <f t="shared" si="42"/>
        <v>222.78252111624278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5.5128205128205083</v>
      </c>
      <c r="DO49" s="13">
        <f>IF('Données projet'!$A$166&gt;35,DO48+DN49-DW48,IF(A49&lt;'Données projet'!$A$166,$DL$205^A49,IF(A49='Données projet'!$A$166,'Données projet'!$B$166,DO48+DN49-DW48)))</f>
        <v>158.07692307692315</v>
      </c>
      <c r="DP49" s="18">
        <f>DO49*VLOOKUP('Données projet'!$B$14,Paramètres!$A$1:$I$89,3,0)*VLOOKUP('Données projet'!$B$14,Paramètres!$A$1:$I$89,5,0)</f>
        <v>150.42600000000007</v>
      </c>
      <c r="DQ49" s="14">
        <f t="shared" si="43"/>
        <v>38.67537966484668</v>
      </c>
      <c r="DR49" s="22">
        <f t="shared" si="16"/>
        <v>329.35156958294141</v>
      </c>
      <c r="DS49" s="62">
        <f t="shared" si="17"/>
        <v>622.68490291627472</v>
      </c>
      <c r="DT49" s="62">
        <f ca="1">AVERAGE(OFFSET($DS$3,0,0,'Données projet'!$E$14+1,1))-AVERAGE(OFFSET($H$3,0,0,'Données projet'!$E$14+1,1))</f>
        <v>260.93525280373063</v>
      </c>
      <c r="DU49" s="62">
        <f t="shared" si="44"/>
        <v>206.83968452163816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1.8720833333333331</v>
      </c>
      <c r="EJ49" s="13">
        <f>IF('Données projet'!$A$192&gt;35,EJ48+EI49-ER48,IF(A49&lt;'Données projet'!$A$192,$EG$205^A49,IF(A49='Données projet'!$A$192,'Données projet'!$B$192,EJ48+EI49-ER48)))</f>
        <v>66.899166666666687</v>
      </c>
      <c r="EK49" s="18">
        <f>EJ49*VLOOKUP('Données projet'!$B$15,Paramètres!$A$1:$I$89,3,0)*VLOOKUP('Données projet'!$B$15,Paramètres!$A$1:$I$89,5,0)</f>
        <v>77.067840000000018</v>
      </c>
      <c r="EL49" s="14">
        <f t="shared" si="45"/>
        <v>21.418705179130875</v>
      </c>
      <c r="EM49" s="22">
        <f t="shared" si="19"/>
        <v>171.53073285365295</v>
      </c>
      <c r="EN49" s="62">
        <f t="shared" si="20"/>
        <v>464.86406618698629</v>
      </c>
      <c r="EO49" s="62">
        <f ca="1">AVERAGE(OFFSET($EN$3,0,0,'Données projet'!$E$15+1,1))-AVERAGE(OFFSET($H$3,0,0,'Données projet'!$E$15+1,1))</f>
        <v>118.01099353898547</v>
      </c>
      <c r="EP49" s="62">
        <f t="shared" si="46"/>
        <v>103.17146760845947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8.1999999999999993</v>
      </c>
      <c r="FE49" s="13">
        <f>IF('Données projet'!$A$218&gt;35,FE48+FD49-FM48,IF(A49&lt;'Données projet'!$A$218,$FB$205^A49,IF(A49='Données projet'!$A$218,'Données projet'!$B$218,FE48+FD49-FM48)))</f>
        <v>166.20000000000005</v>
      </c>
      <c r="FF49" s="18">
        <f>FE49*VLOOKUP('Données projet'!$B$16,Paramètres!$A$1:$I$89,3,0)*VLOOKUP('Données projet'!$B$16,Paramètres!$A$1:$I$89,5,0)</f>
        <v>165.93408000000005</v>
      </c>
      <c r="FG49" s="14">
        <f t="shared" si="47"/>
        <v>42.178113754306793</v>
      </c>
      <c r="FH49" s="22">
        <f t="shared" si="22"/>
        <v>362.46207078875108</v>
      </c>
      <c r="FI49" s="62">
        <f t="shared" si="23"/>
        <v>655.79540412208439</v>
      </c>
      <c r="FJ49" s="62">
        <f ca="1">AVERAGE(OFFSET($FI$3,0,0,'Données projet'!$E$16+1,1))-AVERAGE(OFFSET($H$3,0,0,'Données projet'!$E$16+1,1))</f>
        <v>343.71044073996887</v>
      </c>
      <c r="FK49" s="62">
        <f t="shared" si="48"/>
        <v>193.51732627292375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174.40000000000003</v>
      </c>
      <c r="O50" s="14">
        <f>N50*VLOOKUP('Données projet'!$B$9,Paramètres!$A$1:$I$89,3,0)*VLOOKUP('Données projet'!$B$9,Paramètres!$A$1:$I$89,5,0)</f>
        <v>157.79712000000004</v>
      </c>
      <c r="P50" s="14">
        <f t="shared" si="33"/>
        <v>40.345249481546155</v>
      </c>
      <c r="Q50" s="22">
        <f t="shared" si="53"/>
        <v>345.09796018035962</v>
      </c>
      <c r="R50" s="62">
        <f t="shared" si="0"/>
        <v>638.43129351369294</v>
      </c>
      <c r="S50" s="62">
        <f ca="1">AVERAGE(OFFSET($R$3,0,0,'Données projet'!$E$9+1,1))-AVERAGE(OFFSET($H$3,0,0,'Données projet'!$E$9+1,1))</f>
        <v>303.73499739059076</v>
      </c>
      <c r="T50" s="62">
        <f t="shared" si="34"/>
        <v>172.32171001882188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</v>
      </c>
      <c r="AI50" s="14">
        <f>IF('Données projet'!$A$62&gt;35,AI49+AH50-AQ49,IF(A50&lt;'Données projet'!$A$62,$AF$205^A50,IF(A50='Données projet'!$A$62,'Données projet'!$B$62,AI49+AH50-AQ49)))</f>
        <v>196.99999999999986</v>
      </c>
      <c r="AJ50" s="14">
        <f>AI50*VLOOKUP('Données projet'!$B$10,Paramètres!$A$1:$I$89,3,0)*VLOOKUP('Données projet'!$B$10,Paramètres!$A$1:$I$89,5,0)</f>
        <v>144.4403999999999</v>
      </c>
      <c r="AK50" s="14">
        <f t="shared" si="35"/>
        <v>37.312382829927053</v>
      </c>
      <c r="AL50" s="22">
        <f t="shared" si="4"/>
        <v>316.55276342878943</v>
      </c>
      <c r="AM50" s="62">
        <f t="shared" si="5"/>
        <v>609.88609676212275</v>
      </c>
      <c r="AN50" s="62">
        <f ca="1">AVERAGE(OFFSET($AM$3,0,0,'Données projet'!$E$10+1,1))-AVERAGE(OFFSET($H$3,0,0,'Données projet'!$E$10+1,1))</f>
        <v>215.66498680344858</v>
      </c>
      <c r="AO50" s="62">
        <f t="shared" si="36"/>
        <v>199.86715787211114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-5.6843418860808015E-14</v>
      </c>
      <c r="BE50" s="14">
        <f>BD50*VLOOKUP('Données projet'!$B$11,Paramètres!$A$1:$I$89,3,0)*VLOOKUP('Données projet'!$B$11,Paramètres!$A$1:$I$89,5,0)</f>
        <v>-3.3992364478763198E-14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155.11440101086782</v>
      </c>
      <c r="BJ50" s="62">
        <f t="shared" si="38"/>
        <v>239.53454701506638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9.638322730782825</v>
      </c>
      <c r="BQ50" s="23">
        <f>EXP(-LN(2)/25)*BQ49+(1-EXP(-LN(2)/25))/(LN(2)/25)*Calculateur!BL50*Calculateur!BN50*VLOOKUP('Données projet'!$B$11,Paramètres!$A$1:$I$89,3,0)*0.475*44/12</f>
        <v>4.5202277529715404</v>
      </c>
      <c r="BR50" s="23">
        <f>EXP(-LN(2)/2)*BR49+(1-EXP(-LN(2)/2))/(LN(2)/2)*BL50*BO50*VLOOKUP('Données projet'!$B$11,Paramètres!$A$1:$I$89,3,0)*0.475*44/12</f>
        <v>8.1453814281801495E-3</v>
      </c>
      <c r="BS50" s="24">
        <f t="shared" si="9"/>
        <v>14.166695865182545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-5.6843418860808015E-14</v>
      </c>
      <c r="BZ50" s="14">
        <f>BY50*VLOOKUP('Données projet'!$B$12,Paramètres!$A$1:$I$89,3,0)*VLOOKUP('Données projet'!$B$12,Paramètres!$A$1:$I$89,5,0)</f>
        <v>-3.3992364478763198E-14</v>
      </c>
      <c r="CA50" s="14" t="e">
        <f t="shared" si="39"/>
        <v>#NUM!</v>
      </c>
      <c r="CB50" s="22" t="e">
        <f t="shared" si="10"/>
        <v>#NUM!</v>
      </c>
      <c r="CC50" s="62" t="e">
        <f t="shared" si="11"/>
        <v>#NUM!</v>
      </c>
      <c r="CD50" s="62">
        <f ca="1">AVERAGE(OFFSET($CC$3,0,0,'Données projet'!$E$12+1,1))-AVERAGE(OFFSET($H$3,0,0,'Données projet'!$E$12+1,1))</f>
        <v>155.11440101086782</v>
      </c>
      <c r="CE50" s="62">
        <f t="shared" si="40"/>
        <v>239.53454701506638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9.638322730782825</v>
      </c>
      <c r="CL50" s="23">
        <f>EXP(-LN(2)/25)*CL49+(1-EXP(-LN(2)/25))/(LN(2)/25)*Calculateur!CG50*Calculateur!CI50*VLOOKUP('Données projet'!$B$12,Paramètres!$A$1:$I$89,3,0)*0.475*44/12</f>
        <v>4.5202277529715404</v>
      </c>
      <c r="CM50" s="23">
        <f>EXP(-LN(2)/2)*CM49+(1-EXP(-LN(2)/2))/(LN(2)/2)*CG50*CJ50*VLOOKUP('Données projet'!$B$12,Paramètres!$A$1:$I$89,3,0)*0.475*44/12</f>
        <v>8.1453814281801495E-3</v>
      </c>
      <c r="CN50" s="24">
        <f t="shared" si="12"/>
        <v>14.166695865182545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7.6</v>
      </c>
      <c r="CT50" s="13">
        <f>IF('Données projet'!$A$140&gt;35,CT49+CS50-DB49,IF(A50&lt;'Données projet'!$A$140,$CQ$205^A50,IF(A50='Données projet'!$A$140,'Données projet'!$B$140,CT49+CS50-DB49)))</f>
        <v>205.2</v>
      </c>
      <c r="CU50" s="18">
        <f>CT50*VLOOKUP('Données projet'!$B$13,Paramètres!$A$1:$I$89,3,0)*VLOOKUP('Données projet'!$B$13,Paramètres!$A$1:$I$89,5,0)</f>
        <v>166.45823999999999</v>
      </c>
      <c r="CV50" s="14">
        <f t="shared" si="41"/>
        <v>42.295817799452642</v>
      </c>
      <c r="CW50" s="22">
        <f t="shared" si="13"/>
        <v>363.5799840007133</v>
      </c>
      <c r="CX50" s="62">
        <f t="shared" si="14"/>
        <v>656.91331733404661</v>
      </c>
      <c r="CY50" s="62">
        <f ca="1">AVERAGE(OFFSET($CX$3,0,0,'Données projet'!$E$13+1,1))-AVERAGE(OFFSET($H$3,0,0,'Données projet'!$E$13+1,1))</f>
        <v>191.03017979797141</v>
      </c>
      <c r="CZ50" s="62">
        <f t="shared" si="42"/>
        <v>222.78252111624278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5.5128205128205083</v>
      </c>
      <c r="DO50" s="13">
        <f>IF('Données projet'!$A$166&gt;35,DO49+DN50-DW49,IF(A50&lt;'Données projet'!$A$166,$DL$205^A50,IF(A50='Données projet'!$A$166,'Données projet'!$B$166,DO49+DN50-DW49)))</f>
        <v>163.58974358974365</v>
      </c>
      <c r="DP50" s="18">
        <f>DO50*VLOOKUP('Données projet'!$B$14,Paramètres!$A$1:$I$89,3,0)*VLOOKUP('Données projet'!$B$14,Paramètres!$A$1:$I$89,5,0)</f>
        <v>155.67200000000005</v>
      </c>
      <c r="DQ50" s="14">
        <f t="shared" si="43"/>
        <v>39.86477040096252</v>
      </c>
      <c r="DR50" s="22">
        <f t="shared" si="16"/>
        <v>340.55987511500985</v>
      </c>
      <c r="DS50" s="62">
        <f t="shared" si="17"/>
        <v>633.8932084483431</v>
      </c>
      <c r="DT50" s="62">
        <f ca="1">AVERAGE(OFFSET($DS$3,0,0,'Données projet'!$E$14+1,1))-AVERAGE(OFFSET($H$3,0,0,'Données projet'!$E$14+1,1))</f>
        <v>260.93525280373063</v>
      </c>
      <c r="DU50" s="62">
        <f t="shared" si="44"/>
        <v>206.83968452163816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1.8720833333333331</v>
      </c>
      <c r="EJ50" s="13">
        <f>IF('Données projet'!$A$192&gt;35,EJ49+EI50-ER49,IF(A50&lt;'Données projet'!$A$192,$EG$205^A50,IF(A50='Données projet'!$A$192,'Données projet'!$B$192,EJ49+EI50-ER49)))</f>
        <v>68.771250000000023</v>
      </c>
      <c r="EK50" s="18">
        <f>EJ50*VLOOKUP('Données projet'!$B$15,Paramètres!$A$1:$I$89,3,0)*VLOOKUP('Données projet'!$B$15,Paramètres!$A$1:$I$89,5,0)</f>
        <v>79.224480000000028</v>
      </c>
      <c r="EL50" s="14">
        <f t="shared" si="45"/>
        <v>21.947458087932979</v>
      </c>
      <c r="EM50" s="22">
        <f t="shared" si="19"/>
        <v>176.20779216981666</v>
      </c>
      <c r="EN50" s="62">
        <f t="shared" si="20"/>
        <v>469.54112550314994</v>
      </c>
      <c r="EO50" s="62">
        <f ca="1">AVERAGE(OFFSET($EN$3,0,0,'Données projet'!$E$15+1,1))-AVERAGE(OFFSET($H$3,0,0,'Données projet'!$E$15+1,1))</f>
        <v>118.01099353898547</v>
      </c>
      <c r="EP50" s="62">
        <f t="shared" si="46"/>
        <v>103.17146760845947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8.1999999999999993</v>
      </c>
      <c r="FE50" s="13">
        <f>IF('Données projet'!$A$218&gt;35,FE49+FD50-FM49,IF(A50&lt;'Données projet'!$A$218,$FB$205^A50,IF(A50='Données projet'!$A$218,'Données projet'!$B$218,FE49+FD50-FM49)))</f>
        <v>174.40000000000003</v>
      </c>
      <c r="FF50" s="18">
        <f>FE50*VLOOKUP('Données projet'!$B$16,Paramètres!$A$1:$I$89,3,0)*VLOOKUP('Données projet'!$B$16,Paramètres!$A$1:$I$89,5,0)</f>
        <v>174.12096000000005</v>
      </c>
      <c r="FG50" s="14">
        <f t="shared" si="47"/>
        <v>44.011691006726345</v>
      </c>
      <c r="FH50" s="22">
        <f t="shared" si="22"/>
        <v>379.91436717004848</v>
      </c>
      <c r="FI50" s="62">
        <f t="shared" si="23"/>
        <v>673.24770050338179</v>
      </c>
      <c r="FJ50" s="62">
        <f ca="1">AVERAGE(OFFSET($FI$3,0,0,'Données projet'!$E$16+1,1))-AVERAGE(OFFSET($H$3,0,0,'Données projet'!$E$16+1,1))</f>
        <v>343.71044073996887</v>
      </c>
      <c r="FK50" s="62">
        <f t="shared" si="48"/>
        <v>193.51732627292375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182.60000000000002</v>
      </c>
      <c r="O51" s="14">
        <f>N51*VLOOKUP('Données projet'!$B$9,Paramètres!$A$1:$I$89,3,0)*VLOOKUP('Données projet'!$B$9,Paramètres!$A$1:$I$89,5,0)</f>
        <v>165.21648000000002</v>
      </c>
      <c r="P51" s="14">
        <f t="shared" si="33"/>
        <v>42.016901084500397</v>
      </c>
      <c r="Q51" s="22">
        <f t="shared" si="53"/>
        <v>360.93147205550491</v>
      </c>
      <c r="R51" s="62">
        <f t="shared" si="0"/>
        <v>654.26480538883823</v>
      </c>
      <c r="S51" s="62">
        <f ca="1">AVERAGE(OFFSET($R$3,0,0,'Données projet'!$E$9+1,1))-AVERAGE(OFFSET($H$3,0,0,'Données projet'!$E$9+1,1))</f>
        <v>303.73499739059076</v>
      </c>
      <c r="T51" s="62">
        <f t="shared" si="34"/>
        <v>172.32171001882188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</v>
      </c>
      <c r="AI51" s="14">
        <f>IF('Données projet'!$A$62&gt;35,AI50+AH51-AQ50,IF(A51&lt;'Données projet'!$A$62,$AF$205^A51,IF(A51='Données projet'!$A$62,'Données projet'!$B$62,AI50+AH51-AQ50)))</f>
        <v>203.99999999999986</v>
      </c>
      <c r="AJ51" s="14">
        <f>AI51*VLOOKUP('Données projet'!$B$10,Paramètres!$A$1:$I$89,3,0)*VLOOKUP('Données projet'!$B$10,Paramètres!$A$1:$I$89,5,0)</f>
        <v>149.57279999999989</v>
      </c>
      <c r="AK51" s="14">
        <f t="shared" si="35"/>
        <v>38.481486779011689</v>
      </c>
      <c r="AL51" s="22">
        <f t="shared" si="4"/>
        <v>327.52788280677856</v>
      </c>
      <c r="AM51" s="62">
        <f t="shared" si="5"/>
        <v>620.86121614011188</v>
      </c>
      <c r="AN51" s="62">
        <f ca="1">AVERAGE(OFFSET($AM$3,0,0,'Données projet'!$E$10+1,1))-AVERAGE(OFFSET($H$3,0,0,'Données projet'!$E$10+1,1))</f>
        <v>215.66498680344858</v>
      </c>
      <c r="AO51" s="62">
        <f t="shared" si="36"/>
        <v>199.86715787211114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-5.6843418860808015E-14</v>
      </c>
      <c r="BE51" s="14">
        <f>BD51*VLOOKUP('Données projet'!$B$11,Paramètres!$A$1:$I$89,3,0)*VLOOKUP('Données projet'!$B$11,Paramètres!$A$1:$I$89,5,0)</f>
        <v>-3.3992364478763198E-14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155.11440101086782</v>
      </c>
      <c r="BJ51" s="62">
        <f t="shared" si="38"/>
        <v>239.53454701506638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9.4493211008285574</v>
      </c>
      <c r="BQ51" s="23">
        <f>EXP(-LN(2)/25)*BQ50+(1-EXP(-LN(2)/25))/(LN(2)/25)*Calculateur!BL51*Calculateur!BN51*VLOOKUP('Données projet'!$B$11,Paramètres!$A$1:$I$89,3,0)*0.475*44/12</f>
        <v>4.3966218873580871</v>
      </c>
      <c r="BR51" s="23">
        <f>EXP(-LN(2)/2)*BR50+(1-EXP(-LN(2)/2))/(LN(2)/2)*BL51*BO51*VLOOKUP('Données projet'!$B$11,Paramètres!$A$1:$I$89,3,0)*0.475*44/12</f>
        <v>5.7596544432171491E-3</v>
      </c>
      <c r="BS51" s="24">
        <f t="shared" si="9"/>
        <v>13.851702642629862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-5.6843418860808015E-14</v>
      </c>
      <c r="BZ51" s="14">
        <f>BY51*VLOOKUP('Données projet'!$B$12,Paramètres!$A$1:$I$89,3,0)*VLOOKUP('Données projet'!$B$12,Paramètres!$A$1:$I$89,5,0)</f>
        <v>-3.3992364478763198E-14</v>
      </c>
      <c r="CA51" s="14" t="e">
        <f t="shared" si="39"/>
        <v>#NUM!</v>
      </c>
      <c r="CB51" s="22" t="e">
        <f t="shared" si="10"/>
        <v>#NUM!</v>
      </c>
      <c r="CC51" s="62" t="e">
        <f t="shared" si="11"/>
        <v>#NUM!</v>
      </c>
      <c r="CD51" s="62">
        <f ca="1">AVERAGE(OFFSET($CC$3,0,0,'Données projet'!$E$12+1,1))-AVERAGE(OFFSET($H$3,0,0,'Données projet'!$E$12+1,1))</f>
        <v>155.11440101086782</v>
      </c>
      <c r="CE51" s="62">
        <f t="shared" si="40"/>
        <v>239.53454701506638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9.4493211008285574</v>
      </c>
      <c r="CL51" s="23">
        <f>EXP(-LN(2)/25)*CL50+(1-EXP(-LN(2)/25))/(LN(2)/25)*Calculateur!CG51*Calculateur!CI51*VLOOKUP('Données projet'!$B$12,Paramètres!$A$1:$I$89,3,0)*0.475*44/12</f>
        <v>4.3966218873580871</v>
      </c>
      <c r="CM51" s="23">
        <f>EXP(-LN(2)/2)*CM50+(1-EXP(-LN(2)/2))/(LN(2)/2)*CG51*CJ51*VLOOKUP('Données projet'!$B$12,Paramètres!$A$1:$I$89,3,0)*0.475*44/12</f>
        <v>5.7596544432171491E-3</v>
      </c>
      <c r="CN51" s="24">
        <f t="shared" si="12"/>
        <v>13.851702642629862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7.6</v>
      </c>
      <c r="CT51" s="13">
        <f>IF('Données projet'!$A$140&gt;35,CT50+CS51-DB50,IF(A51&lt;'Données projet'!$A$140,$CQ$205^A51,IF(A51='Données projet'!$A$140,'Données projet'!$B$140,CT50+CS51-DB50)))</f>
        <v>212.79999999999998</v>
      </c>
      <c r="CU51" s="18">
        <f>CT51*VLOOKUP('Données projet'!$B$13,Paramètres!$A$1:$I$89,3,0)*VLOOKUP('Données projet'!$B$13,Paramètres!$A$1:$I$89,5,0)</f>
        <v>172.62335999999999</v>
      </c>
      <c r="CV51" s="14">
        <f t="shared" si="41"/>
        <v>43.67704427998607</v>
      </c>
      <c r="CW51" s="22">
        <f t="shared" si="13"/>
        <v>376.72320412097571</v>
      </c>
      <c r="CX51" s="62">
        <f t="shared" si="14"/>
        <v>670.05653745430902</v>
      </c>
      <c r="CY51" s="62">
        <f ca="1">AVERAGE(OFFSET($CX$3,0,0,'Données projet'!$E$13+1,1))-AVERAGE(OFFSET($H$3,0,0,'Données projet'!$E$13+1,1))</f>
        <v>191.03017979797141</v>
      </c>
      <c r="CZ51" s="62">
        <f t="shared" si="42"/>
        <v>222.78252111624278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5.5128205128205083</v>
      </c>
      <c r="DO51" s="13">
        <f>IF('Données projet'!$A$166&gt;35,DO50+DN51-DW50,IF(A51&lt;'Données projet'!$A$166,$DL$205^A51,IF(A51='Données projet'!$A$166,'Données projet'!$B$166,DO50+DN51-DW50)))</f>
        <v>169.10256410256414</v>
      </c>
      <c r="DP51" s="18">
        <f>DO51*VLOOKUP('Données projet'!$B$14,Paramètres!$A$1:$I$89,3,0)*VLOOKUP('Données projet'!$B$14,Paramètres!$A$1:$I$89,5,0)</f>
        <v>160.91800000000003</v>
      </c>
      <c r="DQ51" s="14">
        <f t="shared" si="43"/>
        <v>41.049503875172206</v>
      </c>
      <c r="DR51" s="22">
        <f t="shared" si="16"/>
        <v>351.76006924925832</v>
      </c>
      <c r="DS51" s="62">
        <f t="shared" si="17"/>
        <v>645.09340258259158</v>
      </c>
      <c r="DT51" s="62">
        <f ca="1">AVERAGE(OFFSET($DS$3,0,0,'Données projet'!$E$14+1,1))-AVERAGE(OFFSET($H$3,0,0,'Données projet'!$E$14+1,1))</f>
        <v>260.93525280373063</v>
      </c>
      <c r="DU51" s="62">
        <f t="shared" si="44"/>
        <v>206.83968452163816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1.8720833333333331</v>
      </c>
      <c r="EJ51" s="13">
        <f>IF('Données projet'!$A$192&gt;35,EJ50+EI51-ER50,IF(A51&lt;'Données projet'!$A$192,$EG$205^A51,IF(A51='Données projet'!$A$192,'Données projet'!$B$192,EJ50+EI51-ER50)))</f>
        <v>70.643333333333359</v>
      </c>
      <c r="EK51" s="18">
        <f>EJ51*VLOOKUP('Données projet'!$B$15,Paramètres!$A$1:$I$89,3,0)*VLOOKUP('Données projet'!$B$15,Paramètres!$A$1:$I$89,5,0)</f>
        <v>81.381120000000024</v>
      </c>
      <c r="EL51" s="14">
        <f t="shared" si="45"/>
        <v>22.474538008777976</v>
      </c>
      <c r="EM51" s="22">
        <f t="shared" si="19"/>
        <v>180.88193769862167</v>
      </c>
      <c r="EN51" s="62">
        <f t="shared" si="20"/>
        <v>474.21527103195501</v>
      </c>
      <c r="EO51" s="62">
        <f ca="1">AVERAGE(OFFSET($EN$3,0,0,'Données projet'!$E$15+1,1))-AVERAGE(OFFSET($H$3,0,0,'Données projet'!$E$15+1,1))</f>
        <v>118.01099353898547</v>
      </c>
      <c r="EP51" s="62">
        <f t="shared" si="46"/>
        <v>103.17146760845947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8.1999999999999993</v>
      </c>
      <c r="FE51" s="13">
        <f>IF('Données projet'!$A$218&gt;35,FE50+FD51-FM50,IF(A51&lt;'Données projet'!$A$218,$FB$205^A51,IF(A51='Données projet'!$A$218,'Données projet'!$B$218,FE50+FD51-FM50)))</f>
        <v>182.60000000000002</v>
      </c>
      <c r="FF51" s="18">
        <f>FE51*VLOOKUP('Données projet'!$B$16,Paramètres!$A$1:$I$89,3,0)*VLOOKUP('Données projet'!$B$16,Paramètres!$A$1:$I$89,5,0)</f>
        <v>182.30784000000003</v>
      </c>
      <c r="FG51" s="14">
        <f t="shared" si="47"/>
        <v>45.835256724265726</v>
      </c>
      <c r="FH51" s="22">
        <f t="shared" si="22"/>
        <v>397.34922679476284</v>
      </c>
      <c r="FI51" s="62">
        <f t="shared" si="23"/>
        <v>690.68256012809616</v>
      </c>
      <c r="FJ51" s="62">
        <f ca="1">AVERAGE(OFFSET($FI$3,0,0,'Données projet'!$E$16+1,1))-AVERAGE(OFFSET($H$3,0,0,'Données projet'!$E$16+1,1))</f>
        <v>343.71044073996887</v>
      </c>
      <c r="FK51" s="62">
        <f t="shared" si="48"/>
        <v>193.51732627292375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190.8</v>
      </c>
      <c r="O52" s="14">
        <f>N52*VLOOKUP('Données projet'!$B$9,Paramètres!$A$1:$I$89,3,0)*VLOOKUP('Données projet'!$B$9,Paramètres!$A$1:$I$89,5,0)</f>
        <v>172.63584</v>
      </c>
      <c r="P52" s="14">
        <f t="shared" si="33"/>
        <v>43.679834395222109</v>
      </c>
      <c r="Q52" s="22">
        <f t="shared" si="53"/>
        <v>376.74979957167847</v>
      </c>
      <c r="R52" s="62">
        <f t="shared" si="0"/>
        <v>670.08313290501178</v>
      </c>
      <c r="S52" s="62">
        <f ca="1">AVERAGE(OFFSET($R$3,0,0,'Données projet'!$E$9+1,1))-AVERAGE(OFFSET($H$3,0,0,'Données projet'!$E$9+1,1))</f>
        <v>303.73499739059076</v>
      </c>
      <c r="T52" s="62">
        <f t="shared" si="34"/>
        <v>172.32171001882188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</v>
      </c>
      <c r="AI52" s="14">
        <f>IF('Données projet'!$A$62&gt;35,AI51+AH52-AQ51,IF(A52&lt;'Données projet'!$A$62,$AF$205^A52,IF(A52='Données projet'!$A$62,'Données projet'!$B$62,AI51+AH52-AQ51)))</f>
        <v>210.99999999999986</v>
      </c>
      <c r="AJ52" s="14">
        <f>AI52*VLOOKUP('Données projet'!$B$10,Paramètres!$A$1:$I$89,3,0)*VLOOKUP('Données projet'!$B$10,Paramètres!$A$1:$I$89,5,0)</f>
        <v>154.70519999999991</v>
      </c>
      <c r="AK52" s="14">
        <f t="shared" si="35"/>
        <v>39.645929536036498</v>
      </c>
      <c r="AL52" s="22">
        <f t="shared" si="4"/>
        <v>338.49488394193003</v>
      </c>
      <c r="AM52" s="62">
        <f t="shared" si="5"/>
        <v>631.82821727526334</v>
      </c>
      <c r="AN52" s="62">
        <f ca="1">AVERAGE(OFFSET($AM$3,0,0,'Données projet'!$E$10+1,1))-AVERAGE(OFFSET($H$3,0,0,'Données projet'!$E$10+1,1))</f>
        <v>215.66498680344858</v>
      </c>
      <c r="AO52" s="62">
        <f t="shared" si="36"/>
        <v>199.86715787211114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-5.6843418860808015E-14</v>
      </c>
      <c r="BE52" s="14">
        <f>BD52*VLOOKUP('Données projet'!$B$11,Paramètres!$A$1:$I$89,3,0)*VLOOKUP('Données projet'!$B$11,Paramètres!$A$1:$I$89,5,0)</f>
        <v>-3.3992364478763198E-14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155.11440101086782</v>
      </c>
      <c r="BJ52" s="62">
        <f t="shared" si="38"/>
        <v>239.53454701506638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9.2640256775580809</v>
      </c>
      <c r="BQ52" s="23">
        <f>EXP(-LN(2)/25)*BQ51+(1-EXP(-LN(2)/25))/(LN(2)/25)*Calculateur!BL52*Calculateur!BN52*VLOOKUP('Données projet'!$B$11,Paramètres!$A$1:$I$89,3,0)*0.475*44/12</f>
        <v>4.276396030639984</v>
      </c>
      <c r="BR52" s="23">
        <f>EXP(-LN(2)/2)*BR51+(1-EXP(-LN(2)/2))/(LN(2)/2)*BL52*BO52*VLOOKUP('Données projet'!$B$11,Paramètres!$A$1:$I$89,3,0)*0.475*44/12</f>
        <v>4.0726907140900747E-3</v>
      </c>
      <c r="BS52" s="24">
        <f t="shared" si="9"/>
        <v>13.544494398912153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-5.6843418860808015E-14</v>
      </c>
      <c r="BZ52" s="14">
        <f>BY52*VLOOKUP('Données projet'!$B$12,Paramètres!$A$1:$I$89,3,0)*VLOOKUP('Données projet'!$B$12,Paramètres!$A$1:$I$89,5,0)</f>
        <v>-3.3992364478763198E-14</v>
      </c>
      <c r="CA52" s="14" t="e">
        <f t="shared" si="39"/>
        <v>#NUM!</v>
      </c>
      <c r="CB52" s="22" t="e">
        <f t="shared" si="10"/>
        <v>#NUM!</v>
      </c>
      <c r="CC52" s="62" t="e">
        <f t="shared" si="11"/>
        <v>#NUM!</v>
      </c>
      <c r="CD52" s="62">
        <f ca="1">AVERAGE(OFFSET($CC$3,0,0,'Données projet'!$E$12+1,1))-AVERAGE(OFFSET($H$3,0,0,'Données projet'!$E$12+1,1))</f>
        <v>155.11440101086782</v>
      </c>
      <c r="CE52" s="62">
        <f t="shared" si="40"/>
        <v>239.53454701506638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9.2640256775580809</v>
      </c>
      <c r="CL52" s="23">
        <f>EXP(-LN(2)/25)*CL51+(1-EXP(-LN(2)/25))/(LN(2)/25)*Calculateur!CG52*Calculateur!CI52*VLOOKUP('Données projet'!$B$12,Paramètres!$A$1:$I$89,3,0)*0.475*44/12</f>
        <v>4.276396030639984</v>
      </c>
      <c r="CM52" s="23">
        <f>EXP(-LN(2)/2)*CM51+(1-EXP(-LN(2)/2))/(LN(2)/2)*CG52*CJ52*VLOOKUP('Données projet'!$B$12,Paramètres!$A$1:$I$89,3,0)*0.475*44/12</f>
        <v>4.0726907140900747E-3</v>
      </c>
      <c r="CN52" s="24">
        <f t="shared" si="12"/>
        <v>13.544494398912153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7.6</v>
      </c>
      <c r="CT52" s="13">
        <f>IF('Données projet'!$A$140&gt;35,CT51+CS52-DB51,IF(A52&lt;'Données projet'!$A$140,$CQ$205^A52,IF(A52='Données projet'!$A$140,'Données projet'!$B$140,CT51+CS52-DB51)))</f>
        <v>220.39999999999998</v>
      </c>
      <c r="CU52" s="18">
        <f>CT52*VLOOKUP('Données projet'!$B$13,Paramètres!$A$1:$I$89,3,0)*VLOOKUP('Données projet'!$B$13,Paramètres!$A$1:$I$89,5,0)</f>
        <v>178.78847999999999</v>
      </c>
      <c r="CV52" s="14">
        <f t="shared" si="41"/>
        <v>45.052539436241446</v>
      </c>
      <c r="CW52" s="22">
        <f t="shared" si="13"/>
        <v>389.85644218478711</v>
      </c>
      <c r="CX52" s="62">
        <f t="shared" si="14"/>
        <v>683.18977551812043</v>
      </c>
      <c r="CY52" s="62">
        <f ca="1">AVERAGE(OFFSET($CX$3,0,0,'Données projet'!$E$13+1,1))-AVERAGE(OFFSET($H$3,0,0,'Données projet'!$E$13+1,1))</f>
        <v>191.03017979797141</v>
      </c>
      <c r="CZ52" s="62">
        <f t="shared" si="42"/>
        <v>222.78252111624278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5.5128205128205083</v>
      </c>
      <c r="DO52" s="13">
        <f>IF('Données projet'!$A$166&gt;35,DO51+DN52-DW51,IF(A52&lt;'Données projet'!$A$166,$DL$205^A52,IF(A52='Données projet'!$A$166,'Données projet'!$B$166,DO51+DN52-DW51)))</f>
        <v>174.61538461538464</v>
      </c>
      <c r="DP52" s="18">
        <f>DO52*VLOOKUP('Données projet'!$B$14,Paramètres!$A$1:$I$89,3,0)*VLOOKUP('Données projet'!$B$14,Paramètres!$A$1:$I$89,5,0)</f>
        <v>166.16400000000004</v>
      </c>
      <c r="DQ52" s="14">
        <f t="shared" si="43"/>
        <v>42.229749328882683</v>
      </c>
      <c r="DR52" s="22">
        <f t="shared" si="16"/>
        <v>362.95244674780406</v>
      </c>
      <c r="DS52" s="62">
        <f t="shared" si="17"/>
        <v>656.28578008113732</v>
      </c>
      <c r="DT52" s="62">
        <f ca="1">AVERAGE(OFFSET($DS$3,0,0,'Données projet'!$E$14+1,1))-AVERAGE(OFFSET($H$3,0,0,'Données projet'!$E$14+1,1))</f>
        <v>260.93525280373063</v>
      </c>
      <c r="DU52" s="62">
        <f t="shared" si="44"/>
        <v>206.83968452163816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1.8720833333333331</v>
      </c>
      <c r="EJ52" s="13">
        <f>IF('Données projet'!$A$192&gt;35,EJ51+EI52-ER51,IF(A52&lt;'Données projet'!$A$192,$EG$205^A52,IF(A52='Données projet'!$A$192,'Données projet'!$B$192,EJ51+EI52-ER51)))</f>
        <v>72.515416666666695</v>
      </c>
      <c r="EK52" s="18">
        <f>EJ52*VLOOKUP('Données projet'!$B$15,Paramètres!$A$1:$I$89,3,0)*VLOOKUP('Données projet'!$B$15,Paramètres!$A$1:$I$89,5,0)</f>
        <v>83.537760000000034</v>
      </c>
      <c r="EL52" s="14">
        <f t="shared" si="45"/>
        <v>22.999994372723616</v>
      </c>
      <c r="EM52" s="22">
        <f t="shared" si="19"/>
        <v>185.55325553249369</v>
      </c>
      <c r="EN52" s="62">
        <f t="shared" si="20"/>
        <v>478.88658886582698</v>
      </c>
      <c r="EO52" s="62">
        <f ca="1">AVERAGE(OFFSET($EN$3,0,0,'Données projet'!$E$15+1,1))-AVERAGE(OFFSET($H$3,0,0,'Données projet'!$E$15+1,1))</f>
        <v>118.01099353898547</v>
      </c>
      <c r="EP52" s="62">
        <f t="shared" si="46"/>
        <v>103.17146760845947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8.1999999999999993</v>
      </c>
      <c r="FE52" s="13">
        <f>IF('Données projet'!$A$218&gt;35,FE51+FD52-FM51,IF(A52&lt;'Données projet'!$A$218,$FB$205^A52,IF(A52='Données projet'!$A$218,'Données projet'!$B$218,FE51+FD52-FM51)))</f>
        <v>190.8</v>
      </c>
      <c r="FF52" s="18">
        <f>FE52*VLOOKUP('Données projet'!$B$16,Paramètres!$A$1:$I$89,3,0)*VLOOKUP('Données projet'!$B$16,Paramètres!$A$1:$I$89,5,0)</f>
        <v>190.49472000000003</v>
      </c>
      <c r="FG52" s="14">
        <f t="shared" si="47"/>
        <v>47.6493118602924</v>
      </c>
      <c r="FH52" s="22">
        <f t="shared" si="22"/>
        <v>414.76752215667602</v>
      </c>
      <c r="FI52" s="62">
        <f t="shared" si="23"/>
        <v>708.10085549000928</v>
      </c>
      <c r="FJ52" s="62">
        <f ca="1">AVERAGE(OFFSET($FI$3,0,0,'Données projet'!$E$16+1,1))-AVERAGE(OFFSET($H$3,0,0,'Données projet'!$E$16+1,1))</f>
        <v>343.71044073996887</v>
      </c>
      <c r="FK52" s="62">
        <f t="shared" si="48"/>
        <v>193.51732627292375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199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199</v>
      </c>
      <c r="O53" s="14">
        <f>N53*VLOOKUP('Données projet'!$B$9,Paramètres!$A$1:$I$89,3,0)*VLOOKUP('Données projet'!$B$9,Paramètres!$A$1:$I$89,5,0)</f>
        <v>180.05519999999999</v>
      </c>
      <c r="P53" s="14">
        <f t="shared" si="33"/>
        <v>45.334466930398364</v>
      </c>
      <c r="Q53" s="22">
        <f t="shared" si="53"/>
        <v>392.55366990377706</v>
      </c>
      <c r="R53" s="62">
        <f t="shared" si="0"/>
        <v>685.88700323711032</v>
      </c>
      <c r="S53" s="62">
        <f ca="1">AVERAGE(OFFSET($R$3,0,0,'Données projet'!$E$9+1,1))-AVERAGE(OFFSET($H$3,0,0,'Données projet'!$E$9+1,1))</f>
        <v>303.73499739059076</v>
      </c>
      <c r="T53" s="62">
        <f t="shared" si="34"/>
        <v>172.32171001882188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42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218</v>
      </c>
      <c r="AG53" s="13">
        <f>VLOOKUP(A53,'Données projet'!$A$61:$I$81,9,0)</f>
        <v>7</v>
      </c>
      <c r="AH53" s="13">
        <f t="array" ref="AH53">INDEX(AG:AG,MIN(IF(ISNUMBER(AG53:AG249),ROW(AG53:AG249),"")))</f>
        <v>7</v>
      </c>
      <c r="AI53" s="14">
        <f>IF('Données projet'!$A$62&gt;35,AI52+AH53-AQ52,IF(A53&lt;'Données projet'!$A$62,$AF$205^A53,IF(A53='Données projet'!$A$62,'Données projet'!$B$62,AI52+AH53-AQ52)))</f>
        <v>217.99999999999986</v>
      </c>
      <c r="AJ53" s="14">
        <f>AI53*VLOOKUP('Données projet'!$B$10,Paramètres!$A$1:$I$89,3,0)*VLOOKUP('Données projet'!$B$10,Paramètres!$A$1:$I$89,5,0)</f>
        <v>159.8375999999999</v>
      </c>
      <c r="AK53" s="14">
        <f t="shared" si="35"/>
        <v>40.805883468734919</v>
      </c>
      <c r="AL53" s="22">
        <f t="shared" si="4"/>
        <v>349.4540670413798</v>
      </c>
      <c r="AM53" s="62">
        <f t="shared" si="5"/>
        <v>642.78740037471312</v>
      </c>
      <c r="AN53" s="62">
        <f ca="1">AVERAGE(OFFSET($AM$3,0,0,'Données projet'!$E$10+1,1))-AVERAGE(OFFSET($H$3,0,0,'Données projet'!$E$10+1,1))</f>
        <v>215.66498680344858</v>
      </c>
      <c r="AO53" s="62">
        <f t="shared" si="36"/>
        <v>199.86715787211114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-5.6843418860808015E-14</v>
      </c>
      <c r="BE53" s="14">
        <f>BD53*VLOOKUP('Données projet'!$B$11,Paramètres!$A$1:$I$89,3,0)*VLOOKUP('Données projet'!$B$11,Paramètres!$A$1:$I$89,5,0)</f>
        <v>-3.3992364478763198E-14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155.11440101086782</v>
      </c>
      <c r="BJ53" s="62">
        <f t="shared" si="38"/>
        <v>239.53454701506638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9.0823637845188898</v>
      </c>
      <c r="BQ53" s="23">
        <f>EXP(-LN(2)/25)*BQ52+(1-EXP(-LN(2)/25))/(LN(2)/25)*Calculateur!BL53*Calculateur!BN53*VLOOKUP('Données projet'!$B$11,Paramètres!$A$1:$I$89,3,0)*0.475*44/12</f>
        <v>4.1594577562962405</v>
      </c>
      <c r="BR53" s="23">
        <f>EXP(-LN(2)/2)*BR52+(1-EXP(-LN(2)/2))/(LN(2)/2)*BL53*BO53*VLOOKUP('Données projet'!$B$11,Paramètres!$A$1:$I$89,3,0)*0.475*44/12</f>
        <v>2.8798272216085745E-3</v>
      </c>
      <c r="BS53" s="24">
        <f t="shared" si="9"/>
        <v>13.24470136803674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-5.6843418860808015E-14</v>
      </c>
      <c r="BZ53" s="14">
        <f>BY53*VLOOKUP('Données projet'!$B$12,Paramètres!$A$1:$I$89,3,0)*VLOOKUP('Données projet'!$B$12,Paramètres!$A$1:$I$89,5,0)</f>
        <v>-3.3992364478763198E-14</v>
      </c>
      <c r="CA53" s="14" t="e">
        <f t="shared" si="39"/>
        <v>#NUM!</v>
      </c>
      <c r="CB53" s="22" t="e">
        <f t="shared" si="10"/>
        <v>#NUM!</v>
      </c>
      <c r="CC53" s="62" t="e">
        <f t="shared" si="11"/>
        <v>#NUM!</v>
      </c>
      <c r="CD53" s="62">
        <f ca="1">AVERAGE(OFFSET($CC$3,0,0,'Données projet'!$E$12+1,1))-AVERAGE(OFFSET($H$3,0,0,'Données projet'!$E$12+1,1))</f>
        <v>155.11440101086782</v>
      </c>
      <c r="CE53" s="62">
        <f t="shared" si="40"/>
        <v>239.53454701506638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9.0823637845188898</v>
      </c>
      <c r="CL53" s="23">
        <f>EXP(-LN(2)/25)*CL52+(1-EXP(-LN(2)/25))/(LN(2)/25)*Calculateur!CG53*Calculateur!CI53*VLOOKUP('Données projet'!$B$12,Paramètres!$A$1:$I$89,3,0)*0.475*44/12</f>
        <v>4.1594577562962405</v>
      </c>
      <c r="CM53" s="23">
        <f>EXP(-LN(2)/2)*CM52+(1-EXP(-LN(2)/2))/(LN(2)/2)*CG53*CJ53*VLOOKUP('Données projet'!$B$12,Paramètres!$A$1:$I$89,3,0)*0.475*44/12</f>
        <v>2.8798272216085745E-3</v>
      </c>
      <c r="CN53" s="24">
        <f t="shared" si="12"/>
        <v>13.24470136803674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228</v>
      </c>
      <c r="CR53" s="13">
        <f>VLOOKUP(A53,'Données projet'!$A$139:$I$159,9,0)</f>
        <v>7.6</v>
      </c>
      <c r="CS53" s="13">
        <f t="array" ref="CS53">INDEX(CR:CR,MIN(IF(ISNUMBER(CR53:CR249),ROW(CR53:CR249),"")))</f>
        <v>7.6</v>
      </c>
      <c r="CT53" s="13">
        <f>IF('Données projet'!$A$140&gt;35,CT52+CS53-DB52,IF(A53&lt;'Données projet'!$A$140,$CQ$205^A53,IF(A53='Données projet'!$A$140,'Données projet'!$B$140,CT52+CS53-DB52)))</f>
        <v>227.99999999999997</v>
      </c>
      <c r="CU53" s="18">
        <f>CT53*VLOOKUP('Données projet'!$B$13,Paramètres!$A$1:$I$89,3,0)*VLOOKUP('Données projet'!$B$13,Paramètres!$A$1:$I$89,5,0)</f>
        <v>184.95359999999999</v>
      </c>
      <c r="CV53" s="14">
        <f t="shared" si="41"/>
        <v>46.42252355095799</v>
      </c>
      <c r="CW53" s="22">
        <f t="shared" si="13"/>
        <v>402.98008185125178</v>
      </c>
      <c r="CX53" s="62">
        <f t="shared" si="14"/>
        <v>696.3134151845851</v>
      </c>
      <c r="CY53" s="62">
        <f ca="1">AVERAGE(OFFSET($CX$3,0,0,'Données projet'!$E$13+1,1))-AVERAGE(OFFSET($H$3,0,0,'Données projet'!$E$13+1,1))</f>
        <v>191.03017979797141</v>
      </c>
      <c r="CZ53" s="62">
        <f t="shared" si="42"/>
        <v>222.78252111624278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180.12820512820511</v>
      </c>
      <c r="DM53" s="13">
        <f>VLOOKUP(A53,'Données projet'!$A$165:$I$185,9,0)</f>
        <v>5.5128205128205083</v>
      </c>
      <c r="DN53" s="13">
        <f t="array" ref="DN53">INDEX(DM:DM,MIN(IF(ISNUMBER(DM53:DM249),ROW(DM53:DM249),"")))</f>
        <v>5.5128205128205083</v>
      </c>
      <c r="DO53" s="13">
        <f>IF('Données projet'!$A$166&gt;35,DO52+DN53-DW52,IF(A53&lt;'Données projet'!$A$166,$DL$205^A53,IF(A53='Données projet'!$A$166,'Données projet'!$B$166,DO52+DN53-DW52)))</f>
        <v>180.12820512820514</v>
      </c>
      <c r="DP53" s="18">
        <f>DO53*VLOOKUP('Données projet'!$B$14,Paramètres!$A$1:$I$89,3,0)*VLOOKUP('Données projet'!$B$14,Paramètres!$A$1:$I$89,5,0)</f>
        <v>171.41000000000003</v>
      </c>
      <c r="DQ53" s="14">
        <f t="shared" si="43"/>
        <v>43.405664710300847</v>
      </c>
      <c r="DR53" s="22">
        <f t="shared" si="16"/>
        <v>374.13728270377402</v>
      </c>
      <c r="DS53" s="62">
        <f t="shared" si="17"/>
        <v>667.47061603710733</v>
      </c>
      <c r="DT53" s="62">
        <f ca="1">AVERAGE(OFFSET($DS$3,0,0,'Données projet'!$E$14+1,1))-AVERAGE(OFFSET($H$3,0,0,'Données projet'!$E$14+1,1))</f>
        <v>260.93525280373063</v>
      </c>
      <c r="DU53" s="62">
        <f t="shared" si="44"/>
        <v>206.83968452163816</v>
      </c>
      <c r="DV53" s="16">
        <f>IF(ISNA(VLOOKUP(A53,'Données projet'!$A$165:$I$185,3,0)),0,VLOOKUP(A53,'Données projet'!$A$165:$I$185,3,0))</f>
        <v>4</v>
      </c>
      <c r="DW53" s="16">
        <f>IF(ISNA(VLOOKUP(A53,'Données projet'!$A$165:$I$185,4,0)),0,VLOOKUP(A53,'Données projet'!$A$165:$I$185,4,0))</f>
        <v>30.769230769230766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74.387500000000003</v>
      </c>
      <c r="EH53" s="13">
        <f>VLOOKUP(A53,'Données projet'!$A$191:$I$211,9,0)</f>
        <v>1.8720833333333331</v>
      </c>
      <c r="EI53" s="13">
        <f t="array" ref="EI53">INDEX(EH:EH,MIN(IF(ISNUMBER(EH53:EH249),ROW(EH53:EH249),"")))</f>
        <v>1.8720833333333331</v>
      </c>
      <c r="EJ53" s="13">
        <f>IF('Données projet'!$A$192&gt;35,EJ52+EI53-ER52,IF(A53&lt;'Données projet'!$A$192,$EG$205^A53,IF(A53='Données projet'!$A$192,'Données projet'!$B$192,EJ52+EI53-ER52)))</f>
        <v>74.387500000000031</v>
      </c>
      <c r="EK53" s="18">
        <f>EJ53*VLOOKUP('Données projet'!$B$15,Paramètres!$A$1:$I$89,3,0)*VLOOKUP('Données projet'!$B$15,Paramètres!$A$1:$I$89,5,0)</f>
        <v>85.694400000000016</v>
      </c>
      <c r="EL53" s="14">
        <f t="shared" si="45"/>
        <v>23.523873913177109</v>
      </c>
      <c r="EM53" s="22">
        <f t="shared" si="19"/>
        <v>190.22182706545016</v>
      </c>
      <c r="EN53" s="62">
        <f t="shared" si="20"/>
        <v>483.55516039878347</v>
      </c>
      <c r="EO53" s="62">
        <f ca="1">AVERAGE(OFFSET($EN$3,0,0,'Données projet'!$E$15+1,1))-AVERAGE(OFFSET($H$3,0,0,'Données projet'!$E$15+1,1))</f>
        <v>118.01099353898547</v>
      </c>
      <c r="EP53" s="62">
        <f t="shared" si="46"/>
        <v>103.17146760845947</v>
      </c>
      <c r="EQ53" s="16">
        <f>IF(ISNA(VLOOKUP(A53,'Données projet'!$A$191:$I$211,3,0)),0,VLOOKUP(A53,'Données projet'!$A$191:$I$211,3,0))</f>
        <v>3</v>
      </c>
      <c r="ER53" s="16">
        <f>IF(ISNA(VLOOKUP(A53,'Données projet'!$A$191:$I$211,4,0)),0,VLOOKUP(A53,'Données projet'!$A$191:$I$211,4,0))</f>
        <v>7.7500000000000009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199</v>
      </c>
      <c r="FC53" s="13">
        <f>VLOOKUP(A53,'Données projet'!$A$217:$I$237,9,0)</f>
        <v>8.1999999999999993</v>
      </c>
      <c r="FD53" s="13">
        <f t="array" ref="FD53">INDEX(FC:FC,MIN(IF(ISNUMBER(FC53:FC249),ROW(FC53:FC249),"")))</f>
        <v>8.1999999999999993</v>
      </c>
      <c r="FE53" s="13">
        <f>IF('Données projet'!$A$218&gt;35,FE52+FD53-FM52,IF(A53&lt;'Données projet'!$A$218,$FB$205^A53,IF(A53='Données projet'!$A$218,'Données projet'!$B$218,FE52+FD53-FM52)))</f>
        <v>199</v>
      </c>
      <c r="FF53" s="18">
        <f>FE53*VLOOKUP('Données projet'!$B$16,Paramètres!$A$1:$I$89,3,0)*VLOOKUP('Données projet'!$B$16,Paramètres!$A$1:$I$89,5,0)</f>
        <v>198.6816</v>
      </c>
      <c r="FG53" s="14">
        <f t="shared" si="47"/>
        <v>49.454311874015559</v>
      </c>
      <c r="FH53" s="22">
        <f t="shared" si="22"/>
        <v>432.17004651391039</v>
      </c>
      <c r="FI53" s="62">
        <f t="shared" si="23"/>
        <v>725.50337984724365</v>
      </c>
      <c r="FJ53" s="62">
        <f ca="1">AVERAGE(OFFSET($FI$3,0,0,'Données projet'!$E$16+1,1))-AVERAGE(OFFSET($H$3,0,0,'Données projet'!$E$16+1,1))</f>
        <v>343.71044073996887</v>
      </c>
      <c r="FK53" s="62">
        <f t="shared" si="48"/>
        <v>193.51732627292375</v>
      </c>
      <c r="FL53" s="16">
        <f>IF(ISNA(VLOOKUP(A53,'Données projet'!$A$217:$I$237,3,0)),0,VLOOKUP(A53,'Données projet'!$A$217:$I$237,3,0))</f>
        <v>3</v>
      </c>
      <c r="FM53" s="16">
        <f>IF(ISNA(VLOOKUP(A53,'Données projet'!$A$217:$I$237,4,0)),0,VLOOKUP(A53,'Données projet'!$A$217:$I$237,4,0))</f>
        <v>42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149.29199999999997</v>
      </c>
      <c r="P54" s="14">
        <f t="shared" si="33"/>
        <v>38.417645803815411</v>
      </c>
      <c r="Q54" s="22">
        <f t="shared" si="53"/>
        <v>326.9276331083118</v>
      </c>
      <c r="R54" s="62">
        <f t="shared" si="0"/>
        <v>620.26096644164511</v>
      </c>
      <c r="S54" s="62">
        <f ca="1">AVERAGE(OFFSET($R$3,0,0,'Données projet'!$E$9+1,1))-AVERAGE(OFFSET($H$3,0,0,'Données projet'!$E$9+1,1))</f>
        <v>303.73499739059076</v>
      </c>
      <c r="T54" s="62">
        <f t="shared" si="34"/>
        <v>172.32171001882188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6.4</v>
      </c>
      <c r="AI54" s="14">
        <f>IF('Données projet'!$A$62&gt;35,AI53+AH54-AQ53,IF(A54&lt;'Données projet'!$A$62,$AF$205^A54,IF(A54='Données projet'!$A$62,'Données projet'!$B$62,AI53+AH54-AQ53)))</f>
        <v>224.39999999999986</v>
      </c>
      <c r="AJ54" s="14">
        <f>AI54*VLOOKUP('Données projet'!$B$10,Paramètres!$A$1:$I$89,3,0)*VLOOKUP('Données projet'!$B$10,Paramètres!$A$1:$I$89,5,0)</f>
        <v>164.53007999999991</v>
      </c>
      <c r="AK54" s="14">
        <f t="shared" si="35"/>
        <v>41.862621381083777</v>
      </c>
      <c r="AL54" s="22">
        <f t="shared" si="4"/>
        <v>359.46728823872076</v>
      </c>
      <c r="AM54" s="62">
        <f t="shared" si="5"/>
        <v>652.80062157205407</v>
      </c>
      <c r="AN54" s="62">
        <f ca="1">AVERAGE(OFFSET($AM$3,0,0,'Données projet'!$E$10+1,1))-AVERAGE(OFFSET($H$3,0,0,'Données projet'!$E$10+1,1))</f>
        <v>215.66498680344858</v>
      </c>
      <c r="AO54" s="62">
        <f t="shared" si="36"/>
        <v>199.86715787211114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-5.6843418860808015E-14</v>
      </c>
      <c r="BE54" s="14">
        <f>BD54*VLOOKUP('Données projet'!$B$11,Paramètres!$A$1:$I$89,3,0)*VLOOKUP('Données projet'!$B$11,Paramètres!$A$1:$I$89,5,0)</f>
        <v>-3.3992364478763198E-14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155.11440101086782</v>
      </c>
      <c r="BJ54" s="62">
        <f t="shared" si="38"/>
        <v>239.53454701506638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8.904264170399383</v>
      </c>
      <c r="BQ54" s="23">
        <f>EXP(-LN(2)/25)*BQ53+(1-EXP(-LN(2)/25))/(LN(2)/25)*Calculateur!BL54*Calculateur!BN54*VLOOKUP('Données projet'!$B$11,Paramètres!$A$1:$I$89,3,0)*0.475*44/12</f>
        <v>4.0457171652139428</v>
      </c>
      <c r="BR54" s="23">
        <f>EXP(-LN(2)/2)*BR53+(1-EXP(-LN(2)/2))/(LN(2)/2)*BL54*BO54*VLOOKUP('Données projet'!$B$11,Paramètres!$A$1:$I$89,3,0)*0.475*44/12</f>
        <v>2.0363453570450374E-3</v>
      </c>
      <c r="BS54" s="24">
        <f t="shared" si="9"/>
        <v>12.952017680970371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-5.6843418860808015E-14</v>
      </c>
      <c r="BZ54" s="14">
        <f>BY54*VLOOKUP('Données projet'!$B$12,Paramètres!$A$1:$I$89,3,0)*VLOOKUP('Données projet'!$B$12,Paramètres!$A$1:$I$89,5,0)</f>
        <v>-3.3992364478763198E-14</v>
      </c>
      <c r="CA54" s="14" t="e">
        <f t="shared" si="39"/>
        <v>#NUM!</v>
      </c>
      <c r="CB54" s="22" t="e">
        <f t="shared" si="10"/>
        <v>#NUM!</v>
      </c>
      <c r="CC54" s="62" t="e">
        <f t="shared" si="11"/>
        <v>#NUM!</v>
      </c>
      <c r="CD54" s="62">
        <f ca="1">AVERAGE(OFFSET($CC$3,0,0,'Données projet'!$E$12+1,1))-AVERAGE(OFFSET($H$3,0,0,'Données projet'!$E$12+1,1))</f>
        <v>155.11440101086782</v>
      </c>
      <c r="CE54" s="62">
        <f t="shared" si="40"/>
        <v>239.53454701506638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8.904264170399383</v>
      </c>
      <c r="CL54" s="23">
        <f>EXP(-LN(2)/25)*CL53+(1-EXP(-LN(2)/25))/(LN(2)/25)*Calculateur!CG54*Calculateur!CI54*VLOOKUP('Données projet'!$B$12,Paramètres!$A$1:$I$89,3,0)*0.475*44/12</f>
        <v>4.0457171652139428</v>
      </c>
      <c r="CM54" s="23">
        <f>EXP(-LN(2)/2)*CM53+(1-EXP(-LN(2)/2))/(LN(2)/2)*CG54*CJ54*VLOOKUP('Données projet'!$B$12,Paramètres!$A$1:$I$89,3,0)*0.475*44/12</f>
        <v>2.0363453570450374E-3</v>
      </c>
      <c r="CN54" s="24">
        <f t="shared" si="12"/>
        <v>12.952017680970371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7.6</v>
      </c>
      <c r="CT54" s="13">
        <f>IF('Données projet'!$A$140&gt;35,CT53+CS54-DB53,IF(A54&lt;'Données projet'!$A$140,$CQ$205^A54,IF(A54='Données projet'!$A$140,'Données projet'!$B$140,CT53+CS54-DB53)))</f>
        <v>235.59999999999997</v>
      </c>
      <c r="CU54" s="18">
        <f>CT54*VLOOKUP('Données projet'!$B$13,Paramètres!$A$1:$I$89,3,0)*VLOOKUP('Données projet'!$B$13,Paramètres!$A$1:$I$89,5,0)</f>
        <v>191.11872</v>
      </c>
      <c r="CV54" s="14">
        <f t="shared" si="41"/>
        <v>47.787201388032145</v>
      </c>
      <c r="CW54" s="22">
        <f t="shared" si="13"/>
        <v>416.09447975082259</v>
      </c>
      <c r="CX54" s="62">
        <f t="shared" si="14"/>
        <v>709.4278130841559</v>
      </c>
      <c r="CY54" s="62">
        <f ca="1">AVERAGE(OFFSET($CX$3,0,0,'Données projet'!$E$13+1,1))-AVERAGE(OFFSET($H$3,0,0,'Données projet'!$E$13+1,1))</f>
        <v>191.03017979797141</v>
      </c>
      <c r="CZ54" s="62">
        <f t="shared" si="42"/>
        <v>222.78252111624278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5.2564102564102599</v>
      </c>
      <c r="DO54" s="13">
        <f>IF('Données projet'!$A$166&gt;35,DO53+DN54-DW53,IF(A54&lt;'Données projet'!$A$166,$DL$205^A54,IF(A54='Données projet'!$A$166,'Données projet'!$B$166,DO53+DN54-DW53)))</f>
        <v>154.61538461538461</v>
      </c>
      <c r="DP54" s="18">
        <f>DO54*VLOOKUP('Données projet'!$B$14,Paramètres!$A$1:$I$89,3,0)*VLOOKUP('Données projet'!$B$14,Paramètres!$A$1:$I$89,5,0)</f>
        <v>147.13200000000001</v>
      </c>
      <c r="DQ54" s="14">
        <f t="shared" si="43"/>
        <v>37.926091844382093</v>
      </c>
      <c r="DR54" s="22">
        <f t="shared" si="16"/>
        <v>322.30950996229876</v>
      </c>
      <c r="DS54" s="62">
        <f t="shared" si="17"/>
        <v>615.64284329563202</v>
      </c>
      <c r="DT54" s="62">
        <f ca="1">AVERAGE(OFFSET($DS$3,0,0,'Données projet'!$E$14+1,1))-AVERAGE(OFFSET($H$3,0,0,'Données projet'!$E$14+1,1))</f>
        <v>260.93525280373063</v>
      </c>
      <c r="DU54" s="62">
        <f t="shared" si="44"/>
        <v>206.83968452163816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1.7724999999999995</v>
      </c>
      <c r="EJ54" s="13">
        <f>IF('Données projet'!$A$192&gt;35,EJ53+EI54-ER53,IF(A54&lt;'Données projet'!$A$192,$EG$205^A54,IF(A54='Données projet'!$A$192,'Données projet'!$B$192,EJ53+EI54-ER53)))</f>
        <v>68.410000000000025</v>
      </c>
      <c r="EK54" s="18">
        <f>EJ54*VLOOKUP('Données projet'!$B$15,Paramètres!$A$1:$I$89,3,0)*VLOOKUP('Données projet'!$B$15,Paramètres!$A$1:$I$89,5,0)</f>
        <v>78.808320000000023</v>
      </c>
      <c r="EL54" s="14">
        <f t="shared" si="45"/>
        <v>21.845558157973084</v>
      </c>
      <c r="EM54" s="22">
        <f t="shared" si="19"/>
        <v>175.30550445846984</v>
      </c>
      <c r="EN54" s="62">
        <f t="shared" si="20"/>
        <v>468.63883779180316</v>
      </c>
      <c r="EO54" s="62">
        <f ca="1">AVERAGE(OFFSET($EN$3,0,0,'Données projet'!$E$15+1,1))-AVERAGE(OFFSET($H$3,0,0,'Données projet'!$E$15+1,1))</f>
        <v>118.01099353898547</v>
      </c>
      <c r="EP54" s="62">
        <f t="shared" si="46"/>
        <v>103.17146760845947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8</v>
      </c>
      <c r="FE54" s="13">
        <f>IF('Données projet'!$A$218&gt;35,FE53+FD54-FM53,IF(A54&lt;'Données projet'!$A$218,$FB$205^A54,IF(A54='Données projet'!$A$218,'Données projet'!$B$218,FE53+FD54-FM53)))</f>
        <v>165</v>
      </c>
      <c r="FF54" s="18">
        <f>FE54*VLOOKUP('Données projet'!$B$16,Paramètres!$A$1:$I$89,3,0)*VLOOKUP('Données projet'!$B$16,Paramètres!$A$1:$I$89,5,0)</f>
        <v>164.73600000000002</v>
      </c>
      <c r="FG54" s="14">
        <f t="shared" si="47"/>
        <v>41.908913144700328</v>
      </c>
      <c r="FH54" s="22">
        <f t="shared" si="22"/>
        <v>359.90655706035312</v>
      </c>
      <c r="FI54" s="62">
        <f t="shared" si="23"/>
        <v>653.23989039368644</v>
      </c>
      <c r="FJ54" s="62">
        <f ca="1">AVERAGE(OFFSET($FI$3,0,0,'Données projet'!$E$16+1,1))-AVERAGE(OFFSET($H$3,0,0,'Données projet'!$E$16+1,1))</f>
        <v>343.71044073996887</v>
      </c>
      <c r="FK54" s="62">
        <f t="shared" si="48"/>
        <v>193.51732627292375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156.53039999999999</v>
      </c>
      <c r="P55" s="14">
        <f t="shared" si="33"/>
        <v>40.058941713182037</v>
      </c>
      <c r="Q55" s="22">
        <f t="shared" si="53"/>
        <v>342.393103483792</v>
      </c>
      <c r="R55" s="62">
        <f t="shared" si="0"/>
        <v>635.72643681712532</v>
      </c>
      <c r="S55" s="62">
        <f ca="1">AVERAGE(OFFSET($R$3,0,0,'Données projet'!$E$9+1,1))-AVERAGE(OFFSET($H$3,0,0,'Données projet'!$E$9+1,1))</f>
        <v>303.73499739059076</v>
      </c>
      <c r="T55" s="62">
        <f t="shared" si="34"/>
        <v>172.32171001882188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6.4</v>
      </c>
      <c r="AI55" s="14">
        <f>IF('Données projet'!$A$62&gt;35,AI54+AH55-AQ54,IF(A55&lt;'Données projet'!$A$62,$AF$205^A55,IF(A55='Données projet'!$A$62,'Données projet'!$B$62,AI54+AH55-AQ54)))</f>
        <v>230.79999999999987</v>
      </c>
      <c r="AJ55" s="14">
        <f>AI55*VLOOKUP('Données projet'!$B$10,Paramètres!$A$1:$I$89,3,0)*VLOOKUP('Données projet'!$B$10,Paramètres!$A$1:$I$89,5,0)</f>
        <v>169.2225599999999</v>
      </c>
      <c r="AK55" s="14">
        <f t="shared" si="35"/>
        <v>42.915856464527835</v>
      </c>
      <c r="AL55" s="22">
        <f t="shared" si="4"/>
        <v>369.47440867571908</v>
      </c>
      <c r="AM55" s="62">
        <f t="shared" si="5"/>
        <v>662.80774200905239</v>
      </c>
      <c r="AN55" s="62">
        <f ca="1">AVERAGE(OFFSET($AM$3,0,0,'Données projet'!$E$10+1,1))-AVERAGE(OFFSET($H$3,0,0,'Données projet'!$E$10+1,1))</f>
        <v>215.66498680344858</v>
      </c>
      <c r="AO55" s="62">
        <f t="shared" si="36"/>
        <v>199.86715787211114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-5.6843418860808015E-14</v>
      </c>
      <c r="BE55" s="14">
        <f>BD55*VLOOKUP('Données projet'!$B$11,Paramètres!$A$1:$I$89,3,0)*VLOOKUP('Données projet'!$B$11,Paramètres!$A$1:$I$89,5,0)</f>
        <v>-3.3992364478763198E-14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155.11440101086782</v>
      </c>
      <c r="BJ55" s="62">
        <f t="shared" si="38"/>
        <v>239.53454701506638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8.7296569810827211</v>
      </c>
      <c r="BQ55" s="23">
        <f>EXP(-LN(2)/25)*BQ54+(1-EXP(-LN(2)/25))/(LN(2)/25)*Calculateur!BL55*Calculateur!BN55*VLOOKUP('Données projet'!$B$11,Paramètres!$A$1:$I$89,3,0)*0.475*44/12</f>
        <v>3.9350868165761486</v>
      </c>
      <c r="BR55" s="23">
        <f>EXP(-LN(2)/2)*BR54+(1-EXP(-LN(2)/2))/(LN(2)/2)*BL55*BO55*VLOOKUP('Données projet'!$B$11,Paramètres!$A$1:$I$89,3,0)*0.475*44/12</f>
        <v>1.4399136108042873E-3</v>
      </c>
      <c r="BS55" s="24">
        <f t="shared" si="9"/>
        <v>12.666183711269674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-5.6843418860808015E-14</v>
      </c>
      <c r="BZ55" s="14">
        <f>BY55*VLOOKUP('Données projet'!$B$12,Paramètres!$A$1:$I$89,3,0)*VLOOKUP('Données projet'!$B$12,Paramètres!$A$1:$I$89,5,0)</f>
        <v>-3.3992364478763198E-14</v>
      </c>
      <c r="CA55" s="14" t="e">
        <f t="shared" si="39"/>
        <v>#NUM!</v>
      </c>
      <c r="CB55" s="22" t="e">
        <f t="shared" si="10"/>
        <v>#NUM!</v>
      </c>
      <c r="CC55" s="62" t="e">
        <f t="shared" si="11"/>
        <v>#NUM!</v>
      </c>
      <c r="CD55" s="62">
        <f ca="1">AVERAGE(OFFSET($CC$3,0,0,'Données projet'!$E$12+1,1))-AVERAGE(OFFSET($H$3,0,0,'Données projet'!$E$12+1,1))</f>
        <v>155.11440101086782</v>
      </c>
      <c r="CE55" s="62">
        <f t="shared" si="40"/>
        <v>239.53454701506638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8.7296569810827211</v>
      </c>
      <c r="CL55" s="23">
        <f>EXP(-LN(2)/25)*CL54+(1-EXP(-LN(2)/25))/(LN(2)/25)*Calculateur!CG55*Calculateur!CI55*VLOOKUP('Données projet'!$B$12,Paramètres!$A$1:$I$89,3,0)*0.475*44/12</f>
        <v>3.9350868165761486</v>
      </c>
      <c r="CM55" s="23">
        <f>EXP(-LN(2)/2)*CM54+(1-EXP(-LN(2)/2))/(LN(2)/2)*CG55*CJ55*VLOOKUP('Données projet'!$B$12,Paramètres!$A$1:$I$89,3,0)*0.475*44/12</f>
        <v>1.4399136108042873E-3</v>
      </c>
      <c r="CN55" s="24">
        <f t="shared" si="12"/>
        <v>12.666183711269674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7.6</v>
      </c>
      <c r="CT55" s="13">
        <f>IF('Données projet'!$A$140&gt;35,CT54+CS55-DB54,IF(A55&lt;'Données projet'!$A$140,$CQ$205^A55,IF(A55='Données projet'!$A$140,'Données projet'!$B$140,CT54+CS55-DB54)))</f>
        <v>243.19999999999996</v>
      </c>
      <c r="CU55" s="18">
        <f>CT55*VLOOKUP('Données projet'!$B$13,Paramètres!$A$1:$I$89,3,0)*VLOOKUP('Données projet'!$B$13,Paramètres!$A$1:$I$89,5,0)</f>
        <v>197.28383999999997</v>
      </c>
      <c r="CV55" s="14">
        <f t="shared" si="41"/>
        <v>49.146763750789503</v>
      </c>
      <c r="CW55" s="22">
        <f t="shared" si="13"/>
        <v>429.19996819929173</v>
      </c>
      <c r="CX55" s="62">
        <f t="shared" si="14"/>
        <v>722.53330153262505</v>
      </c>
      <c r="CY55" s="62">
        <f ca="1">AVERAGE(OFFSET($CX$3,0,0,'Données projet'!$E$13+1,1))-AVERAGE(OFFSET($H$3,0,0,'Données projet'!$E$13+1,1))</f>
        <v>191.03017979797141</v>
      </c>
      <c r="CZ55" s="62">
        <f t="shared" si="42"/>
        <v>222.78252111624278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5.2564102564102599</v>
      </c>
      <c r="DO55" s="13">
        <f>IF('Données projet'!$A$166&gt;35,DO54+DN55-DW54,IF(A55&lt;'Données projet'!$A$166,$DL$205^A55,IF(A55='Données projet'!$A$166,'Données projet'!$B$166,DO54+DN55-DW54)))</f>
        <v>159.87179487179486</v>
      </c>
      <c r="DP55" s="18">
        <f>DO55*VLOOKUP('Données projet'!$B$14,Paramètres!$A$1:$I$89,3,0)*VLOOKUP('Données projet'!$B$14,Paramètres!$A$1:$I$89,5,0)</f>
        <v>152.13399999999999</v>
      </c>
      <c r="DQ55" s="14">
        <f t="shared" si="43"/>
        <v>39.063145346110034</v>
      </c>
      <c r="DR55" s="22">
        <f t="shared" si="16"/>
        <v>333.00169481114159</v>
      </c>
      <c r="DS55" s="62">
        <f t="shared" si="17"/>
        <v>626.3350281444749</v>
      </c>
      <c r="DT55" s="62">
        <f ca="1">AVERAGE(OFFSET($DS$3,0,0,'Données projet'!$E$14+1,1))-AVERAGE(OFFSET($H$3,0,0,'Données projet'!$E$14+1,1))</f>
        <v>260.93525280373063</v>
      </c>
      <c r="DU55" s="62">
        <f t="shared" si="44"/>
        <v>206.83968452163816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1.7724999999999995</v>
      </c>
      <c r="EJ55" s="13">
        <f>IF('Données projet'!$A$192&gt;35,EJ54+EI55-ER54,IF(A55&lt;'Données projet'!$A$192,$EG$205^A55,IF(A55='Données projet'!$A$192,'Données projet'!$B$192,EJ54+EI55-ER54)))</f>
        <v>70.182500000000019</v>
      </c>
      <c r="EK55" s="18">
        <f>EJ55*VLOOKUP('Données projet'!$B$15,Paramètres!$A$1:$I$89,3,0)*VLOOKUP('Données projet'!$B$15,Paramètres!$A$1:$I$89,5,0)</f>
        <v>80.850240000000028</v>
      </c>
      <c r="EL55" s="14">
        <f t="shared" si="45"/>
        <v>22.344944145436859</v>
      </c>
      <c r="EM55" s="22">
        <f t="shared" si="19"/>
        <v>179.7316123866359</v>
      </c>
      <c r="EN55" s="62">
        <f t="shared" si="20"/>
        <v>473.06494571996922</v>
      </c>
      <c r="EO55" s="62">
        <f ca="1">AVERAGE(OFFSET($EN$3,0,0,'Données projet'!$E$15+1,1))-AVERAGE(OFFSET($H$3,0,0,'Données projet'!$E$15+1,1))</f>
        <v>118.01099353898547</v>
      </c>
      <c r="EP55" s="62">
        <f t="shared" si="46"/>
        <v>103.17146760845947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8</v>
      </c>
      <c r="FE55" s="13">
        <f>IF('Données projet'!$A$218&gt;35,FE54+FD55-FM54,IF(A55&lt;'Données projet'!$A$218,$FB$205^A55,IF(A55='Données projet'!$A$218,'Données projet'!$B$218,FE54+FD55-FM54)))</f>
        <v>173</v>
      </c>
      <c r="FF55" s="18">
        <f>FE55*VLOOKUP('Données projet'!$B$16,Paramètres!$A$1:$I$89,3,0)*VLOOKUP('Données projet'!$B$16,Paramètres!$A$1:$I$89,5,0)</f>
        <v>172.72319999999999</v>
      </c>
      <c r="FG55" s="14">
        <f t="shared" si="47"/>
        <v>43.699364544602702</v>
      </c>
      <c r="FH55" s="22">
        <f t="shared" si="22"/>
        <v>376.9359665818497</v>
      </c>
      <c r="FI55" s="62">
        <f t="shared" si="23"/>
        <v>670.26929991518296</v>
      </c>
      <c r="FJ55" s="62">
        <f ca="1">AVERAGE(OFFSET($FI$3,0,0,'Données projet'!$E$16+1,1))-AVERAGE(OFFSET($H$3,0,0,'Données projet'!$E$16+1,1))</f>
        <v>343.71044073996887</v>
      </c>
      <c r="FK55" s="62">
        <f t="shared" si="48"/>
        <v>193.51732627292375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163.7688</v>
      </c>
      <c r="P56" s="14">
        <f t="shared" si="33"/>
        <v>41.691423503509803</v>
      </c>
      <c r="Q56" s="22">
        <f t="shared" si="53"/>
        <v>357.84322260194625</v>
      </c>
      <c r="R56" s="62">
        <f t="shared" si="0"/>
        <v>651.17655593527957</v>
      </c>
      <c r="S56" s="62">
        <f ca="1">AVERAGE(OFFSET($R$3,0,0,'Données projet'!$E$9+1,1))-AVERAGE(OFFSET($H$3,0,0,'Données projet'!$E$9+1,1))</f>
        <v>303.73499739059076</v>
      </c>
      <c r="T56" s="62">
        <f t="shared" si="34"/>
        <v>172.32171001882188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6.4</v>
      </c>
      <c r="AI56" s="14">
        <f>IF('Données projet'!$A$62&gt;35,AI55+AH56-AQ55,IF(A56&lt;'Données projet'!$A$62,$AF$205^A56,IF(A56='Données projet'!$A$62,'Données projet'!$B$62,AI55+AH56-AQ55)))</f>
        <v>237.19999999999987</v>
      </c>
      <c r="AJ56" s="14">
        <f>AI56*VLOOKUP('Données projet'!$B$10,Paramètres!$A$1:$I$89,3,0)*VLOOKUP('Données projet'!$B$10,Paramètres!$A$1:$I$89,5,0)</f>
        <v>173.91503999999992</v>
      </c>
      <c r="AK56" s="14">
        <f t="shared" si="35"/>
        <v>43.965697010718181</v>
      </c>
      <c r="AL56" s="22">
        <f t="shared" si="4"/>
        <v>379.47561696033398</v>
      </c>
      <c r="AM56" s="62">
        <f t="shared" si="5"/>
        <v>672.80895029366729</v>
      </c>
      <c r="AN56" s="62">
        <f ca="1">AVERAGE(OFFSET($AM$3,0,0,'Données projet'!$E$10+1,1))-AVERAGE(OFFSET($H$3,0,0,'Données projet'!$E$10+1,1))</f>
        <v>215.66498680344858</v>
      </c>
      <c r="AO56" s="62">
        <f t="shared" si="36"/>
        <v>199.86715787211114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-5.6843418860808015E-14</v>
      </c>
      <c r="BE56" s="14">
        <f>BD56*VLOOKUP('Données projet'!$B$11,Paramètres!$A$1:$I$89,3,0)*VLOOKUP('Données projet'!$B$11,Paramètres!$A$1:$I$89,5,0)</f>
        <v>-3.3992364478763198E-14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155.11440101086782</v>
      </c>
      <c r="BJ56" s="62">
        <f t="shared" si="38"/>
        <v>239.53454701506638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8.5584737322486895</v>
      </c>
      <c r="BQ56" s="23">
        <f>EXP(-LN(2)/25)*BQ55+(1-EXP(-LN(2)/25))/(LN(2)/25)*Calculateur!BL56*Calculateur!BN56*VLOOKUP('Données projet'!$B$11,Paramètres!$A$1:$I$89,3,0)*0.475*44/12</f>
        <v>3.827481660639652</v>
      </c>
      <c r="BR56" s="23">
        <f>EXP(-LN(2)/2)*BR55+(1-EXP(-LN(2)/2))/(LN(2)/2)*BL56*BO56*VLOOKUP('Données projet'!$B$11,Paramètres!$A$1:$I$89,3,0)*0.475*44/12</f>
        <v>1.0181726785225187E-3</v>
      </c>
      <c r="BS56" s="24">
        <f t="shared" si="9"/>
        <v>12.386973565566864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-5.6843418860808015E-14</v>
      </c>
      <c r="BZ56" s="14">
        <f>BY56*VLOOKUP('Données projet'!$B$12,Paramètres!$A$1:$I$89,3,0)*VLOOKUP('Données projet'!$B$12,Paramètres!$A$1:$I$89,5,0)</f>
        <v>-3.3992364478763198E-14</v>
      </c>
      <c r="CA56" s="14" t="e">
        <f t="shared" si="39"/>
        <v>#NUM!</v>
      </c>
      <c r="CB56" s="22" t="e">
        <f t="shared" si="10"/>
        <v>#NUM!</v>
      </c>
      <c r="CC56" s="62" t="e">
        <f t="shared" si="11"/>
        <v>#NUM!</v>
      </c>
      <c r="CD56" s="62">
        <f ca="1">AVERAGE(OFFSET($CC$3,0,0,'Données projet'!$E$12+1,1))-AVERAGE(OFFSET($H$3,0,0,'Données projet'!$E$12+1,1))</f>
        <v>155.11440101086782</v>
      </c>
      <c r="CE56" s="62">
        <f t="shared" si="40"/>
        <v>239.53454701506638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8.5584737322486895</v>
      </c>
      <c r="CL56" s="23">
        <f>EXP(-LN(2)/25)*CL55+(1-EXP(-LN(2)/25))/(LN(2)/25)*Calculateur!CG56*Calculateur!CI56*VLOOKUP('Données projet'!$B$12,Paramètres!$A$1:$I$89,3,0)*0.475*44/12</f>
        <v>3.827481660639652</v>
      </c>
      <c r="CM56" s="23">
        <f>EXP(-LN(2)/2)*CM55+(1-EXP(-LN(2)/2))/(LN(2)/2)*CG56*CJ56*VLOOKUP('Données projet'!$B$12,Paramètres!$A$1:$I$89,3,0)*0.475*44/12</f>
        <v>1.0181726785225187E-3</v>
      </c>
      <c r="CN56" s="24">
        <f t="shared" si="12"/>
        <v>12.386973565566864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7.6</v>
      </c>
      <c r="CT56" s="13">
        <f>IF('Données projet'!$A$140&gt;35,CT55+CS56-DB55,IF(A56&lt;'Données projet'!$A$140,$CQ$205^A56,IF(A56='Données projet'!$A$140,'Données projet'!$B$140,CT55+CS56-DB55)))</f>
        <v>250.79999999999995</v>
      </c>
      <c r="CU56" s="18">
        <f>CT56*VLOOKUP('Données projet'!$B$13,Paramètres!$A$1:$I$89,3,0)*VLOOKUP('Données projet'!$B$13,Paramètres!$A$1:$I$89,5,0)</f>
        <v>203.44895999999997</v>
      </c>
      <c r="CV56" s="14">
        <f t="shared" si="41"/>
        <v>50.501388840000267</v>
      </c>
      <c r="CW56" s="22">
        <f t="shared" si="13"/>
        <v>442.2968575630004</v>
      </c>
      <c r="CX56" s="62">
        <f t="shared" si="14"/>
        <v>735.63019089633372</v>
      </c>
      <c r="CY56" s="62">
        <f ca="1">AVERAGE(OFFSET($CX$3,0,0,'Données projet'!$E$13+1,1))-AVERAGE(OFFSET($H$3,0,0,'Données projet'!$E$13+1,1))</f>
        <v>191.03017979797141</v>
      </c>
      <c r="CZ56" s="62">
        <f t="shared" si="42"/>
        <v>222.78252111624278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5.2564102564102599</v>
      </c>
      <c r="DO56" s="13">
        <f>IF('Données projet'!$A$166&gt;35,DO55+DN56-DW55,IF(A56&lt;'Données projet'!$A$166,$DL$205^A56,IF(A56='Données projet'!$A$166,'Données projet'!$B$166,DO55+DN56-DW55)))</f>
        <v>165.12820512820511</v>
      </c>
      <c r="DP56" s="18">
        <f>DO56*VLOOKUP('Données projet'!$B$14,Paramètres!$A$1:$I$89,3,0)*VLOOKUP('Données projet'!$B$14,Paramètres!$A$1:$I$89,5,0)</f>
        <v>157.136</v>
      </c>
      <c r="DQ56" s="14">
        <f t="shared" si="43"/>
        <v>40.195854714214285</v>
      </c>
      <c r="DR56" s="22">
        <f t="shared" si="16"/>
        <v>343.68631362725654</v>
      </c>
      <c r="DS56" s="62">
        <f t="shared" si="17"/>
        <v>637.01964696058985</v>
      </c>
      <c r="DT56" s="62">
        <f ca="1">AVERAGE(OFFSET($DS$3,0,0,'Données projet'!$E$14+1,1))-AVERAGE(OFFSET($H$3,0,0,'Données projet'!$E$14+1,1))</f>
        <v>260.93525280373063</v>
      </c>
      <c r="DU56" s="62">
        <f t="shared" si="44"/>
        <v>206.83968452163816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1.7724999999999995</v>
      </c>
      <c r="EJ56" s="13">
        <f>IF('Données projet'!$A$192&gt;35,EJ55+EI56-ER55,IF(A56&lt;'Données projet'!$A$192,$EG$205^A56,IF(A56='Données projet'!$A$192,'Données projet'!$B$192,EJ55+EI56-ER55)))</f>
        <v>71.955000000000013</v>
      </c>
      <c r="EK56" s="18">
        <f>EJ56*VLOOKUP('Données projet'!$B$15,Paramètres!$A$1:$I$89,3,0)*VLOOKUP('Données projet'!$B$15,Paramètres!$A$1:$I$89,5,0)</f>
        <v>82.892160000000004</v>
      </c>
      <c r="EL56" s="14">
        <f t="shared" si="45"/>
        <v>22.842864054032365</v>
      </c>
      <c r="EM56" s="22">
        <f t="shared" si="19"/>
        <v>184.15516689410637</v>
      </c>
      <c r="EN56" s="62">
        <f t="shared" si="20"/>
        <v>477.48850022743966</v>
      </c>
      <c r="EO56" s="62">
        <f ca="1">AVERAGE(OFFSET($EN$3,0,0,'Données projet'!$E$15+1,1))-AVERAGE(OFFSET($H$3,0,0,'Données projet'!$E$15+1,1))</f>
        <v>118.01099353898547</v>
      </c>
      <c r="EP56" s="62">
        <f t="shared" si="46"/>
        <v>103.17146760845947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8</v>
      </c>
      <c r="FE56" s="13">
        <f>IF('Données projet'!$A$218&gt;35,FE55+FD56-FM55,IF(A56&lt;'Données projet'!$A$218,$FB$205^A56,IF(A56='Données projet'!$A$218,'Données projet'!$B$218,FE55+FD56-FM55)))</f>
        <v>181</v>
      </c>
      <c r="FF56" s="18">
        <f>FE56*VLOOKUP('Données projet'!$B$16,Paramètres!$A$1:$I$89,3,0)*VLOOKUP('Données projet'!$B$16,Paramètres!$A$1:$I$89,5,0)</f>
        <v>180.71040000000002</v>
      </c>
      <c r="FG56" s="14">
        <f t="shared" si="47"/>
        <v>45.480200827766055</v>
      </c>
      <c r="FH56" s="22">
        <f t="shared" si="22"/>
        <v>393.94862977502589</v>
      </c>
      <c r="FI56" s="62">
        <f t="shared" si="23"/>
        <v>687.28196310835915</v>
      </c>
      <c r="FJ56" s="62">
        <f ca="1">AVERAGE(OFFSET($FI$3,0,0,'Données projet'!$E$16+1,1))-AVERAGE(OFFSET($H$3,0,0,'Données projet'!$E$16+1,1))</f>
        <v>343.71044073996887</v>
      </c>
      <c r="FK56" s="62">
        <f t="shared" si="48"/>
        <v>193.51732627292375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171.00719999999998</v>
      </c>
      <c r="P57" s="14">
        <f t="shared" si="33"/>
        <v>43.315525267338089</v>
      </c>
      <c r="Q57" s="22">
        <f t="shared" si="53"/>
        <v>373.27874650728046</v>
      </c>
      <c r="R57" s="62">
        <f t="shared" si="0"/>
        <v>666.61207984061377</v>
      </c>
      <c r="S57" s="62">
        <f ca="1">AVERAGE(OFFSET($R$3,0,0,'Données projet'!$E$9+1,1))-AVERAGE(OFFSET($H$3,0,0,'Données projet'!$E$9+1,1))</f>
        <v>303.73499739059076</v>
      </c>
      <c r="T57" s="62">
        <f t="shared" si="34"/>
        <v>172.32171001882188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6.4</v>
      </c>
      <c r="AI57" s="14">
        <f>IF('Données projet'!$A$62&gt;35,AI56+AH57-AQ56,IF(A57&lt;'Données projet'!$A$62,$AF$205^A57,IF(A57='Données projet'!$A$62,'Données projet'!$B$62,AI56+AH57-AQ56)))</f>
        <v>243.59999999999988</v>
      </c>
      <c r="AJ57" s="14">
        <f>AI57*VLOOKUP('Données projet'!$B$10,Paramètres!$A$1:$I$89,3,0)*VLOOKUP('Données projet'!$B$10,Paramètres!$A$1:$I$89,5,0)</f>
        <v>178.60751999999991</v>
      </c>
      <c r="AK57" s="14">
        <f t="shared" si="35"/>
        <v>45.012245134905633</v>
      </c>
      <c r="AL57" s="22">
        <f t="shared" si="4"/>
        <v>389.4710909432938</v>
      </c>
      <c r="AM57" s="62">
        <f t="shared" si="5"/>
        <v>682.80442427662706</v>
      </c>
      <c r="AN57" s="62">
        <f ca="1">AVERAGE(OFFSET($AM$3,0,0,'Données projet'!$E$10+1,1))-AVERAGE(OFFSET($H$3,0,0,'Données projet'!$E$10+1,1))</f>
        <v>215.66498680344858</v>
      </c>
      <c r="AO57" s="62">
        <f t="shared" si="36"/>
        <v>199.86715787211114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-5.6843418860808015E-14</v>
      </c>
      <c r="BE57" s="14">
        <f>BD57*VLOOKUP('Données projet'!$B$11,Paramètres!$A$1:$I$89,3,0)*VLOOKUP('Données projet'!$B$11,Paramètres!$A$1:$I$89,5,0)</f>
        <v>-3.3992364478763198E-14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155.11440101086782</v>
      </c>
      <c r="BJ57" s="62">
        <f t="shared" si="38"/>
        <v>239.53454701506638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8.3906472825128215</v>
      </c>
      <c r="BQ57" s="23">
        <f>EXP(-LN(2)/25)*BQ56+(1-EXP(-LN(2)/25))/(LN(2)/25)*Calculateur!BL57*Calculateur!BN57*VLOOKUP('Données projet'!$B$11,Paramètres!$A$1:$I$89,3,0)*0.475*44/12</f>
        <v>3.722818973350948</v>
      </c>
      <c r="BR57" s="23">
        <f>EXP(-LN(2)/2)*BR56+(1-EXP(-LN(2)/2))/(LN(2)/2)*BL57*BO57*VLOOKUP('Données projet'!$B$11,Paramètres!$A$1:$I$89,3,0)*0.475*44/12</f>
        <v>7.1995680540214364E-4</v>
      </c>
      <c r="BS57" s="24">
        <f t="shared" si="9"/>
        <v>12.114186212669171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-5.6843418860808015E-14</v>
      </c>
      <c r="BZ57" s="14">
        <f>BY57*VLOOKUP('Données projet'!$B$12,Paramètres!$A$1:$I$89,3,0)*VLOOKUP('Données projet'!$B$12,Paramètres!$A$1:$I$89,5,0)</f>
        <v>-3.3992364478763198E-14</v>
      </c>
      <c r="CA57" s="14" t="e">
        <f t="shared" si="39"/>
        <v>#NUM!</v>
      </c>
      <c r="CB57" s="22" t="e">
        <f t="shared" si="10"/>
        <v>#NUM!</v>
      </c>
      <c r="CC57" s="62" t="e">
        <f t="shared" si="11"/>
        <v>#NUM!</v>
      </c>
      <c r="CD57" s="62">
        <f ca="1">AVERAGE(OFFSET($CC$3,0,0,'Données projet'!$E$12+1,1))-AVERAGE(OFFSET($H$3,0,0,'Données projet'!$E$12+1,1))</f>
        <v>155.11440101086782</v>
      </c>
      <c r="CE57" s="62">
        <f t="shared" si="40"/>
        <v>239.53454701506638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8.3906472825128215</v>
      </c>
      <c r="CL57" s="23">
        <f>EXP(-LN(2)/25)*CL56+(1-EXP(-LN(2)/25))/(LN(2)/25)*Calculateur!CG57*Calculateur!CI57*VLOOKUP('Données projet'!$B$12,Paramètres!$A$1:$I$89,3,0)*0.475*44/12</f>
        <v>3.722818973350948</v>
      </c>
      <c r="CM57" s="23">
        <f>EXP(-LN(2)/2)*CM56+(1-EXP(-LN(2)/2))/(LN(2)/2)*CG57*CJ57*VLOOKUP('Données projet'!$B$12,Paramètres!$A$1:$I$89,3,0)*0.475*44/12</f>
        <v>7.1995680540214364E-4</v>
      </c>
      <c r="CN57" s="24">
        <f t="shared" si="12"/>
        <v>12.114186212669171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7.6</v>
      </c>
      <c r="CT57" s="13">
        <f>IF('Données projet'!$A$140&gt;35,CT56+CS57-DB56,IF(A57&lt;'Données projet'!$A$140,$CQ$205^A57,IF(A57='Données projet'!$A$140,'Données projet'!$B$140,CT56+CS57-DB56)))</f>
        <v>258.39999999999998</v>
      </c>
      <c r="CU57" s="18">
        <f>CT57*VLOOKUP('Données projet'!$B$13,Paramètres!$A$1:$I$89,3,0)*VLOOKUP('Données projet'!$B$13,Paramètres!$A$1:$I$89,5,0)</f>
        <v>209.61408</v>
      </c>
      <c r="CV57" s="14">
        <f t="shared" si="41"/>
        <v>51.851243442662593</v>
      </c>
      <c r="CW57" s="22">
        <f t="shared" si="13"/>
        <v>455.38543832930395</v>
      </c>
      <c r="CX57" s="62">
        <f t="shared" si="14"/>
        <v>748.71877166263721</v>
      </c>
      <c r="CY57" s="62">
        <f ca="1">AVERAGE(OFFSET($CX$3,0,0,'Données projet'!$E$13+1,1))-AVERAGE(OFFSET($H$3,0,0,'Données projet'!$E$13+1,1))</f>
        <v>191.03017979797141</v>
      </c>
      <c r="CZ57" s="62">
        <f t="shared" si="42"/>
        <v>222.78252111624278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5.2564102564102599</v>
      </c>
      <c r="DO57" s="13">
        <f>IF('Données projet'!$A$166&gt;35,DO56+DN57-DW56,IF(A57&lt;'Données projet'!$A$166,$DL$205^A57,IF(A57='Données projet'!$A$166,'Données projet'!$B$166,DO56+DN57-DW56)))</f>
        <v>170.38461538461536</v>
      </c>
      <c r="DP57" s="18">
        <f>DO57*VLOOKUP('Données projet'!$B$14,Paramètres!$A$1:$I$89,3,0)*VLOOKUP('Données projet'!$B$14,Paramètres!$A$1:$I$89,5,0)</f>
        <v>162.13799999999998</v>
      </c>
      <c r="DQ57" s="14">
        <f t="shared" si="43"/>
        <v>41.324374095861224</v>
      </c>
      <c r="DR57" s="22">
        <f t="shared" si="16"/>
        <v>354.36363488362491</v>
      </c>
      <c r="DS57" s="62">
        <f t="shared" si="17"/>
        <v>647.69696821695823</v>
      </c>
      <c r="DT57" s="62">
        <f ca="1">AVERAGE(OFFSET($DS$3,0,0,'Données projet'!$E$14+1,1))-AVERAGE(OFFSET($H$3,0,0,'Données projet'!$E$14+1,1))</f>
        <v>260.93525280373063</v>
      </c>
      <c r="DU57" s="62">
        <f t="shared" si="44"/>
        <v>206.83968452163816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1.7724999999999995</v>
      </c>
      <c r="EJ57" s="13">
        <f>IF('Données projet'!$A$192&gt;35,EJ56+EI57-ER56,IF(A57&lt;'Données projet'!$A$192,$EG$205^A57,IF(A57='Données projet'!$A$192,'Données projet'!$B$192,EJ56+EI57-ER56)))</f>
        <v>73.727500000000006</v>
      </c>
      <c r="EK57" s="18">
        <f>EJ57*VLOOKUP('Données projet'!$B$15,Paramètres!$A$1:$I$89,3,0)*VLOOKUP('Données projet'!$B$15,Paramètres!$A$1:$I$89,5,0)</f>
        <v>84.934080000000009</v>
      </c>
      <c r="EL57" s="14">
        <f t="shared" si="45"/>
        <v>23.339358152569286</v>
      </c>
      <c r="EM57" s="22">
        <f t="shared" si="19"/>
        <v>188.57623811572486</v>
      </c>
      <c r="EN57" s="62">
        <f t="shared" si="20"/>
        <v>481.90957144905815</v>
      </c>
      <c r="EO57" s="62">
        <f ca="1">AVERAGE(OFFSET($EN$3,0,0,'Données projet'!$E$15+1,1))-AVERAGE(OFFSET($H$3,0,0,'Données projet'!$E$15+1,1))</f>
        <v>118.01099353898547</v>
      </c>
      <c r="EP57" s="62">
        <f t="shared" si="46"/>
        <v>103.17146760845947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8</v>
      </c>
      <c r="FE57" s="13">
        <f>IF('Données projet'!$A$218&gt;35,FE56+FD57-FM56,IF(A57&lt;'Données projet'!$A$218,$FB$205^A57,IF(A57='Données projet'!$A$218,'Données projet'!$B$218,FE56+FD57-FM56)))</f>
        <v>189</v>
      </c>
      <c r="FF57" s="18">
        <f>FE57*VLOOKUP('Données projet'!$B$16,Paramètres!$A$1:$I$89,3,0)*VLOOKUP('Données projet'!$B$16,Paramètres!$A$1:$I$89,5,0)</f>
        <v>188.69760000000002</v>
      </c>
      <c r="FG57" s="14">
        <f t="shared" si="47"/>
        <v>47.251895535609734</v>
      </c>
      <c r="FH57" s="22">
        <f t="shared" si="22"/>
        <v>410.94537139118694</v>
      </c>
      <c r="FI57" s="62">
        <f t="shared" si="23"/>
        <v>704.27870472452025</v>
      </c>
      <c r="FJ57" s="62">
        <f ca="1">AVERAGE(OFFSET($FI$3,0,0,'Données projet'!$E$16+1,1))-AVERAGE(OFFSET($H$3,0,0,'Données projet'!$E$16+1,1))</f>
        <v>343.71044073996887</v>
      </c>
      <c r="FK57" s="62">
        <f t="shared" si="48"/>
        <v>193.51732627292375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178.2456</v>
      </c>
      <c r="P58" s="14">
        <f t="shared" si="33"/>
        <v>44.931642269910427</v>
      </c>
      <c r="Q58" s="22">
        <f t="shared" si="53"/>
        <v>388.70036362009404</v>
      </c>
      <c r="R58" s="62">
        <f t="shared" si="0"/>
        <v>682.03369695342735</v>
      </c>
      <c r="S58" s="62">
        <f ca="1">AVERAGE(OFFSET($R$3,0,0,'Données projet'!$E$9+1,1))-AVERAGE(OFFSET($H$3,0,0,'Données projet'!$E$9+1,1))</f>
        <v>303.73499739059076</v>
      </c>
      <c r="T58" s="62">
        <f t="shared" si="34"/>
        <v>172.32171001882188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250</v>
      </c>
      <c r="AG58" s="13">
        <f>VLOOKUP(A58,'Données projet'!$A$61:$I$81,9,0)</f>
        <v>6.4</v>
      </c>
      <c r="AH58" s="13">
        <f t="array" ref="AH58">INDEX(AG:AG,MIN(IF(ISNUMBER(AG58:AG254),ROW(AG58:AG254),"")))</f>
        <v>6.4</v>
      </c>
      <c r="AI58" s="14">
        <f>IF('Données projet'!$A$62&gt;35,AI57+AH58-AQ57,IF(A58&lt;'Données projet'!$A$62,$AF$205^A58,IF(A58='Données projet'!$A$62,'Données projet'!$B$62,AI57+AH58-AQ57)))</f>
        <v>249.99999999999989</v>
      </c>
      <c r="AJ58" s="14">
        <f>AI58*VLOOKUP('Données projet'!$B$10,Paramètres!$A$1:$I$89,3,0)*VLOOKUP('Données projet'!$B$10,Paramètres!$A$1:$I$89,5,0)</f>
        <v>183.29999999999993</v>
      </c>
      <c r="AK58" s="14">
        <f t="shared" si="35"/>
        <v>46.055597281101534</v>
      </c>
      <c r="AL58" s="22">
        <f t="shared" si="4"/>
        <v>399.46099859791838</v>
      </c>
      <c r="AM58" s="62">
        <f t="shared" si="5"/>
        <v>692.79433193125169</v>
      </c>
      <c r="AN58" s="62">
        <f ca="1">AVERAGE(OFFSET($AM$3,0,0,'Données projet'!$E$10+1,1))-AVERAGE(OFFSET($H$3,0,0,'Données projet'!$E$10+1,1))</f>
        <v>215.66498680344858</v>
      </c>
      <c r="AO58" s="62">
        <f t="shared" si="36"/>
        <v>199.86715787211114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30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-5.6843418860808015E-14</v>
      </c>
      <c r="BE58" s="14">
        <f>BD58*VLOOKUP('Données projet'!$B$11,Paramètres!$A$1:$I$89,3,0)*VLOOKUP('Données projet'!$B$11,Paramètres!$A$1:$I$89,5,0)</f>
        <v>-3.3992364478763198E-14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155.11440101086782</v>
      </c>
      <c r="BJ58" s="62">
        <f t="shared" si="38"/>
        <v>239.53454701506638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8.2261118070922485</v>
      </c>
      <c r="BQ58" s="23">
        <f>EXP(-LN(2)/25)*BQ57+(1-EXP(-LN(2)/25))/(LN(2)/25)*Calculateur!BL58*Calculateur!BN58*VLOOKUP('Données projet'!$B$11,Paramètres!$A$1:$I$89,3,0)*0.475*44/12</f>
        <v>3.6210182927501253</v>
      </c>
      <c r="BR58" s="23">
        <f>EXP(-LN(2)/2)*BR57+(1-EXP(-LN(2)/2))/(LN(2)/2)*BL58*BO58*VLOOKUP('Données projet'!$B$11,Paramètres!$A$1:$I$89,3,0)*0.475*44/12</f>
        <v>5.0908633926125934E-4</v>
      </c>
      <c r="BS58" s="24">
        <f t="shared" si="9"/>
        <v>11.847639186181636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-5.6843418860808015E-14</v>
      </c>
      <c r="BZ58" s="14">
        <f>BY58*VLOOKUP('Données projet'!$B$12,Paramètres!$A$1:$I$89,3,0)*VLOOKUP('Données projet'!$B$12,Paramètres!$A$1:$I$89,5,0)</f>
        <v>-3.3992364478763198E-14</v>
      </c>
      <c r="CA58" s="14" t="e">
        <f t="shared" si="39"/>
        <v>#NUM!</v>
      </c>
      <c r="CB58" s="22" t="e">
        <f t="shared" si="10"/>
        <v>#NUM!</v>
      </c>
      <c r="CC58" s="62" t="e">
        <f t="shared" si="11"/>
        <v>#NUM!</v>
      </c>
      <c r="CD58" s="62">
        <f ca="1">AVERAGE(OFFSET($CC$3,0,0,'Données projet'!$E$12+1,1))-AVERAGE(OFFSET($H$3,0,0,'Données projet'!$E$12+1,1))</f>
        <v>155.11440101086782</v>
      </c>
      <c r="CE58" s="62">
        <f t="shared" si="40"/>
        <v>239.53454701506638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8.2261118070922485</v>
      </c>
      <c r="CL58" s="23">
        <f>EXP(-LN(2)/25)*CL57+(1-EXP(-LN(2)/25))/(LN(2)/25)*Calculateur!CG58*Calculateur!CI58*VLOOKUP('Données projet'!$B$12,Paramètres!$A$1:$I$89,3,0)*0.475*44/12</f>
        <v>3.6210182927501253</v>
      </c>
      <c r="CM58" s="23">
        <f>EXP(-LN(2)/2)*CM57+(1-EXP(-LN(2)/2))/(LN(2)/2)*CG58*CJ58*VLOOKUP('Données projet'!$B$12,Paramètres!$A$1:$I$89,3,0)*0.475*44/12</f>
        <v>5.0908633926125934E-4</v>
      </c>
      <c r="CN58" s="24">
        <f t="shared" si="12"/>
        <v>11.847639186181636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266</v>
      </c>
      <c r="CR58" s="13">
        <f>VLOOKUP(A58,'Données projet'!$A$139:$I$159,9,0)</f>
        <v>7.6</v>
      </c>
      <c r="CS58" s="13">
        <f t="array" ref="CS58">INDEX(CR:CR,MIN(IF(ISNUMBER(CR58:CR254),ROW(CR58:CR254),"")))</f>
        <v>7.6</v>
      </c>
      <c r="CT58" s="13">
        <f>IF('Données projet'!$A$140&gt;35,CT57+CS58-DB57,IF(A58&lt;'Données projet'!$A$140,$CQ$205^A58,IF(A58='Données projet'!$A$140,'Données projet'!$B$140,CT57+CS58-DB57)))</f>
        <v>266</v>
      </c>
      <c r="CU58" s="18">
        <f>CT58*VLOOKUP('Données projet'!$B$13,Paramètres!$A$1:$I$89,3,0)*VLOOKUP('Données projet'!$B$13,Paramètres!$A$1:$I$89,5,0)</f>
        <v>215.7792</v>
      </c>
      <c r="CV58" s="14">
        <f t="shared" si="41"/>
        <v>53.196483976998607</v>
      </c>
      <c r="CW58" s="22">
        <f t="shared" si="13"/>
        <v>468.46598292660588</v>
      </c>
      <c r="CX58" s="62">
        <f t="shared" si="14"/>
        <v>761.79931625993913</v>
      </c>
      <c r="CY58" s="62">
        <f ca="1">AVERAGE(OFFSET($CX$3,0,0,'Données projet'!$E$13+1,1))-AVERAGE(OFFSET($H$3,0,0,'Données projet'!$E$13+1,1))</f>
        <v>191.03017979797141</v>
      </c>
      <c r="CZ58" s="62">
        <f t="shared" si="42"/>
        <v>222.78252111624278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175.64102564102564</v>
      </c>
      <c r="DM58" s="13">
        <f>VLOOKUP(A58,'Données projet'!$A$165:$I$185,9,0)</f>
        <v>5.2564102564102599</v>
      </c>
      <c r="DN58" s="13">
        <f t="array" ref="DN58">INDEX(DM:DM,MIN(IF(ISNUMBER(DM58:DM254),ROW(DM58:DM254),"")))</f>
        <v>5.2564102564102599</v>
      </c>
      <c r="DO58" s="13">
        <f>IF('Données projet'!$A$166&gt;35,DO57+DN58-DW57,IF(A58&lt;'Données projet'!$A$166,$DL$205^A58,IF(A58='Données projet'!$A$166,'Données projet'!$B$166,DO57+DN58-DW57)))</f>
        <v>175.64102564102561</v>
      </c>
      <c r="DP58" s="18">
        <f>DO58*VLOOKUP('Données projet'!$B$14,Paramètres!$A$1:$I$89,3,0)*VLOOKUP('Données projet'!$B$14,Paramètres!$A$1:$I$89,5,0)</f>
        <v>167.14</v>
      </c>
      <c r="DQ58" s="14">
        <f t="shared" si="43"/>
        <v>42.448847586931429</v>
      </c>
      <c r="DR58" s="22">
        <f t="shared" si="16"/>
        <v>365.03390954723886</v>
      </c>
      <c r="DS58" s="62">
        <f t="shared" si="17"/>
        <v>658.36724288057212</v>
      </c>
      <c r="DT58" s="62">
        <f ca="1">AVERAGE(OFFSET($DS$3,0,0,'Données projet'!$E$14+1,1))-AVERAGE(OFFSET($H$3,0,0,'Données projet'!$E$14+1,1))</f>
        <v>260.93525280373063</v>
      </c>
      <c r="DU58" s="62">
        <f t="shared" si="44"/>
        <v>206.83968452163816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1.7724999999999995</v>
      </c>
      <c r="EJ58" s="13">
        <f>IF('Données projet'!$A$192&gt;35,EJ57+EI58-ER57,IF(A58&lt;'Données projet'!$A$192,$EG$205^A58,IF(A58='Données projet'!$A$192,'Données projet'!$B$192,EJ57+EI58-ER57)))</f>
        <v>75.5</v>
      </c>
      <c r="EK58" s="18">
        <f>EJ58*VLOOKUP('Données projet'!$B$15,Paramètres!$A$1:$I$89,3,0)*VLOOKUP('Données projet'!$B$15,Paramètres!$A$1:$I$89,5,0)</f>
        <v>86.975999999999999</v>
      </c>
      <c r="EL58" s="14">
        <f t="shared" si="45"/>
        <v>23.834464663215773</v>
      </c>
      <c r="EM58" s="22">
        <f t="shared" si="19"/>
        <v>192.99489262176746</v>
      </c>
      <c r="EN58" s="62">
        <f t="shared" si="20"/>
        <v>486.32822595510078</v>
      </c>
      <c r="EO58" s="62">
        <f ca="1">AVERAGE(OFFSET($EN$3,0,0,'Données projet'!$E$15+1,1))-AVERAGE(OFFSET($H$3,0,0,'Données projet'!$E$15+1,1))</f>
        <v>118.01099353898547</v>
      </c>
      <c r="EP58" s="62">
        <f t="shared" si="46"/>
        <v>103.17146760845947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197</v>
      </c>
      <c r="FC58" s="13">
        <f>VLOOKUP(A58,'Données projet'!$A$217:$I$237,9,0)</f>
        <v>8</v>
      </c>
      <c r="FD58" s="13">
        <f t="array" ref="FD58">INDEX(FC:FC,MIN(IF(ISNUMBER(FC58:FC254),ROW(FC58:FC254),"")))</f>
        <v>8</v>
      </c>
      <c r="FE58" s="13">
        <f>IF('Données projet'!$A$218&gt;35,FE57+FD58-FM57,IF(A58&lt;'Données projet'!$A$218,$FB$205^A58,IF(A58='Données projet'!$A$218,'Données projet'!$B$218,FE57+FD58-FM57)))</f>
        <v>197</v>
      </c>
      <c r="FF58" s="18">
        <f>FE58*VLOOKUP('Données projet'!$B$16,Paramètres!$A$1:$I$89,3,0)*VLOOKUP('Données projet'!$B$16,Paramètres!$A$1:$I$89,5,0)</f>
        <v>196.6848</v>
      </c>
      <c r="FG58" s="14">
        <f t="shared" si="47"/>
        <v>49.014879853762629</v>
      </c>
      <c r="FH58" s="22">
        <f t="shared" si="22"/>
        <v>427.92694241196983</v>
      </c>
      <c r="FI58" s="62">
        <f t="shared" si="23"/>
        <v>721.26027574530315</v>
      </c>
      <c r="FJ58" s="62">
        <f ca="1">AVERAGE(OFFSET($FI$3,0,0,'Données projet'!$E$16+1,1))-AVERAGE(OFFSET($H$3,0,0,'Données projet'!$E$16+1,1))</f>
        <v>343.71044073996887</v>
      </c>
      <c r="FK58" s="62">
        <f t="shared" si="48"/>
        <v>193.51732627292375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204.6</v>
      </c>
      <c r="O59" s="14">
        <f>N59*VLOOKUP('Données projet'!$B$9,Paramètres!$A$1:$I$89,3,0)*VLOOKUP('Données projet'!$B$9,Paramètres!$A$1:$I$89,5,0)</f>
        <v>185.12207999999998</v>
      </c>
      <c r="P59" s="14">
        <f t="shared" si="33"/>
        <v>46.459887003478677</v>
      </c>
      <c r="Q59" s="22">
        <f t="shared" si="53"/>
        <v>403.33859253105862</v>
      </c>
      <c r="R59" s="62">
        <f t="shared" si="0"/>
        <v>696.67192586439194</v>
      </c>
      <c r="S59" s="62">
        <f ca="1">AVERAGE(OFFSET($R$3,0,0,'Données projet'!$E$9+1,1))-AVERAGE(OFFSET($H$3,0,0,'Données projet'!$E$9+1,1))</f>
        <v>303.73499739059076</v>
      </c>
      <c r="T59" s="62">
        <f t="shared" si="34"/>
        <v>172.32171001882188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</v>
      </c>
      <c r="AI59" s="14">
        <f>IF('Données projet'!$A$62&gt;35,AI58+AH59-AQ58,IF(A59&lt;'Données projet'!$A$62,$AF$205^A59,IF(A59='Données projet'!$A$62,'Données projet'!$B$62,AI58+AH59-AQ58)))</f>
        <v>224.99999999999989</v>
      </c>
      <c r="AJ59" s="14">
        <f>AI59*VLOOKUP('Données projet'!$B$10,Paramètres!$A$1:$I$89,3,0)*VLOOKUP('Données projet'!$B$10,Paramètres!$A$1:$I$89,5,0)</f>
        <v>164.96999999999991</v>
      </c>
      <c r="AK59" s="14">
        <f t="shared" si="35"/>
        <v>41.961509246867301</v>
      </c>
      <c r="AL59" s="22">
        <f t="shared" si="4"/>
        <v>360.40571193829373</v>
      </c>
      <c r="AM59" s="62">
        <f t="shared" si="5"/>
        <v>653.73904527162699</v>
      </c>
      <c r="AN59" s="62">
        <f ca="1">AVERAGE(OFFSET($AM$3,0,0,'Données projet'!$E$10+1,1))-AVERAGE(OFFSET($H$3,0,0,'Données projet'!$E$10+1,1))</f>
        <v>215.66498680344858</v>
      </c>
      <c r="AO59" s="62">
        <f t="shared" si="36"/>
        <v>199.86715787211114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-5.6843418860808015E-14</v>
      </c>
      <c r="BE59" s="14">
        <f>BD59*VLOOKUP('Données projet'!$B$11,Paramètres!$A$1:$I$89,3,0)*VLOOKUP('Données projet'!$B$11,Paramètres!$A$1:$I$89,5,0)</f>
        <v>-3.3992364478763198E-14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155.11440101086782</v>
      </c>
      <c r="BJ59" s="62">
        <f t="shared" si="38"/>
        <v>239.53454701506638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8.0648027719879423</v>
      </c>
      <c r="BQ59" s="23">
        <f>EXP(-LN(2)/25)*BQ58+(1-EXP(-LN(2)/25))/(LN(2)/25)*Calculateur!BL59*Calculateur!BN59*VLOOKUP('Données projet'!$B$11,Paramètres!$A$1:$I$89,3,0)*0.475*44/12</f>
        <v>3.5220013571137971</v>
      </c>
      <c r="BR59" s="23">
        <f>EXP(-LN(2)/2)*BR58+(1-EXP(-LN(2)/2))/(LN(2)/2)*BL59*BO59*VLOOKUP('Données projet'!$B$11,Paramètres!$A$1:$I$89,3,0)*0.475*44/12</f>
        <v>3.5997840270107182E-4</v>
      </c>
      <c r="BS59" s="24">
        <f t="shared" si="9"/>
        <v>11.58716410750444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-5.6843418860808015E-14</v>
      </c>
      <c r="BZ59" s="14">
        <f>BY59*VLOOKUP('Données projet'!$B$12,Paramètres!$A$1:$I$89,3,0)*VLOOKUP('Données projet'!$B$12,Paramètres!$A$1:$I$89,5,0)</f>
        <v>-3.3992364478763198E-14</v>
      </c>
      <c r="CA59" s="14" t="e">
        <f t="shared" si="39"/>
        <v>#NUM!</v>
      </c>
      <c r="CB59" s="22" t="e">
        <f t="shared" si="10"/>
        <v>#NUM!</v>
      </c>
      <c r="CC59" s="62" t="e">
        <f t="shared" si="11"/>
        <v>#NUM!</v>
      </c>
      <c r="CD59" s="62">
        <f ca="1">AVERAGE(OFFSET($CC$3,0,0,'Données projet'!$E$12+1,1))-AVERAGE(OFFSET($H$3,0,0,'Données projet'!$E$12+1,1))</f>
        <v>155.11440101086782</v>
      </c>
      <c r="CE59" s="62">
        <f t="shared" si="40"/>
        <v>239.53454701506638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8.0648027719879423</v>
      </c>
      <c r="CL59" s="23">
        <f>EXP(-LN(2)/25)*CL58+(1-EXP(-LN(2)/25))/(LN(2)/25)*Calculateur!CG59*Calculateur!CI59*VLOOKUP('Données projet'!$B$12,Paramètres!$A$1:$I$89,3,0)*0.475*44/12</f>
        <v>3.5220013571137971</v>
      </c>
      <c r="CM59" s="23">
        <f>EXP(-LN(2)/2)*CM58+(1-EXP(-LN(2)/2))/(LN(2)/2)*CG59*CJ59*VLOOKUP('Données projet'!$B$12,Paramètres!$A$1:$I$89,3,0)*0.475*44/12</f>
        <v>3.5997840270107182E-4</v>
      </c>
      <c r="CN59" s="24">
        <f t="shared" si="12"/>
        <v>11.58716410750444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7.4</v>
      </c>
      <c r="CT59" s="13">
        <f>IF('Données projet'!$A$140&gt;35,CT58+CS59-DB58,IF(A59&lt;'Données projet'!$A$140,$CQ$205^A59,IF(A59='Données projet'!$A$140,'Données projet'!$B$140,CT58+CS59-DB58)))</f>
        <v>273.39999999999998</v>
      </c>
      <c r="CU59" s="18">
        <f>CT59*VLOOKUP('Données projet'!$B$13,Paramètres!$A$1:$I$89,3,0)*VLOOKUP('Données projet'!$B$13,Paramètres!$A$1:$I$89,5,0)</f>
        <v>221.78208000000001</v>
      </c>
      <c r="CV59" s="14">
        <f t="shared" si="41"/>
        <v>54.502029950220781</v>
      </c>
      <c r="CW59" s="22">
        <f t="shared" si="13"/>
        <v>481.19482482996779</v>
      </c>
      <c r="CX59" s="62">
        <f t="shared" si="14"/>
        <v>774.5281581633011</v>
      </c>
      <c r="CY59" s="62">
        <f ca="1">AVERAGE(OFFSET($CX$3,0,0,'Données projet'!$E$13+1,1))-AVERAGE(OFFSET($H$3,0,0,'Données projet'!$E$13+1,1))</f>
        <v>191.03017979797141</v>
      </c>
      <c r="CZ59" s="62">
        <f t="shared" si="42"/>
        <v>222.78252111624278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4.8717948717948731</v>
      </c>
      <c r="DO59" s="13">
        <f>IF('Données projet'!$A$166&gt;35,DO58+DN59-DW58,IF(A59&lt;'Données projet'!$A$166,$DL$205^A59,IF(A59='Données projet'!$A$166,'Données projet'!$B$166,DO58+DN59-DW58)))</f>
        <v>180.51282051282047</v>
      </c>
      <c r="DP59" s="18">
        <f>DO59*VLOOKUP('Données projet'!$B$14,Paramètres!$A$1:$I$89,3,0)*VLOOKUP('Données projet'!$B$14,Paramètres!$A$1:$I$89,5,0)</f>
        <v>171.77599999999995</v>
      </c>
      <c r="DQ59" s="14">
        <f t="shared" si="43"/>
        <v>43.48754759203468</v>
      </c>
      <c r="DR59" s="22">
        <f t="shared" si="16"/>
        <v>374.91734538946031</v>
      </c>
      <c r="DS59" s="62">
        <f t="shared" si="17"/>
        <v>668.25067872279362</v>
      </c>
      <c r="DT59" s="62">
        <f ca="1">AVERAGE(OFFSET($DS$3,0,0,'Données projet'!$E$14+1,1))-AVERAGE(OFFSET($H$3,0,0,'Données projet'!$E$14+1,1))</f>
        <v>260.93525280373063</v>
      </c>
      <c r="DU59" s="62">
        <f t="shared" si="44"/>
        <v>206.83968452163816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1.7724999999999995</v>
      </c>
      <c r="EJ59" s="13">
        <f>IF('Données projet'!$A$192&gt;35,EJ58+EI59-ER58,IF(A59&lt;'Données projet'!$A$192,$EG$205^A59,IF(A59='Données projet'!$A$192,'Données projet'!$B$192,EJ58+EI59-ER58)))</f>
        <v>77.272499999999994</v>
      </c>
      <c r="EK59" s="18">
        <f>EJ59*VLOOKUP('Données projet'!$B$15,Paramètres!$A$1:$I$89,3,0)*VLOOKUP('Données projet'!$B$15,Paramètres!$A$1:$I$89,5,0)</f>
        <v>89.017919999999989</v>
      </c>
      <c r="EL59" s="14">
        <f t="shared" si="45"/>
        <v>24.328219911088187</v>
      </c>
      <c r="EM59" s="22">
        <f t="shared" si="19"/>
        <v>197.41119367847855</v>
      </c>
      <c r="EN59" s="62">
        <f t="shared" si="20"/>
        <v>490.7445270118119</v>
      </c>
      <c r="EO59" s="62">
        <f ca="1">AVERAGE(OFFSET($EN$3,0,0,'Données projet'!$E$15+1,1))-AVERAGE(OFFSET($H$3,0,0,'Données projet'!$E$15+1,1))</f>
        <v>118.01099353898547</v>
      </c>
      <c r="EP59" s="62">
        <f t="shared" si="46"/>
        <v>103.17146760845947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7.6</v>
      </c>
      <c r="FE59" s="13">
        <f>IF('Données projet'!$A$218&gt;35,FE58+FD59-FM58,IF(A59&lt;'Données projet'!$A$218,$FB$205^A59,IF(A59='Données projet'!$A$218,'Données projet'!$B$218,FE58+FD59-FM58)))</f>
        <v>204.6</v>
      </c>
      <c r="FF59" s="18">
        <f>FE59*VLOOKUP('Données projet'!$B$16,Paramètres!$A$1:$I$89,3,0)*VLOOKUP('Données projet'!$B$16,Paramètres!$A$1:$I$89,5,0)</f>
        <v>204.27264</v>
      </c>
      <c r="FG59" s="14">
        <f t="shared" si="47"/>
        <v>50.682006364585817</v>
      </c>
      <c r="FH59" s="22">
        <f t="shared" si="22"/>
        <v>444.04600908498691</v>
      </c>
      <c r="FI59" s="62">
        <f t="shared" si="23"/>
        <v>737.37934241832022</v>
      </c>
      <c r="FJ59" s="62">
        <f ca="1">AVERAGE(OFFSET($FI$3,0,0,'Données projet'!$E$16+1,1))-AVERAGE(OFFSET($H$3,0,0,'Données projet'!$E$16+1,1))</f>
        <v>343.71044073996887</v>
      </c>
      <c r="FK59" s="62">
        <f t="shared" si="48"/>
        <v>193.51732627292375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212.2</v>
      </c>
      <c r="O60" s="14">
        <f>N60*VLOOKUP('Données projet'!$B$9,Paramètres!$A$1:$I$89,3,0)*VLOOKUP('Données projet'!$B$9,Paramètres!$A$1:$I$89,5,0)</f>
        <v>191.99855999999997</v>
      </c>
      <c r="P60" s="14">
        <f t="shared" si="33"/>
        <v>47.981536645873334</v>
      </c>
      <c r="Q60" s="22">
        <f t="shared" si="53"/>
        <v>417.96533499156266</v>
      </c>
      <c r="R60" s="62">
        <f t="shared" si="0"/>
        <v>711.29866832489597</v>
      </c>
      <c r="S60" s="62">
        <f ca="1">AVERAGE(OFFSET($R$3,0,0,'Données projet'!$E$9+1,1))-AVERAGE(OFFSET($H$3,0,0,'Données projet'!$E$9+1,1))</f>
        <v>303.73499739059076</v>
      </c>
      <c r="T60" s="62">
        <f t="shared" si="34"/>
        <v>172.32171001882188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</v>
      </c>
      <c r="AI60" s="14">
        <f>IF('Données projet'!$A$62&gt;35,AI59+AH60-AQ59,IF(A60&lt;'Données projet'!$A$62,$AF$205^A60,IF(A60='Données projet'!$A$62,'Données projet'!$B$62,AI59+AH60-AQ59)))</f>
        <v>229.99999999999989</v>
      </c>
      <c r="AJ60" s="14">
        <f>AI60*VLOOKUP('Données projet'!$B$10,Paramètres!$A$1:$I$89,3,0)*VLOOKUP('Données projet'!$B$10,Paramètres!$A$1:$I$89,5,0)</f>
        <v>168.63599999999991</v>
      </c>
      <c r="AK60" s="14">
        <f t="shared" si="35"/>
        <v>42.784389877117853</v>
      </c>
      <c r="AL60" s="22">
        <f t="shared" si="4"/>
        <v>368.22384570264677</v>
      </c>
      <c r="AM60" s="62">
        <f t="shared" si="5"/>
        <v>661.55717903598008</v>
      </c>
      <c r="AN60" s="62">
        <f ca="1">AVERAGE(OFFSET($AM$3,0,0,'Données projet'!$E$10+1,1))-AVERAGE(OFFSET($H$3,0,0,'Données projet'!$E$10+1,1))</f>
        <v>215.66498680344858</v>
      </c>
      <c r="AO60" s="62">
        <f t="shared" si="36"/>
        <v>199.86715787211114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-5.6843418860808015E-14</v>
      </c>
      <c r="BE60" s="14">
        <f>BD60*VLOOKUP('Données projet'!$B$11,Paramètres!$A$1:$I$89,3,0)*VLOOKUP('Données projet'!$B$11,Paramètres!$A$1:$I$89,5,0)</f>
        <v>-3.3992364478763198E-14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155.11440101086782</v>
      </c>
      <c r="BJ60" s="62">
        <f t="shared" si="38"/>
        <v>239.53454701506638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7.9066569086732343</v>
      </c>
      <c r="BQ60" s="23">
        <f>EXP(-LN(2)/25)*BQ59+(1-EXP(-LN(2)/25))/(LN(2)/25)*Calculateur!BL60*Calculateur!BN60*VLOOKUP('Données projet'!$B$11,Paramètres!$A$1:$I$89,3,0)*0.475*44/12</f>
        <v>3.4256920447895185</v>
      </c>
      <c r="BR60" s="23">
        <f>EXP(-LN(2)/2)*BR59+(1-EXP(-LN(2)/2))/(LN(2)/2)*BL60*BO60*VLOOKUP('Données projet'!$B$11,Paramètres!$A$1:$I$89,3,0)*0.475*44/12</f>
        <v>2.5454316963062967E-4</v>
      </c>
      <c r="BS60" s="24">
        <f t="shared" si="9"/>
        <v>11.332603496632382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-5.6843418860808015E-14</v>
      </c>
      <c r="BZ60" s="14">
        <f>BY60*VLOOKUP('Données projet'!$B$12,Paramètres!$A$1:$I$89,3,0)*VLOOKUP('Données projet'!$B$12,Paramètres!$A$1:$I$89,5,0)</f>
        <v>-3.3992364478763198E-14</v>
      </c>
      <c r="CA60" s="14" t="e">
        <f t="shared" si="39"/>
        <v>#NUM!</v>
      </c>
      <c r="CB60" s="22" t="e">
        <f t="shared" si="10"/>
        <v>#NUM!</v>
      </c>
      <c r="CC60" s="62" t="e">
        <f t="shared" si="11"/>
        <v>#NUM!</v>
      </c>
      <c r="CD60" s="62">
        <f ca="1">AVERAGE(OFFSET($CC$3,0,0,'Données projet'!$E$12+1,1))-AVERAGE(OFFSET($H$3,0,0,'Données projet'!$E$12+1,1))</f>
        <v>155.11440101086782</v>
      </c>
      <c r="CE60" s="62">
        <f t="shared" si="40"/>
        <v>239.53454701506638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7.9066569086732343</v>
      </c>
      <c r="CL60" s="23">
        <f>EXP(-LN(2)/25)*CL59+(1-EXP(-LN(2)/25))/(LN(2)/25)*Calculateur!CG60*Calculateur!CI60*VLOOKUP('Données projet'!$B$12,Paramètres!$A$1:$I$89,3,0)*0.475*44/12</f>
        <v>3.4256920447895185</v>
      </c>
      <c r="CM60" s="23">
        <f>EXP(-LN(2)/2)*CM59+(1-EXP(-LN(2)/2))/(LN(2)/2)*CG60*CJ60*VLOOKUP('Données projet'!$B$12,Paramètres!$A$1:$I$89,3,0)*0.475*44/12</f>
        <v>2.5454316963062967E-4</v>
      </c>
      <c r="CN60" s="24">
        <f t="shared" si="12"/>
        <v>11.332603496632382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7.4</v>
      </c>
      <c r="CT60" s="13">
        <f>IF('Données projet'!$A$140&gt;35,CT59+CS60-DB59,IF(A60&lt;'Données projet'!$A$140,$CQ$205^A60,IF(A60='Données projet'!$A$140,'Données projet'!$B$140,CT59+CS60-DB59)))</f>
        <v>280.79999999999995</v>
      </c>
      <c r="CU60" s="18">
        <f>CT60*VLOOKUP('Données projet'!$B$13,Paramètres!$A$1:$I$89,3,0)*VLOOKUP('Données projet'!$B$13,Paramètres!$A$1:$I$89,5,0)</f>
        <v>227.78495999999998</v>
      </c>
      <c r="CV60" s="14">
        <f t="shared" si="41"/>
        <v>55.803468680001743</v>
      </c>
      <c r="CW60" s="22">
        <f t="shared" si="13"/>
        <v>493.91651328433619</v>
      </c>
      <c r="CX60" s="62">
        <f t="shared" si="14"/>
        <v>787.2498466176695</v>
      </c>
      <c r="CY60" s="62">
        <f ca="1">AVERAGE(OFFSET($CX$3,0,0,'Données projet'!$E$13+1,1))-AVERAGE(OFFSET($H$3,0,0,'Données projet'!$E$13+1,1))</f>
        <v>191.03017979797141</v>
      </c>
      <c r="CZ60" s="62">
        <f t="shared" si="42"/>
        <v>222.78252111624278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4.8717948717948731</v>
      </c>
      <c r="DO60" s="13">
        <f>IF('Données projet'!$A$166&gt;35,DO59+DN60-DW59,IF(A60&lt;'Données projet'!$A$166,$DL$205^A60,IF(A60='Données projet'!$A$166,'Données projet'!$B$166,DO59+DN60-DW59)))</f>
        <v>185.38461538461533</v>
      </c>
      <c r="DP60" s="18">
        <f>DO60*VLOOKUP('Données projet'!$B$14,Paramètres!$A$1:$I$89,3,0)*VLOOKUP('Données projet'!$B$14,Paramètres!$A$1:$I$89,5,0)</f>
        <v>176.41199999999995</v>
      </c>
      <c r="DQ60" s="14">
        <f t="shared" si="43"/>
        <v>44.522989246723967</v>
      </c>
      <c r="DR60" s="22">
        <f t="shared" si="16"/>
        <v>384.79510627137751</v>
      </c>
      <c r="DS60" s="62">
        <f t="shared" si="17"/>
        <v>678.12843960471082</v>
      </c>
      <c r="DT60" s="62">
        <f ca="1">AVERAGE(OFFSET($DS$3,0,0,'Données projet'!$E$14+1,1))-AVERAGE(OFFSET($H$3,0,0,'Données projet'!$E$14+1,1))</f>
        <v>260.93525280373063</v>
      </c>
      <c r="DU60" s="62">
        <f t="shared" si="44"/>
        <v>206.83968452163816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1.7724999999999995</v>
      </c>
      <c r="EJ60" s="13">
        <f>IF('Données projet'!$A$192&gt;35,EJ59+EI60-ER59,IF(A60&lt;'Données projet'!$A$192,$EG$205^A60,IF(A60='Données projet'!$A$192,'Données projet'!$B$192,EJ59+EI60-ER59)))</f>
        <v>79.044999999999987</v>
      </c>
      <c r="EK60" s="18">
        <f>EJ60*VLOOKUP('Données projet'!$B$15,Paramètres!$A$1:$I$89,3,0)*VLOOKUP('Données projet'!$B$15,Paramètres!$A$1:$I$89,5,0)</f>
        <v>91.05983999999998</v>
      </c>
      <c r="EL60" s="14">
        <f t="shared" si="45"/>
        <v>24.820658459728463</v>
      </c>
      <c r="EM60" s="22">
        <f t="shared" si="19"/>
        <v>201.82520148402705</v>
      </c>
      <c r="EN60" s="62">
        <f t="shared" si="20"/>
        <v>495.15853481736036</v>
      </c>
      <c r="EO60" s="62">
        <f ca="1">AVERAGE(OFFSET($EN$3,0,0,'Données projet'!$E$15+1,1))-AVERAGE(OFFSET($H$3,0,0,'Données projet'!$E$15+1,1))</f>
        <v>118.01099353898547</v>
      </c>
      <c r="EP60" s="62">
        <f t="shared" si="46"/>
        <v>103.17146760845947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7.6</v>
      </c>
      <c r="FE60" s="13">
        <f>IF('Données projet'!$A$218&gt;35,FE59+FD60-FM59,IF(A60&lt;'Données projet'!$A$218,$FB$205^A60,IF(A60='Données projet'!$A$218,'Données projet'!$B$218,FE59+FD60-FM59)))</f>
        <v>212.2</v>
      </c>
      <c r="FF60" s="18">
        <f>FE60*VLOOKUP('Données projet'!$B$16,Paramètres!$A$1:$I$89,3,0)*VLOOKUP('Données projet'!$B$16,Paramètres!$A$1:$I$89,5,0)</f>
        <v>211.86048</v>
      </c>
      <c r="FG60" s="14">
        <f t="shared" si="47"/>
        <v>52.341938444376346</v>
      </c>
      <c r="FH60" s="22">
        <f t="shared" si="22"/>
        <v>460.1525454572888</v>
      </c>
      <c r="FI60" s="62">
        <f t="shared" si="23"/>
        <v>753.48587879062211</v>
      </c>
      <c r="FJ60" s="62">
        <f ca="1">AVERAGE(OFFSET($FI$3,0,0,'Données projet'!$E$16+1,1))-AVERAGE(OFFSET($H$3,0,0,'Données projet'!$E$16+1,1))</f>
        <v>343.71044073996887</v>
      </c>
      <c r="FK60" s="62">
        <f t="shared" si="48"/>
        <v>193.51732627292375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219.79999999999998</v>
      </c>
      <c r="O61" s="14">
        <f>N61*VLOOKUP('Données projet'!$B$9,Paramètres!$A$1:$I$89,3,0)*VLOOKUP('Données projet'!$B$9,Paramètres!$A$1:$I$89,5,0)</f>
        <v>198.87503999999998</v>
      </c>
      <c r="P61" s="14">
        <f t="shared" si="33"/>
        <v>49.496854461868558</v>
      </c>
      <c r="Q61" s="22">
        <f t="shared" si="53"/>
        <v>432.58104952108766</v>
      </c>
      <c r="R61" s="62">
        <f t="shared" si="0"/>
        <v>725.91438285442098</v>
      </c>
      <c r="S61" s="62">
        <f ca="1">AVERAGE(OFFSET($R$3,0,0,'Données projet'!$E$9+1,1))-AVERAGE(OFFSET($H$3,0,0,'Données projet'!$E$9+1,1))</f>
        <v>303.73499739059076</v>
      </c>
      <c r="T61" s="62">
        <f t="shared" si="34"/>
        <v>172.32171001882188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</v>
      </c>
      <c r="AI61" s="14">
        <f>IF('Données projet'!$A$62&gt;35,AI60+AH61-AQ60,IF(A61&lt;'Données projet'!$A$62,$AF$205^A61,IF(A61='Données projet'!$A$62,'Données projet'!$B$62,AI60+AH61-AQ60)))</f>
        <v>234.99999999999989</v>
      </c>
      <c r="AJ61" s="14">
        <f>AI61*VLOOKUP('Données projet'!$B$10,Paramètres!$A$1:$I$89,3,0)*VLOOKUP('Données projet'!$B$10,Paramètres!$A$1:$I$89,5,0)</f>
        <v>172.30199999999994</v>
      </c>
      <c r="AK61" s="14">
        <f t="shared" si="35"/>
        <v>43.605190720723655</v>
      </c>
      <c r="AL61" s="22">
        <f t="shared" si="4"/>
        <v>376.03835717192686</v>
      </c>
      <c r="AM61" s="62">
        <f t="shared" si="5"/>
        <v>669.37169050526018</v>
      </c>
      <c r="AN61" s="62">
        <f ca="1">AVERAGE(OFFSET($AM$3,0,0,'Données projet'!$E$10+1,1))-AVERAGE(OFFSET($H$3,0,0,'Données projet'!$E$10+1,1))</f>
        <v>215.66498680344858</v>
      </c>
      <c r="AO61" s="62">
        <f t="shared" si="36"/>
        <v>199.86715787211114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-5.6843418860808015E-14</v>
      </c>
      <c r="BE61" s="14">
        <f>BD61*VLOOKUP('Données projet'!$B$11,Paramètres!$A$1:$I$89,3,0)*VLOOKUP('Données projet'!$B$11,Paramètres!$A$1:$I$89,5,0)</f>
        <v>-3.3992364478763198E-14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155.11440101086782</v>
      </c>
      <c r="BJ61" s="62">
        <f t="shared" si="38"/>
        <v>239.53454701506638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7.751612189278676</v>
      </c>
      <c r="BQ61" s="23">
        <f>EXP(-LN(2)/25)*BQ60+(1-EXP(-LN(2)/25))/(LN(2)/25)*Calculateur!BL61*Calculateur!BN61*VLOOKUP('Données projet'!$B$11,Paramètres!$A$1:$I$89,3,0)*0.475*44/12</f>
        <v>3.3320163156754341</v>
      </c>
      <c r="BR61" s="23">
        <f>EXP(-LN(2)/2)*BR60+(1-EXP(-LN(2)/2))/(LN(2)/2)*BL61*BO61*VLOOKUP('Données projet'!$B$11,Paramètres!$A$1:$I$89,3,0)*0.475*44/12</f>
        <v>1.7998920135053591E-4</v>
      </c>
      <c r="BS61" s="24">
        <f t="shared" si="9"/>
        <v>11.083808494155461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-5.6843418860808015E-14</v>
      </c>
      <c r="BZ61" s="14">
        <f>BY61*VLOOKUP('Données projet'!$B$12,Paramètres!$A$1:$I$89,3,0)*VLOOKUP('Données projet'!$B$12,Paramètres!$A$1:$I$89,5,0)</f>
        <v>-3.3992364478763198E-14</v>
      </c>
      <c r="CA61" s="14" t="e">
        <f t="shared" si="39"/>
        <v>#NUM!</v>
      </c>
      <c r="CB61" s="22" t="e">
        <f t="shared" si="10"/>
        <v>#NUM!</v>
      </c>
      <c r="CC61" s="62" t="e">
        <f t="shared" si="11"/>
        <v>#NUM!</v>
      </c>
      <c r="CD61" s="62">
        <f ca="1">AVERAGE(OFFSET($CC$3,0,0,'Données projet'!$E$12+1,1))-AVERAGE(OFFSET($H$3,0,0,'Données projet'!$E$12+1,1))</f>
        <v>155.11440101086782</v>
      </c>
      <c r="CE61" s="62">
        <f t="shared" si="40"/>
        <v>239.53454701506638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7.751612189278676</v>
      </c>
      <c r="CL61" s="23">
        <f>EXP(-LN(2)/25)*CL60+(1-EXP(-LN(2)/25))/(LN(2)/25)*Calculateur!CG61*Calculateur!CI61*VLOOKUP('Données projet'!$B$12,Paramètres!$A$1:$I$89,3,0)*0.475*44/12</f>
        <v>3.3320163156754341</v>
      </c>
      <c r="CM61" s="23">
        <f>EXP(-LN(2)/2)*CM60+(1-EXP(-LN(2)/2))/(LN(2)/2)*CG61*CJ61*VLOOKUP('Données projet'!$B$12,Paramètres!$A$1:$I$89,3,0)*0.475*44/12</f>
        <v>1.7998920135053591E-4</v>
      </c>
      <c r="CN61" s="24">
        <f t="shared" si="12"/>
        <v>11.083808494155461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7.4</v>
      </c>
      <c r="CT61" s="13">
        <f>IF('Données projet'!$A$140&gt;35,CT60+CS61-DB60,IF(A61&lt;'Données projet'!$A$140,$CQ$205^A61,IF(A61='Données projet'!$A$140,'Données projet'!$B$140,CT60+CS61-DB60)))</f>
        <v>288.19999999999993</v>
      </c>
      <c r="CU61" s="18">
        <f>CT61*VLOOKUP('Données projet'!$B$13,Paramètres!$A$1:$I$89,3,0)*VLOOKUP('Données projet'!$B$13,Paramètres!$A$1:$I$89,5,0)</f>
        <v>233.78783999999996</v>
      </c>
      <c r="CV61" s="14">
        <f t="shared" si="41"/>
        <v>57.100920847849451</v>
      </c>
      <c r="CW61" s="22">
        <f t="shared" si="13"/>
        <v>506.63125847667106</v>
      </c>
      <c r="CX61" s="62">
        <f t="shared" si="14"/>
        <v>799.96459181000432</v>
      </c>
      <c r="CY61" s="62">
        <f ca="1">AVERAGE(OFFSET($CX$3,0,0,'Données projet'!$E$13+1,1))-AVERAGE(OFFSET($H$3,0,0,'Données projet'!$E$13+1,1))</f>
        <v>191.03017979797141</v>
      </c>
      <c r="CZ61" s="62">
        <f t="shared" si="42"/>
        <v>222.78252111624278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4.8717948717948731</v>
      </c>
      <c r="DO61" s="13">
        <f>IF('Données projet'!$A$166&gt;35,DO60+DN61-DW60,IF(A61&lt;'Données projet'!$A$166,$DL$205^A61,IF(A61='Données projet'!$A$166,'Données projet'!$B$166,DO60+DN61-DW60)))</f>
        <v>190.25641025641019</v>
      </c>
      <c r="DP61" s="18">
        <f>DO61*VLOOKUP('Données projet'!$B$14,Paramètres!$A$1:$I$89,3,0)*VLOOKUP('Données projet'!$B$14,Paramètres!$A$1:$I$89,5,0)</f>
        <v>181.04799999999994</v>
      </c>
      <c r="DQ61" s="14">
        <f t="shared" si="43"/>
        <v>45.555268021687233</v>
      </c>
      <c r="DR61" s="22">
        <f t="shared" si="16"/>
        <v>394.66735847110516</v>
      </c>
      <c r="DS61" s="62">
        <f t="shared" si="17"/>
        <v>688.00069180443847</v>
      </c>
      <c r="DT61" s="62">
        <f ca="1">AVERAGE(OFFSET($DS$3,0,0,'Données projet'!$E$14+1,1))-AVERAGE(OFFSET($H$3,0,0,'Données projet'!$E$14+1,1))</f>
        <v>260.93525280373063</v>
      </c>
      <c r="DU61" s="62">
        <f t="shared" si="44"/>
        <v>206.83968452163816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1.7724999999999995</v>
      </c>
      <c r="EJ61" s="13">
        <f>IF('Données projet'!$A$192&gt;35,EJ60+EI61-ER60,IF(A61&lt;'Données projet'!$A$192,$EG$205^A61,IF(A61='Données projet'!$A$192,'Données projet'!$B$192,EJ60+EI61-ER60)))</f>
        <v>80.817499999999981</v>
      </c>
      <c r="EK61" s="18">
        <f>EJ61*VLOOKUP('Données projet'!$B$15,Paramètres!$A$1:$I$89,3,0)*VLOOKUP('Données projet'!$B$15,Paramètres!$A$1:$I$89,5,0)</f>
        <v>93.10175999999997</v>
      </c>
      <c r="EL61" s="14">
        <f t="shared" si="45"/>
        <v>25.311813234087357</v>
      </c>
      <c r="EM61" s="22">
        <f t="shared" si="19"/>
        <v>206.23697338270208</v>
      </c>
      <c r="EN61" s="62">
        <f t="shared" si="20"/>
        <v>499.57030671603536</v>
      </c>
      <c r="EO61" s="62">
        <f ca="1">AVERAGE(OFFSET($EN$3,0,0,'Données projet'!$E$15+1,1))-AVERAGE(OFFSET($H$3,0,0,'Données projet'!$E$15+1,1))</f>
        <v>118.01099353898547</v>
      </c>
      <c r="EP61" s="62">
        <f t="shared" si="46"/>
        <v>103.17146760845947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7.6</v>
      </c>
      <c r="FE61" s="13">
        <f>IF('Données projet'!$A$218&gt;35,FE60+FD61-FM60,IF(A61&lt;'Données projet'!$A$218,$FB$205^A61,IF(A61='Données projet'!$A$218,'Données projet'!$B$218,FE60+FD61-FM60)))</f>
        <v>219.79999999999998</v>
      </c>
      <c r="FF61" s="18">
        <f>FE61*VLOOKUP('Données projet'!$B$16,Paramètres!$A$1:$I$89,3,0)*VLOOKUP('Données projet'!$B$16,Paramètres!$A$1:$I$89,5,0)</f>
        <v>219.44832</v>
      </c>
      <c r="FG61" s="14">
        <f t="shared" si="47"/>
        <v>53.994963282531728</v>
      </c>
      <c r="FH61" s="22">
        <f t="shared" si="22"/>
        <v>476.24705171707609</v>
      </c>
      <c r="FI61" s="62">
        <f t="shared" si="23"/>
        <v>769.5803850504094</v>
      </c>
      <c r="FJ61" s="62">
        <f ca="1">AVERAGE(OFFSET($FI$3,0,0,'Données projet'!$E$16+1,1))-AVERAGE(OFFSET($H$3,0,0,'Données projet'!$E$16+1,1))</f>
        <v>343.71044073996887</v>
      </c>
      <c r="FK61" s="62">
        <f t="shared" si="48"/>
        <v>193.51732627292375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227.39999999999998</v>
      </c>
      <c r="O62" s="14">
        <f>N62*VLOOKUP('Données projet'!$B$9,Paramètres!$A$1:$I$89,3,0)*VLOOKUP('Données projet'!$B$9,Paramètres!$A$1:$I$89,5,0)</f>
        <v>205.75151999999994</v>
      </c>
      <c r="P62" s="14">
        <f t="shared" si="33"/>
        <v>51.006084477955554</v>
      </c>
      <c r="Q62" s="22">
        <f t="shared" si="53"/>
        <v>447.18616113243911</v>
      </c>
      <c r="R62" s="62">
        <f t="shared" si="0"/>
        <v>740.51949446577237</v>
      </c>
      <c r="S62" s="62">
        <f ca="1">AVERAGE(OFFSET($R$3,0,0,'Données projet'!$E$9+1,1))-AVERAGE(OFFSET($H$3,0,0,'Données projet'!$E$9+1,1))</f>
        <v>303.73499739059076</v>
      </c>
      <c r="T62" s="62">
        <f t="shared" si="34"/>
        <v>172.32171001882188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</v>
      </c>
      <c r="AI62" s="14">
        <f>IF('Données projet'!$A$62&gt;35,AI61+AH62-AQ61,IF(A62&lt;'Données projet'!$A$62,$AF$205^A62,IF(A62='Données projet'!$A$62,'Données projet'!$B$62,AI61+AH62-AQ61)))</f>
        <v>239.99999999999989</v>
      </c>
      <c r="AJ62" s="14">
        <f>AI62*VLOOKUP('Données projet'!$B$10,Paramètres!$A$1:$I$89,3,0)*VLOOKUP('Données projet'!$B$10,Paramètres!$A$1:$I$89,5,0)</f>
        <v>175.9679999999999</v>
      </c>
      <c r="AK62" s="14">
        <f t="shared" si="35"/>
        <v>44.423961125650585</v>
      </c>
      <c r="AL62" s="22">
        <f t="shared" si="4"/>
        <v>383.8493322938412</v>
      </c>
      <c r="AM62" s="62">
        <f t="shared" si="5"/>
        <v>677.18266562717452</v>
      </c>
      <c r="AN62" s="62">
        <f ca="1">AVERAGE(OFFSET($AM$3,0,0,'Données projet'!$E$10+1,1))-AVERAGE(OFFSET($H$3,0,0,'Données projet'!$E$10+1,1))</f>
        <v>215.66498680344858</v>
      </c>
      <c r="AO62" s="62">
        <f t="shared" si="36"/>
        <v>199.86715787211114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-5.6843418860808015E-14</v>
      </c>
      <c r="BE62" s="14">
        <f>BD62*VLOOKUP('Données projet'!$B$11,Paramètres!$A$1:$I$89,3,0)*VLOOKUP('Données projet'!$B$11,Paramètres!$A$1:$I$89,5,0)</f>
        <v>-3.3992364478763198E-14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155.11440101086782</v>
      </c>
      <c r="BJ62" s="62">
        <f t="shared" si="38"/>
        <v>239.53454701506638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7.5996078022635034</v>
      </c>
      <c r="BQ62" s="23">
        <f>EXP(-LN(2)/25)*BQ61+(1-EXP(-LN(2)/25))/(LN(2)/25)*Calculateur!BL62*Calculateur!BN62*VLOOKUP('Données projet'!$B$11,Paramètres!$A$1:$I$89,3,0)*0.475*44/12</f>
        <v>3.2409021543001666</v>
      </c>
      <c r="BR62" s="23">
        <f>EXP(-LN(2)/2)*BR61+(1-EXP(-LN(2)/2))/(LN(2)/2)*BL62*BO62*VLOOKUP('Données projet'!$B$11,Paramètres!$A$1:$I$89,3,0)*0.475*44/12</f>
        <v>1.2727158481531484E-4</v>
      </c>
      <c r="BS62" s="24">
        <f t="shared" si="9"/>
        <v>10.840637228148486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-5.6843418860808015E-14</v>
      </c>
      <c r="BZ62" s="14">
        <f>BY62*VLOOKUP('Données projet'!$B$12,Paramètres!$A$1:$I$89,3,0)*VLOOKUP('Données projet'!$B$12,Paramètres!$A$1:$I$89,5,0)</f>
        <v>-3.3992364478763198E-14</v>
      </c>
      <c r="CA62" s="14" t="e">
        <f t="shared" si="39"/>
        <v>#NUM!</v>
      </c>
      <c r="CB62" s="22" t="e">
        <f t="shared" si="10"/>
        <v>#NUM!</v>
      </c>
      <c r="CC62" s="62" t="e">
        <f t="shared" si="11"/>
        <v>#NUM!</v>
      </c>
      <c r="CD62" s="62">
        <f ca="1">AVERAGE(OFFSET($CC$3,0,0,'Données projet'!$E$12+1,1))-AVERAGE(OFFSET($H$3,0,0,'Données projet'!$E$12+1,1))</f>
        <v>155.11440101086782</v>
      </c>
      <c r="CE62" s="62">
        <f t="shared" si="40"/>
        <v>239.53454701506638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7.5996078022635034</v>
      </c>
      <c r="CL62" s="23">
        <f>EXP(-LN(2)/25)*CL61+(1-EXP(-LN(2)/25))/(LN(2)/25)*Calculateur!CG62*Calculateur!CI62*VLOOKUP('Données projet'!$B$12,Paramètres!$A$1:$I$89,3,0)*0.475*44/12</f>
        <v>3.2409021543001666</v>
      </c>
      <c r="CM62" s="23">
        <f>EXP(-LN(2)/2)*CM61+(1-EXP(-LN(2)/2))/(LN(2)/2)*CG62*CJ62*VLOOKUP('Données projet'!$B$12,Paramètres!$A$1:$I$89,3,0)*0.475*44/12</f>
        <v>1.2727158481531484E-4</v>
      </c>
      <c r="CN62" s="24">
        <f t="shared" si="12"/>
        <v>10.840637228148486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7.4</v>
      </c>
      <c r="CT62" s="13">
        <f>IF('Données projet'!$A$140&gt;35,CT61+CS62-DB61,IF(A62&lt;'Données projet'!$A$140,$CQ$205^A62,IF(A62='Données projet'!$A$140,'Données projet'!$B$140,CT61+CS62-DB61)))</f>
        <v>295.59999999999991</v>
      </c>
      <c r="CU62" s="18">
        <f>CT62*VLOOKUP('Données projet'!$B$13,Paramètres!$A$1:$I$89,3,0)*VLOOKUP('Données projet'!$B$13,Paramètres!$A$1:$I$89,5,0)</f>
        <v>239.79071999999994</v>
      </c>
      <c r="CV62" s="14">
        <f t="shared" si="41"/>
        <v>58.394500584818381</v>
      </c>
      <c r="CW62" s="22">
        <f t="shared" si="13"/>
        <v>519.33925918522516</v>
      </c>
      <c r="CX62" s="62">
        <f t="shared" si="14"/>
        <v>812.67259251855853</v>
      </c>
      <c r="CY62" s="62">
        <f ca="1">AVERAGE(OFFSET($CX$3,0,0,'Données projet'!$E$13+1,1))-AVERAGE(OFFSET($H$3,0,0,'Données projet'!$E$13+1,1))</f>
        <v>191.03017979797141</v>
      </c>
      <c r="CZ62" s="62">
        <f t="shared" si="42"/>
        <v>222.78252111624278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4.8717948717948731</v>
      </c>
      <c r="DO62" s="13">
        <f>IF('Données projet'!$A$166&gt;35,DO61+DN62-DW61,IF(A62&lt;'Données projet'!$A$166,$DL$205^A62,IF(A62='Données projet'!$A$166,'Données projet'!$B$166,DO61+DN62-DW61)))</f>
        <v>195.12820512820505</v>
      </c>
      <c r="DP62" s="18">
        <f>DO62*VLOOKUP('Données projet'!$B$14,Paramètres!$A$1:$I$89,3,0)*VLOOKUP('Données projet'!$B$14,Paramètres!$A$1:$I$89,5,0)</f>
        <v>185.68399999999991</v>
      </c>
      <c r="DQ62" s="14">
        <f t="shared" si="43"/>
        <v>46.584474219718061</v>
      </c>
      <c r="DR62" s="22">
        <f t="shared" si="16"/>
        <v>404.5342592660088</v>
      </c>
      <c r="DS62" s="62">
        <f t="shared" si="17"/>
        <v>697.86759259934206</v>
      </c>
      <c r="DT62" s="62">
        <f ca="1">AVERAGE(OFFSET($DS$3,0,0,'Données projet'!$E$14+1,1))-AVERAGE(OFFSET($H$3,0,0,'Données projet'!$E$14+1,1))</f>
        <v>260.93525280373063</v>
      </c>
      <c r="DU62" s="62">
        <f t="shared" si="44"/>
        <v>206.83968452163816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1.7724999999999995</v>
      </c>
      <c r="EJ62" s="13">
        <f>IF('Données projet'!$A$192&gt;35,EJ61+EI62-ER61,IF(A62&lt;'Données projet'!$A$192,$EG$205^A62,IF(A62='Données projet'!$A$192,'Données projet'!$B$192,EJ61+EI62-ER61)))</f>
        <v>82.589999999999975</v>
      </c>
      <c r="EK62" s="18">
        <f>EJ62*VLOOKUP('Données projet'!$B$15,Paramètres!$A$1:$I$89,3,0)*VLOOKUP('Données projet'!$B$15,Paramètres!$A$1:$I$89,5,0)</f>
        <v>95.143679999999961</v>
      </c>
      <c r="EL62" s="14">
        <f t="shared" si="45"/>
        <v>25.801715632414158</v>
      </c>
      <c r="EM62" s="22">
        <f t="shared" si="19"/>
        <v>210.64656405978792</v>
      </c>
      <c r="EN62" s="62">
        <f t="shared" si="20"/>
        <v>503.97989739312123</v>
      </c>
      <c r="EO62" s="62">
        <f ca="1">AVERAGE(OFFSET($EN$3,0,0,'Données projet'!$E$15+1,1))-AVERAGE(OFFSET($H$3,0,0,'Données projet'!$E$15+1,1))</f>
        <v>118.01099353898547</v>
      </c>
      <c r="EP62" s="62">
        <f t="shared" si="46"/>
        <v>103.17146760845947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7.6</v>
      </c>
      <c r="FE62" s="13">
        <f>IF('Données projet'!$A$218&gt;35,FE61+FD62-FM61,IF(A62&lt;'Données projet'!$A$218,$FB$205^A62,IF(A62='Données projet'!$A$218,'Données projet'!$B$218,FE61+FD62-FM61)))</f>
        <v>227.39999999999998</v>
      </c>
      <c r="FF62" s="18">
        <f>FE62*VLOOKUP('Données projet'!$B$16,Paramètres!$A$1:$I$89,3,0)*VLOOKUP('Données projet'!$B$16,Paramètres!$A$1:$I$89,5,0)</f>
        <v>227.03616000000002</v>
      </c>
      <c r="FG62" s="14">
        <f t="shared" si="47"/>
        <v>55.641347081855507</v>
      </c>
      <c r="FH62" s="22">
        <f t="shared" si="22"/>
        <v>492.32999150089842</v>
      </c>
      <c r="FI62" s="62">
        <f t="shared" si="23"/>
        <v>785.66332483423173</v>
      </c>
      <c r="FJ62" s="62">
        <f ca="1">AVERAGE(OFFSET($FI$3,0,0,'Données projet'!$E$16+1,1))-AVERAGE(OFFSET($H$3,0,0,'Données projet'!$E$16+1,1))</f>
        <v>343.71044073996887</v>
      </c>
      <c r="FK62" s="62">
        <f t="shared" si="48"/>
        <v>193.51732627292375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235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234.99999999999997</v>
      </c>
      <c r="O63" s="14">
        <f>N63*VLOOKUP('Données projet'!$B$9,Paramètres!$A$1:$I$89,3,0)*VLOOKUP('Données projet'!$B$9,Paramètres!$A$1:$I$89,5,0)</f>
        <v>212.62799999999999</v>
      </c>
      <c r="P63" s="14">
        <f t="shared" si="33"/>
        <v>52.509453483719035</v>
      </c>
      <c r="Q63" s="22">
        <f t="shared" si="53"/>
        <v>461.78106481747727</v>
      </c>
      <c r="R63" s="62">
        <f t="shared" si="0"/>
        <v>755.11439815081053</v>
      </c>
      <c r="S63" s="62">
        <f ca="1">AVERAGE(OFFSET($R$3,0,0,'Données projet'!$E$9+1,1))-AVERAGE(OFFSET($H$3,0,0,'Données projet'!$E$9+1,1))</f>
        <v>303.73499739059076</v>
      </c>
      <c r="T63" s="62">
        <f t="shared" si="34"/>
        <v>172.32171001882188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42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245</v>
      </c>
      <c r="AG63" s="13">
        <f>VLOOKUP(A63,'Données projet'!$A$61:$I$81,9,0)</f>
        <v>5</v>
      </c>
      <c r="AH63" s="13">
        <f t="array" ref="AH63">INDEX(AG:AG,MIN(IF(ISNUMBER(AG63:AG259),ROW(AG63:AG259),"")))</f>
        <v>5</v>
      </c>
      <c r="AI63" s="14">
        <f>IF('Données projet'!$A$62&gt;35,AI62+AH63-AQ62,IF(A63&lt;'Données projet'!$A$62,$AF$205^A63,IF(A63='Données projet'!$A$62,'Données projet'!$B$62,AI62+AH63-AQ62)))</f>
        <v>244.99999999999989</v>
      </c>
      <c r="AJ63" s="14">
        <f>AI63*VLOOKUP('Données projet'!$B$10,Paramètres!$A$1:$I$89,3,0)*VLOOKUP('Données projet'!$B$10,Paramètres!$A$1:$I$89,5,0)</f>
        <v>179.6339999999999</v>
      </c>
      <c r="AK63" s="14">
        <f t="shared" si="35"/>
        <v>45.240748266194686</v>
      </c>
      <c r="AL63" s="22">
        <f t="shared" si="4"/>
        <v>391.65685323028885</v>
      </c>
      <c r="AM63" s="62">
        <f t="shared" si="5"/>
        <v>684.99018656362216</v>
      </c>
      <c r="AN63" s="62">
        <f ca="1">AVERAGE(OFFSET($AM$3,0,0,'Données projet'!$E$10+1,1))-AVERAGE(OFFSET($H$3,0,0,'Données projet'!$E$10+1,1))</f>
        <v>215.66498680344858</v>
      </c>
      <c r="AO63" s="62">
        <f t="shared" si="36"/>
        <v>199.86715787211114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-5.6843418860808015E-14</v>
      </c>
      <c r="BE63" s="14">
        <f>BD63*VLOOKUP('Données projet'!$B$11,Paramètres!$A$1:$I$89,3,0)*VLOOKUP('Données projet'!$B$11,Paramètres!$A$1:$I$89,5,0)</f>
        <v>-3.3992364478763198E-14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155.11440101086782</v>
      </c>
      <c r="BJ63" s="62">
        <f t="shared" si="38"/>
        <v>239.53454701506638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7.4505841285641772</v>
      </c>
      <c r="BQ63" s="23">
        <f>EXP(-LN(2)/25)*BQ62+(1-EXP(-LN(2)/25))/(LN(2)/25)*Calculateur!BL63*Calculateur!BN63*VLOOKUP('Données projet'!$B$11,Paramètres!$A$1:$I$89,3,0)*0.475*44/12</f>
        <v>3.1522795144591913</v>
      </c>
      <c r="BR63" s="23">
        <f>EXP(-LN(2)/2)*BR62+(1-EXP(-LN(2)/2))/(LN(2)/2)*BL63*BO63*VLOOKUP('Données projet'!$B$11,Paramètres!$A$1:$I$89,3,0)*0.475*44/12</f>
        <v>8.9994600675267954E-5</v>
      </c>
      <c r="BS63" s="24">
        <f t="shared" si="9"/>
        <v>10.602953637624044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-5.6843418860808015E-14</v>
      </c>
      <c r="BZ63" s="14">
        <f>BY63*VLOOKUP('Données projet'!$B$12,Paramètres!$A$1:$I$89,3,0)*VLOOKUP('Données projet'!$B$12,Paramètres!$A$1:$I$89,5,0)</f>
        <v>-3.3992364478763198E-14</v>
      </c>
      <c r="CA63" s="14" t="e">
        <f t="shared" si="39"/>
        <v>#NUM!</v>
      </c>
      <c r="CB63" s="22" t="e">
        <f t="shared" si="10"/>
        <v>#NUM!</v>
      </c>
      <c r="CC63" s="62" t="e">
        <f t="shared" si="11"/>
        <v>#NUM!</v>
      </c>
      <c r="CD63" s="62">
        <f ca="1">AVERAGE(OFFSET($CC$3,0,0,'Données projet'!$E$12+1,1))-AVERAGE(OFFSET($H$3,0,0,'Données projet'!$E$12+1,1))</f>
        <v>155.11440101086782</v>
      </c>
      <c r="CE63" s="62">
        <f t="shared" si="40"/>
        <v>239.53454701506638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7.4505841285641772</v>
      </c>
      <c r="CL63" s="23">
        <f>EXP(-LN(2)/25)*CL62+(1-EXP(-LN(2)/25))/(LN(2)/25)*Calculateur!CG63*Calculateur!CI63*VLOOKUP('Données projet'!$B$12,Paramètres!$A$1:$I$89,3,0)*0.475*44/12</f>
        <v>3.1522795144591913</v>
      </c>
      <c r="CM63" s="23">
        <f>EXP(-LN(2)/2)*CM62+(1-EXP(-LN(2)/2))/(LN(2)/2)*CG63*CJ63*VLOOKUP('Données projet'!$B$12,Paramètres!$A$1:$I$89,3,0)*0.475*44/12</f>
        <v>8.9994600675267954E-5</v>
      </c>
      <c r="CN63" s="24">
        <f t="shared" si="12"/>
        <v>10.602953637624044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303</v>
      </c>
      <c r="CR63" s="13">
        <f>VLOOKUP(A63,'Données projet'!$A$139:$I$159,9,0)</f>
        <v>7.4</v>
      </c>
      <c r="CS63" s="13">
        <f t="array" ref="CS63">INDEX(CR:CR,MIN(IF(ISNUMBER(CR63:CR259),ROW(CR63:CR259),"")))</f>
        <v>7.4</v>
      </c>
      <c r="CT63" s="13">
        <f>IF('Données projet'!$A$140&gt;35,CT62+CS63-DB62,IF(A63&lt;'Données projet'!$A$140,$CQ$205^A63,IF(A63='Données projet'!$A$140,'Données projet'!$B$140,CT62+CS63-DB62)))</f>
        <v>302.99999999999989</v>
      </c>
      <c r="CU63" s="18">
        <f>CT63*VLOOKUP('Données projet'!$B$13,Paramètres!$A$1:$I$89,3,0)*VLOOKUP('Données projet'!$B$13,Paramètres!$A$1:$I$89,5,0)</f>
        <v>245.79359999999991</v>
      </c>
      <c r="CV63" s="14">
        <f t="shared" si="41"/>
        <v>59.684315982017168</v>
      </c>
      <c r="CW63" s="22">
        <f t="shared" si="13"/>
        <v>532.04070366867973</v>
      </c>
      <c r="CX63" s="62">
        <f t="shared" si="14"/>
        <v>825.37403700201298</v>
      </c>
      <c r="CY63" s="62">
        <f ca="1">AVERAGE(OFFSET($CX$3,0,0,'Données projet'!$E$13+1,1))-AVERAGE(OFFSET($H$3,0,0,'Données projet'!$E$13+1,1))</f>
        <v>191.03017979797141</v>
      </c>
      <c r="CZ63" s="62">
        <f t="shared" si="42"/>
        <v>222.78252111624278</v>
      </c>
      <c r="DA63" s="16">
        <f>IF(ISNA(VLOOKUP(A63,'Données projet'!$A$139:$I$159,3,0)),0,VLOOKUP(A63,'Données projet'!$A$139:$I$159,3,0))</f>
        <v>3</v>
      </c>
      <c r="DB63" s="16">
        <f>IF(ISNA(VLOOKUP(A63,'Données projet'!$A$139:$I$159,4,0)),0,VLOOKUP(A63,'Données projet'!$A$139:$I$159,4,0))</f>
        <v>303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200</v>
      </c>
      <c r="DM63" s="13">
        <f>VLOOKUP(A63,'Données projet'!$A$165:$I$185,9,0)</f>
        <v>4.8717948717948731</v>
      </c>
      <c r="DN63" s="13">
        <f t="array" ref="DN63">INDEX(DM:DM,MIN(IF(ISNUMBER(DM63:DM259),ROW(DM63:DM259),"")))</f>
        <v>4.8717948717948731</v>
      </c>
      <c r="DO63" s="13">
        <f>IF('Données projet'!$A$166&gt;35,DO62+DN63-DW62,IF(A63&lt;'Données projet'!$A$166,$DL$205^A63,IF(A63='Données projet'!$A$166,'Données projet'!$B$166,DO62+DN63-DW62)))</f>
        <v>199.99999999999991</v>
      </c>
      <c r="DP63" s="18">
        <f>DO63*VLOOKUP('Données projet'!$B$14,Paramètres!$A$1:$I$89,3,0)*VLOOKUP('Données projet'!$B$14,Paramètres!$A$1:$I$89,5,0)</f>
        <v>190.31999999999991</v>
      </c>
      <c r="DQ63" s="14">
        <f t="shared" si="43"/>
        <v>47.61069337740188</v>
      </c>
      <c r="DR63" s="22">
        <f t="shared" si="16"/>
        <v>414.39595763230813</v>
      </c>
      <c r="DS63" s="62">
        <f t="shared" si="17"/>
        <v>707.72929096564144</v>
      </c>
      <c r="DT63" s="62">
        <f ca="1">AVERAGE(OFFSET($DS$3,0,0,'Données projet'!$E$14+1,1))-AVERAGE(OFFSET($H$3,0,0,'Données projet'!$E$14+1,1))</f>
        <v>260.93525280373063</v>
      </c>
      <c r="DU63" s="62">
        <f t="shared" si="44"/>
        <v>206.83968452163816</v>
      </c>
      <c r="DV63" s="16">
        <f>IF(ISNA(VLOOKUP(A63,'Données projet'!$A$165:$I$185,3,0)),0,VLOOKUP(A63,'Données projet'!$A$165:$I$185,3,0))</f>
        <v>5</v>
      </c>
      <c r="DW63" s="16">
        <f>IF(ISNA(VLOOKUP(A63,'Données projet'!$A$165:$I$185,4,0)),0,VLOOKUP(A63,'Données projet'!$A$165:$I$185,4,0))</f>
        <v>29.487179487179485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84.362499999999997</v>
      </c>
      <c r="EH63" s="13">
        <f>VLOOKUP(A63,'Données projet'!$A$191:$I$211,9,0)</f>
        <v>1.7724999999999995</v>
      </c>
      <c r="EI63" s="13">
        <f t="array" ref="EI63">INDEX(EH:EH,MIN(IF(ISNUMBER(EH63:EH259),ROW(EH63:EH259),"")))</f>
        <v>1.7724999999999995</v>
      </c>
      <c r="EJ63" s="13">
        <f>IF('Données projet'!$A$192&gt;35,EJ62+EI63-ER62,IF(A63&lt;'Données projet'!$A$192,$EG$205^A63,IF(A63='Données projet'!$A$192,'Données projet'!$B$192,EJ62+EI63-ER62)))</f>
        <v>84.362499999999969</v>
      </c>
      <c r="EK63" s="18">
        <f>EJ63*VLOOKUP('Données projet'!$B$15,Paramètres!$A$1:$I$89,3,0)*VLOOKUP('Données projet'!$B$15,Paramètres!$A$1:$I$89,5,0)</f>
        <v>97.185599999999965</v>
      </c>
      <c r="EL63" s="14">
        <f t="shared" si="45"/>
        <v>26.290395628270069</v>
      </c>
      <c r="EM63" s="22">
        <f t="shared" si="19"/>
        <v>215.05402571923696</v>
      </c>
      <c r="EN63" s="62">
        <f t="shared" si="20"/>
        <v>508.38735905257028</v>
      </c>
      <c r="EO63" s="62">
        <f ca="1">AVERAGE(OFFSET($EN$3,0,0,'Données projet'!$E$15+1,1))-AVERAGE(OFFSET($H$3,0,0,'Données projet'!$E$15+1,1))</f>
        <v>118.01099353898547</v>
      </c>
      <c r="EP63" s="62">
        <f t="shared" si="46"/>
        <v>103.17146760845947</v>
      </c>
      <c r="EQ63" s="16">
        <f>IF(ISNA(VLOOKUP(A63,'Données projet'!$A$191:$I$211,3,0)),0,VLOOKUP(A63,'Données projet'!$A$191:$I$211,3,0))</f>
        <v>4</v>
      </c>
      <c r="ER63" s="16">
        <f>IF(ISNA(VLOOKUP(A63,'Données projet'!$A$191:$I$211,4,0)),0,VLOOKUP(A63,'Données projet'!$A$191:$I$211,4,0))</f>
        <v>8.25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235</v>
      </c>
      <c r="FC63" s="13">
        <f>VLOOKUP(A63,'Données projet'!$A$217:$I$237,9,0)</f>
        <v>7.6</v>
      </c>
      <c r="FD63" s="13">
        <f t="array" ref="FD63">INDEX(FC:FC,MIN(IF(ISNUMBER(FC63:FC259),ROW(FC63:FC259),"")))</f>
        <v>7.6</v>
      </c>
      <c r="FE63" s="13">
        <f>IF('Données projet'!$A$218&gt;35,FE62+FD63-FM62,IF(A63&lt;'Données projet'!$A$218,$FB$205^A63,IF(A63='Données projet'!$A$218,'Données projet'!$B$218,FE62+FD63-FM62)))</f>
        <v>234.99999999999997</v>
      </c>
      <c r="FF63" s="18">
        <f>FE63*VLOOKUP('Données projet'!$B$16,Paramètres!$A$1:$I$89,3,0)*VLOOKUP('Données projet'!$B$16,Paramètres!$A$1:$I$89,5,0)</f>
        <v>234.62399999999997</v>
      </c>
      <c r="FG63" s="14">
        <f t="shared" si="47"/>
        <v>57.281337241812707</v>
      </c>
      <c r="FH63" s="22">
        <f t="shared" si="22"/>
        <v>508.40179569615708</v>
      </c>
      <c r="FI63" s="62">
        <f t="shared" si="23"/>
        <v>801.73512902949039</v>
      </c>
      <c r="FJ63" s="62">
        <f ca="1">AVERAGE(OFFSET($FI$3,0,0,'Données projet'!$E$16+1,1))-AVERAGE(OFFSET($H$3,0,0,'Données projet'!$E$16+1,1))</f>
        <v>343.71044073996887</v>
      </c>
      <c r="FK63" s="62">
        <f t="shared" si="48"/>
        <v>193.51732627292375</v>
      </c>
      <c r="FL63" s="16">
        <f>IF(ISNA(VLOOKUP(A63,'Données projet'!$A$217:$I$237,3,0)),0,VLOOKUP(A63,'Données projet'!$A$217:$I$237,3,0))</f>
        <v>4</v>
      </c>
      <c r="FM63" s="16">
        <f>IF(ISNA(VLOOKUP(A63,'Données projet'!$A$217:$I$237,4,0)),0,VLOOKUP(A63,'Données projet'!$A$217:$I$237,4,0))</f>
        <v>42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181.14095999999995</v>
      </c>
      <c r="P64" s="14">
        <f t="shared" si="33"/>
        <v>45.575935320610945</v>
      </c>
      <c r="Q64" s="22">
        <f t="shared" si="53"/>
        <v>394.86525935006392</v>
      </c>
      <c r="R64" s="62">
        <f t="shared" si="0"/>
        <v>688.19859268339724</v>
      </c>
      <c r="S64" s="62">
        <f ca="1">AVERAGE(OFFSET($R$3,0,0,'Données projet'!$E$9+1,1))-AVERAGE(OFFSET($H$3,0,0,'Données projet'!$E$9+1,1))</f>
        <v>303.73499739059076</v>
      </c>
      <c r="T64" s="62">
        <f t="shared" si="34"/>
        <v>172.32171001882188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4.4000000000000004</v>
      </c>
      <c r="AI64" s="14">
        <f>IF('Données projet'!$A$62&gt;35,AI63+AH64-AQ63,IF(A64&lt;'Données projet'!$A$62,$AF$205^A64,IF(A64='Données projet'!$A$62,'Données projet'!$B$62,AI63+AH64-AQ63)))</f>
        <v>249.39999999999989</v>
      </c>
      <c r="AJ64" s="14">
        <f>AI64*VLOOKUP('Données projet'!$B$10,Paramètres!$A$1:$I$89,3,0)*VLOOKUP('Données projet'!$B$10,Paramètres!$A$1:$I$89,5,0)</f>
        <v>182.86007999999993</v>
      </c>
      <c r="AK64" s="14">
        <f t="shared" si="35"/>
        <v>45.957916284909473</v>
      </c>
      <c r="AL64" s="22">
        <f t="shared" si="4"/>
        <v>398.52467686288384</v>
      </c>
      <c r="AM64" s="62">
        <f t="shared" si="5"/>
        <v>691.85801019621715</v>
      </c>
      <c r="AN64" s="62">
        <f ca="1">AVERAGE(OFFSET($AM$3,0,0,'Données projet'!$E$10+1,1))-AVERAGE(OFFSET($H$3,0,0,'Données projet'!$E$10+1,1))</f>
        <v>215.66498680344858</v>
      </c>
      <c r="AO64" s="62">
        <f t="shared" si="36"/>
        <v>199.86715787211114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-5.6843418860808015E-14</v>
      </c>
      <c r="BE64" s="14">
        <f>BD64*VLOOKUP('Données projet'!$B$11,Paramètres!$A$1:$I$89,3,0)*VLOOKUP('Données projet'!$B$11,Paramètres!$A$1:$I$89,5,0)</f>
        <v>-3.3992364478763198E-14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155.11440101086782</v>
      </c>
      <c r="BJ64" s="62">
        <f t="shared" si="38"/>
        <v>239.53454701506638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7.3044827182106289</v>
      </c>
      <c r="BQ64" s="23">
        <f>EXP(-LN(2)/25)*BQ63+(1-EXP(-LN(2)/25))/(LN(2)/25)*Calculateur!BL64*Calculateur!BN64*VLOOKUP('Données projet'!$B$11,Paramètres!$A$1:$I$89,3,0)*0.475*44/12</f>
        <v>3.0660802653651298</v>
      </c>
      <c r="BR64" s="23">
        <f>EXP(-LN(2)/2)*BR63+(1-EXP(-LN(2)/2))/(LN(2)/2)*BL64*BO64*VLOOKUP('Données projet'!$B$11,Paramètres!$A$1:$I$89,3,0)*0.475*44/12</f>
        <v>6.3635792407657418E-5</v>
      </c>
      <c r="BS64" s="24">
        <f t="shared" si="9"/>
        <v>10.370626619368167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-5.6843418860808015E-14</v>
      </c>
      <c r="BZ64" s="14">
        <f>BY64*VLOOKUP('Données projet'!$B$12,Paramètres!$A$1:$I$89,3,0)*VLOOKUP('Données projet'!$B$12,Paramètres!$A$1:$I$89,5,0)</f>
        <v>-3.3992364478763198E-14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155.11440101086782</v>
      </c>
      <c r="CE64" s="62">
        <f t="shared" si="40"/>
        <v>239.53454701506638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7.3044827182106289</v>
      </c>
      <c r="CL64" s="23">
        <f>EXP(-LN(2)/25)*CL63+(1-EXP(-LN(2)/25))/(LN(2)/25)*Calculateur!CG64*Calculateur!CI64*VLOOKUP('Données projet'!$B$12,Paramètres!$A$1:$I$89,3,0)*0.475*44/12</f>
        <v>3.0660802653651298</v>
      </c>
      <c r="CM64" s="23">
        <f>EXP(-LN(2)/2)*CM63+(1-EXP(-LN(2)/2))/(LN(2)/2)*CG64*CJ64*VLOOKUP('Données projet'!$B$12,Paramètres!$A$1:$I$89,3,0)*0.475*44/12</f>
        <v>6.3635792407657418E-5</v>
      </c>
      <c r="CN64" s="24">
        <f t="shared" si="12"/>
        <v>10.370626619368167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-1.1368683772161603E-13</v>
      </c>
      <c r="CU64" s="18">
        <f>CT64*VLOOKUP('Données projet'!$B$13,Paramètres!$A$1:$I$89,3,0)*VLOOKUP('Données projet'!$B$13,Paramètres!$A$1:$I$89,5,0)</f>
        <v>-9.2222762759774927E-14</v>
      </c>
      <c r="CV64" s="14" t="e">
        <f t="shared" si="41"/>
        <v>#NUM!</v>
      </c>
      <c r="CW64" s="22" t="e">
        <f t="shared" si="13"/>
        <v>#NUM!</v>
      </c>
      <c r="CX64" s="62" t="e">
        <f t="shared" si="14"/>
        <v>#NUM!</v>
      </c>
      <c r="CY64" s="62">
        <f ca="1">AVERAGE(OFFSET($CX$3,0,0,'Données projet'!$E$13+1,1))-AVERAGE(OFFSET($H$3,0,0,'Données projet'!$E$13+1,1))</f>
        <v>191.03017979797141</v>
      </c>
      <c r="CZ64" s="62">
        <f t="shared" si="42"/>
        <v>222.78252111624278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4.6153846153846132</v>
      </c>
      <c r="DO64" s="13">
        <f>IF('Données projet'!$A$166&gt;35,DO63+DN64-DW63,IF(A64&lt;'Données projet'!$A$166,$DL$205^A64,IF(A64='Données projet'!$A$166,'Données projet'!$B$166,DO63+DN64-DW63)))</f>
        <v>175.12820512820505</v>
      </c>
      <c r="DP64" s="18">
        <f>DO64*VLOOKUP('Données projet'!$B$14,Paramètres!$A$1:$I$89,3,0)*VLOOKUP('Données projet'!$B$14,Paramètres!$A$1:$I$89,5,0)</f>
        <v>166.65199999999993</v>
      </c>
      <c r="DQ64" s="14">
        <f t="shared" si="43"/>
        <v>42.339317127801309</v>
      </c>
      <c r="DR64" s="22">
        <f t="shared" si="16"/>
        <v>363.99321066425381</v>
      </c>
      <c r="DS64" s="62">
        <f t="shared" si="17"/>
        <v>657.32654399758712</v>
      </c>
      <c r="DT64" s="62">
        <f ca="1">AVERAGE(OFFSET($DS$3,0,0,'Données projet'!$E$14+1,1))-AVERAGE(OFFSET($H$3,0,0,'Données projet'!$E$14+1,1))</f>
        <v>260.93525280373063</v>
      </c>
      <c r="DU64" s="62">
        <f t="shared" si="44"/>
        <v>206.83968452163816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1.6750000000000014</v>
      </c>
      <c r="EJ64" s="13">
        <f>IF('Données projet'!$A$192&gt;35,EJ63+EI64-ER63,IF(A64&lt;'Données projet'!$A$192,$EG$205^A64,IF(A64='Données projet'!$A$192,'Données projet'!$B$192,EJ63+EI64-ER63)))</f>
        <v>77.787499999999966</v>
      </c>
      <c r="EK64" s="18">
        <f>EJ64*VLOOKUP('Données projet'!$B$15,Paramètres!$A$1:$I$89,3,0)*VLOOKUP('Données projet'!$B$15,Paramètres!$A$1:$I$89,5,0)</f>
        <v>89.611199999999954</v>
      </c>
      <c r="EL64" s="14">
        <f t="shared" si="45"/>
        <v>24.471432182378969</v>
      </c>
      <c r="EM64" s="22">
        <f t="shared" si="19"/>
        <v>198.6939177176433</v>
      </c>
      <c r="EN64" s="62">
        <f t="shared" si="20"/>
        <v>492.02725105097659</v>
      </c>
      <c r="EO64" s="62">
        <f ca="1">AVERAGE(OFFSET($EN$3,0,0,'Données projet'!$E$15+1,1))-AVERAGE(OFFSET($H$3,0,0,'Données projet'!$E$15+1,1))</f>
        <v>118.01099353898547</v>
      </c>
      <c r="EP64" s="62">
        <f t="shared" si="46"/>
        <v>103.17146760845947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7.2</v>
      </c>
      <c r="FE64" s="13">
        <f>IF('Données projet'!$A$218&gt;35,FE63+FD64-FM63,IF(A64&lt;'Données projet'!$A$218,$FB$205^A64,IF(A64='Données projet'!$A$218,'Données projet'!$B$218,FE63+FD64-FM63)))</f>
        <v>200.19999999999996</v>
      </c>
      <c r="FF64" s="18">
        <f>FE64*VLOOKUP('Données projet'!$B$16,Paramètres!$A$1:$I$89,3,0)*VLOOKUP('Données projet'!$B$16,Paramètres!$A$1:$I$89,5,0)</f>
        <v>199.87967999999998</v>
      </c>
      <c r="FG64" s="14">
        <f t="shared" si="47"/>
        <v>49.717724105058785</v>
      </c>
      <c r="FH64" s="22">
        <f t="shared" si="22"/>
        <v>434.71547881631068</v>
      </c>
      <c r="FI64" s="62">
        <f t="shared" si="23"/>
        <v>728.04881214964394</v>
      </c>
      <c r="FJ64" s="62">
        <f ca="1">AVERAGE(OFFSET($FI$3,0,0,'Données projet'!$E$16+1,1))-AVERAGE(OFFSET($H$3,0,0,'Données projet'!$E$16+1,1))</f>
        <v>343.71044073996887</v>
      </c>
      <c r="FK64" s="62">
        <f t="shared" si="48"/>
        <v>193.51732627292375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187.65551999999994</v>
      </c>
      <c r="P65" s="14">
        <f t="shared" si="33"/>
        <v>47.021247649900147</v>
      </c>
      <c r="Q65" s="22">
        <f t="shared" si="53"/>
        <v>408.72870365690932</v>
      </c>
      <c r="R65" s="62">
        <f t="shared" si="0"/>
        <v>702.06203699024263</v>
      </c>
      <c r="S65" s="62">
        <f ca="1">AVERAGE(OFFSET($R$3,0,0,'Données projet'!$E$9+1,1))-AVERAGE(OFFSET($H$3,0,0,'Données projet'!$E$9+1,1))</f>
        <v>303.73499739059076</v>
      </c>
      <c r="T65" s="62">
        <f t="shared" si="34"/>
        <v>172.32171001882188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4.4000000000000004</v>
      </c>
      <c r="AI65" s="14">
        <f>IF('Données projet'!$A$62&gt;35,AI64+AH65-AQ64,IF(A65&lt;'Données projet'!$A$62,$AF$205^A65,IF(A65='Données projet'!$A$62,'Données projet'!$B$62,AI64+AH65-AQ64)))</f>
        <v>253.7999999999999</v>
      </c>
      <c r="AJ65" s="14">
        <f>AI65*VLOOKUP('Données projet'!$B$10,Paramètres!$A$1:$I$89,3,0)*VLOOKUP('Données projet'!$B$10,Paramètres!$A$1:$I$89,5,0)</f>
        <v>186.08615999999992</v>
      </c>
      <c r="AK65" s="14">
        <f t="shared" si="35"/>
        <v>46.67361298040047</v>
      </c>
      <c r="AL65" s="22">
        <f t="shared" si="4"/>
        <v>405.389937940864</v>
      </c>
      <c r="AM65" s="62">
        <f t="shared" si="5"/>
        <v>698.72327127419726</v>
      </c>
      <c r="AN65" s="62">
        <f ca="1">AVERAGE(OFFSET($AM$3,0,0,'Données projet'!$E$10+1,1))-AVERAGE(OFFSET($H$3,0,0,'Données projet'!$E$10+1,1))</f>
        <v>215.66498680344858</v>
      </c>
      <c r="AO65" s="62">
        <f t="shared" si="36"/>
        <v>199.86715787211114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-5.6843418860808015E-14</v>
      </c>
      <c r="BE65" s="14">
        <f>BD65*VLOOKUP('Données projet'!$B$11,Paramètres!$A$1:$I$89,3,0)*VLOOKUP('Données projet'!$B$11,Paramètres!$A$1:$I$89,5,0)</f>
        <v>-3.3992364478763198E-14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155.11440101086782</v>
      </c>
      <c r="BJ65" s="62">
        <f t="shared" si="38"/>
        <v>239.53454701506638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7.1612462674010526</v>
      </c>
      <c r="BQ65" s="23">
        <f>EXP(-LN(2)/25)*BQ64+(1-EXP(-LN(2)/25))/(LN(2)/25)*Calculateur!BL65*Calculateur!BN65*VLOOKUP('Données projet'!$B$11,Paramètres!$A$1:$I$89,3,0)*0.475*44/12</f>
        <v>2.9822381392705668</v>
      </c>
      <c r="BR65" s="23">
        <f>EXP(-LN(2)/2)*BR64+(1-EXP(-LN(2)/2))/(LN(2)/2)*BL65*BO65*VLOOKUP('Données projet'!$B$11,Paramètres!$A$1:$I$89,3,0)*0.475*44/12</f>
        <v>4.4997300337633977E-5</v>
      </c>
      <c r="BS65" s="24">
        <f t="shared" si="9"/>
        <v>10.143529403971957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-5.6843418860808015E-14</v>
      </c>
      <c r="BZ65" s="14">
        <f>BY65*VLOOKUP('Données projet'!$B$12,Paramètres!$A$1:$I$89,3,0)*VLOOKUP('Données projet'!$B$12,Paramètres!$A$1:$I$89,5,0)</f>
        <v>-3.3992364478763198E-14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155.11440101086782</v>
      </c>
      <c r="CE65" s="62">
        <f t="shared" si="40"/>
        <v>239.53454701506638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7.1612462674010526</v>
      </c>
      <c r="CL65" s="23">
        <f>EXP(-LN(2)/25)*CL64+(1-EXP(-LN(2)/25))/(LN(2)/25)*Calculateur!CG65*Calculateur!CI65*VLOOKUP('Données projet'!$B$12,Paramètres!$A$1:$I$89,3,0)*0.475*44/12</f>
        <v>2.9822381392705668</v>
      </c>
      <c r="CM65" s="23">
        <f>EXP(-LN(2)/2)*CM64+(1-EXP(-LN(2)/2))/(LN(2)/2)*CG65*CJ65*VLOOKUP('Données projet'!$B$12,Paramètres!$A$1:$I$89,3,0)*0.475*44/12</f>
        <v>4.4997300337633977E-5</v>
      </c>
      <c r="CN65" s="24">
        <f t="shared" si="12"/>
        <v>10.143529403971957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-1.1368683772161603E-13</v>
      </c>
      <c r="CU65" s="18">
        <f>CT65*VLOOKUP('Données projet'!$B$13,Paramètres!$A$1:$I$89,3,0)*VLOOKUP('Données projet'!$B$13,Paramètres!$A$1:$I$89,5,0)</f>
        <v>-9.2222762759774927E-14</v>
      </c>
      <c r="CV65" s="14" t="e">
        <f t="shared" si="41"/>
        <v>#NUM!</v>
      </c>
      <c r="CW65" s="22" t="e">
        <f t="shared" si="13"/>
        <v>#NUM!</v>
      </c>
      <c r="CX65" s="62" t="e">
        <f t="shared" si="14"/>
        <v>#NUM!</v>
      </c>
      <c r="CY65" s="62">
        <f ca="1">AVERAGE(OFFSET($CX$3,0,0,'Données projet'!$E$13+1,1))-AVERAGE(OFFSET($H$3,0,0,'Données projet'!$E$13+1,1))</f>
        <v>191.03017979797141</v>
      </c>
      <c r="CZ65" s="62">
        <f t="shared" si="42"/>
        <v>222.78252111624278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4.6153846153846132</v>
      </c>
      <c r="DO65" s="13">
        <f>IF('Données projet'!$A$166&gt;35,DO64+DN65-DW64,IF(A65&lt;'Données projet'!$A$166,$DL$205^A65,IF(A65='Données projet'!$A$166,'Données projet'!$B$166,DO64+DN65-DW64)))</f>
        <v>179.74358974358967</v>
      </c>
      <c r="DP65" s="18">
        <f>DO65*VLOOKUP('Données projet'!$B$14,Paramètres!$A$1:$I$89,3,0)*VLOOKUP('Données projet'!$B$14,Paramètres!$A$1:$I$89,5,0)</f>
        <v>171.04399999999993</v>
      </c>
      <c r="DQ65" s="14">
        <f t="shared" si="43"/>
        <v>43.32376147477413</v>
      </c>
      <c r="DR65" s="22">
        <f t="shared" si="16"/>
        <v>373.35718456856483</v>
      </c>
      <c r="DS65" s="62">
        <f t="shared" si="17"/>
        <v>666.69051790189815</v>
      </c>
      <c r="DT65" s="62">
        <f ca="1">AVERAGE(OFFSET($DS$3,0,0,'Données projet'!$E$14+1,1))-AVERAGE(OFFSET($H$3,0,0,'Données projet'!$E$14+1,1))</f>
        <v>260.93525280373063</v>
      </c>
      <c r="DU65" s="62">
        <f t="shared" si="44"/>
        <v>206.83968452163816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1.6750000000000014</v>
      </c>
      <c r="EJ65" s="13">
        <f>IF('Données projet'!$A$192&gt;35,EJ64+EI65-ER64,IF(A65&lt;'Données projet'!$A$192,$EG$205^A65,IF(A65='Données projet'!$A$192,'Données projet'!$B$192,EJ64+EI65-ER64)))</f>
        <v>79.462499999999963</v>
      </c>
      <c r="EK65" s="18">
        <f>EJ65*VLOOKUP('Données projet'!$B$15,Paramètres!$A$1:$I$89,3,0)*VLOOKUP('Données projet'!$B$15,Paramètres!$A$1:$I$89,5,0)</f>
        <v>91.540799999999948</v>
      </c>
      <c r="EL65" s="14">
        <f t="shared" si="45"/>
        <v>24.93646092914312</v>
      </c>
      <c r="EM65" s="22">
        <f t="shared" si="19"/>
        <v>202.86456278492415</v>
      </c>
      <c r="EN65" s="62">
        <f t="shared" si="20"/>
        <v>496.19789611825746</v>
      </c>
      <c r="EO65" s="62">
        <f ca="1">AVERAGE(OFFSET($EN$3,0,0,'Données projet'!$E$15+1,1))-AVERAGE(OFFSET($H$3,0,0,'Données projet'!$E$15+1,1))</f>
        <v>118.01099353898547</v>
      </c>
      <c r="EP65" s="62">
        <f t="shared" si="46"/>
        <v>103.17146760845947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7.2</v>
      </c>
      <c r="FE65" s="13">
        <f>IF('Données projet'!$A$218&gt;35,FE64+FD65-FM64,IF(A65&lt;'Données projet'!$A$218,$FB$205^A65,IF(A65='Données projet'!$A$218,'Données projet'!$B$218,FE64+FD65-FM64)))</f>
        <v>207.39999999999995</v>
      </c>
      <c r="FF65" s="18">
        <f>FE65*VLOOKUP('Données projet'!$B$16,Paramètres!$A$1:$I$89,3,0)*VLOOKUP('Données projet'!$B$16,Paramètres!$A$1:$I$89,5,0)</f>
        <v>207.06815999999995</v>
      </c>
      <c r="FG65" s="14">
        <f t="shared" si="47"/>
        <v>51.294381591685067</v>
      </c>
      <c r="FH65" s="22">
        <f t="shared" si="22"/>
        <v>449.98142660551815</v>
      </c>
      <c r="FI65" s="62">
        <f t="shared" si="23"/>
        <v>743.31475993885147</v>
      </c>
      <c r="FJ65" s="62">
        <f ca="1">AVERAGE(OFFSET($FI$3,0,0,'Données projet'!$E$16+1,1))-AVERAGE(OFFSET($H$3,0,0,'Données projet'!$E$16+1,1))</f>
        <v>343.71044073996887</v>
      </c>
      <c r="FK65" s="62">
        <f t="shared" si="48"/>
        <v>193.51732627292375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194.17007999999996</v>
      </c>
      <c r="P66" s="14">
        <f t="shared" si="33"/>
        <v>48.460730182351035</v>
      </c>
      <c r="Q66" s="22">
        <f t="shared" si="53"/>
        <v>422.5819944009279</v>
      </c>
      <c r="R66" s="62">
        <f t="shared" si="0"/>
        <v>715.91532773426115</v>
      </c>
      <c r="S66" s="62">
        <f ca="1">AVERAGE(OFFSET($R$3,0,0,'Données projet'!$E$9+1,1))-AVERAGE(OFFSET($H$3,0,0,'Données projet'!$E$9+1,1))</f>
        <v>303.73499739059076</v>
      </c>
      <c r="T66" s="62">
        <f t="shared" si="34"/>
        <v>172.32171001882188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4.4000000000000004</v>
      </c>
      <c r="AI66" s="14">
        <f>IF('Données projet'!$A$62&gt;35,AI65+AH66-AQ65,IF(A66&lt;'Données projet'!$A$62,$AF$205^A66,IF(A66='Données projet'!$A$62,'Données projet'!$B$62,AI65+AH66-AQ65)))</f>
        <v>258.19999999999987</v>
      </c>
      <c r="AJ66" s="14">
        <f>AI66*VLOOKUP('Données projet'!$B$10,Paramètres!$A$1:$I$89,3,0)*VLOOKUP('Données projet'!$B$10,Paramètres!$A$1:$I$89,5,0)</f>
        <v>189.31223999999989</v>
      </c>
      <c r="AK66" s="14">
        <f t="shared" si="35"/>
        <v>47.387866803482567</v>
      </c>
      <c r="AL66" s="22">
        <f t="shared" si="4"/>
        <v>412.2526860160653</v>
      </c>
      <c r="AM66" s="62">
        <f t="shared" si="5"/>
        <v>705.58601934939861</v>
      </c>
      <c r="AN66" s="62">
        <f ca="1">AVERAGE(OFFSET($AM$3,0,0,'Données projet'!$E$10+1,1))-AVERAGE(OFFSET($H$3,0,0,'Données projet'!$E$10+1,1))</f>
        <v>215.66498680344858</v>
      </c>
      <c r="AO66" s="62">
        <f t="shared" si="36"/>
        <v>199.86715787211114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-5.6843418860808015E-14</v>
      </c>
      <c r="BE66" s="14">
        <f>BD66*VLOOKUP('Données projet'!$B$11,Paramètres!$A$1:$I$89,3,0)*VLOOKUP('Données projet'!$B$11,Paramètres!$A$1:$I$89,5,0)</f>
        <v>-3.3992364478763198E-14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155.11440101086782</v>
      </c>
      <c r="BJ66" s="62">
        <f t="shared" si="38"/>
        <v>239.53454701506638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7.0208185960262437</v>
      </c>
      <c r="BQ66" s="23">
        <f>EXP(-LN(2)/25)*BQ65+(1-EXP(-LN(2)/25))/(LN(2)/25)*Calculateur!BL66*Calculateur!BN66*VLOOKUP('Données projet'!$B$11,Paramètres!$A$1:$I$89,3,0)*0.475*44/12</f>
        <v>2.9006886805231256</v>
      </c>
      <c r="BR66" s="23">
        <f>EXP(-LN(2)/2)*BR65+(1-EXP(-LN(2)/2))/(LN(2)/2)*BL66*BO66*VLOOKUP('Données projet'!$B$11,Paramètres!$A$1:$I$89,3,0)*0.475*44/12</f>
        <v>3.1817896203828709E-5</v>
      </c>
      <c r="BS66" s="24">
        <f t="shared" si="9"/>
        <v>9.9215390944455741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-5.6843418860808015E-14</v>
      </c>
      <c r="BZ66" s="14">
        <f>BY66*VLOOKUP('Données projet'!$B$12,Paramètres!$A$1:$I$89,3,0)*VLOOKUP('Données projet'!$B$12,Paramètres!$A$1:$I$89,5,0)</f>
        <v>-3.3992364478763198E-14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155.11440101086782</v>
      </c>
      <c r="CE66" s="62">
        <f t="shared" si="40"/>
        <v>239.53454701506638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7.0208185960262437</v>
      </c>
      <c r="CL66" s="23">
        <f>EXP(-LN(2)/25)*CL65+(1-EXP(-LN(2)/25))/(LN(2)/25)*Calculateur!CG66*Calculateur!CI66*VLOOKUP('Données projet'!$B$12,Paramètres!$A$1:$I$89,3,0)*0.475*44/12</f>
        <v>2.9006886805231256</v>
      </c>
      <c r="CM66" s="23">
        <f>EXP(-LN(2)/2)*CM65+(1-EXP(-LN(2)/2))/(LN(2)/2)*CG66*CJ66*VLOOKUP('Données projet'!$B$12,Paramètres!$A$1:$I$89,3,0)*0.475*44/12</f>
        <v>3.1817896203828709E-5</v>
      </c>
      <c r="CN66" s="24">
        <f t="shared" si="12"/>
        <v>9.9215390944455741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-1.1368683772161603E-13</v>
      </c>
      <c r="CU66" s="18">
        <f>CT66*VLOOKUP('Données projet'!$B$13,Paramètres!$A$1:$I$89,3,0)*VLOOKUP('Données projet'!$B$13,Paramètres!$A$1:$I$89,5,0)</f>
        <v>-9.2222762759774927E-14</v>
      </c>
      <c r="CV66" s="14" t="e">
        <f t="shared" si="41"/>
        <v>#NUM!</v>
      </c>
      <c r="CW66" s="22" t="e">
        <f t="shared" si="13"/>
        <v>#NUM!</v>
      </c>
      <c r="CX66" s="62" t="e">
        <f t="shared" si="14"/>
        <v>#NUM!</v>
      </c>
      <c r="CY66" s="62">
        <f ca="1">AVERAGE(OFFSET($CX$3,0,0,'Données projet'!$E$13+1,1))-AVERAGE(OFFSET($H$3,0,0,'Données projet'!$E$13+1,1))</f>
        <v>191.03017979797141</v>
      </c>
      <c r="CZ66" s="62">
        <f t="shared" si="42"/>
        <v>222.78252111624278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4.6153846153846132</v>
      </c>
      <c r="DO66" s="13">
        <f>IF('Données projet'!$A$166&gt;35,DO65+DN66-DW65,IF(A66&lt;'Données projet'!$A$166,$DL$205^A66,IF(A66='Données projet'!$A$166,'Données projet'!$B$166,DO65+DN66-DW65)))</f>
        <v>184.35897435897428</v>
      </c>
      <c r="DP66" s="18">
        <f>DO66*VLOOKUP('Données projet'!$B$14,Paramètres!$A$1:$I$89,3,0)*VLOOKUP('Données projet'!$B$14,Paramètres!$A$1:$I$89,5,0)</f>
        <v>175.43599999999992</v>
      </c>
      <c r="DQ66" s="14">
        <f t="shared" si="43"/>
        <v>44.305267494172632</v>
      </c>
      <c r="DR66" s="22">
        <f t="shared" si="16"/>
        <v>382.71604088568387</v>
      </c>
      <c r="DS66" s="62">
        <f t="shared" si="17"/>
        <v>676.04937421901718</v>
      </c>
      <c r="DT66" s="62">
        <f ca="1">AVERAGE(OFFSET($DS$3,0,0,'Données projet'!$E$14+1,1))-AVERAGE(OFFSET($H$3,0,0,'Données projet'!$E$14+1,1))</f>
        <v>260.93525280373063</v>
      </c>
      <c r="DU66" s="62">
        <f t="shared" si="44"/>
        <v>206.83968452163816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1.6750000000000014</v>
      </c>
      <c r="EJ66" s="13">
        <f>IF('Données projet'!$A$192&gt;35,EJ65+EI66-ER65,IF(A66&lt;'Données projet'!$A$192,$EG$205^A66,IF(A66='Données projet'!$A$192,'Données projet'!$B$192,EJ65+EI66-ER65)))</f>
        <v>81.13749999999996</v>
      </c>
      <c r="EK66" s="18">
        <f>EJ66*VLOOKUP('Données projet'!$B$15,Paramètres!$A$1:$I$89,3,0)*VLOOKUP('Données projet'!$B$15,Paramètres!$A$1:$I$89,5,0)</f>
        <v>93.470399999999941</v>
      </c>
      <c r="EL66" s="14">
        <f t="shared" si="45"/>
        <v>25.400349986061777</v>
      </c>
      <c r="EM66" s="22">
        <f t="shared" si="19"/>
        <v>207.03322289239085</v>
      </c>
      <c r="EN66" s="62">
        <f t="shared" si="20"/>
        <v>500.36655622572414</v>
      </c>
      <c r="EO66" s="62">
        <f ca="1">AVERAGE(OFFSET($EN$3,0,0,'Données projet'!$E$15+1,1))-AVERAGE(OFFSET($H$3,0,0,'Données projet'!$E$15+1,1))</f>
        <v>118.01099353898547</v>
      </c>
      <c r="EP66" s="62">
        <f t="shared" si="46"/>
        <v>103.17146760845947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7.2</v>
      </c>
      <c r="FE66" s="13">
        <f>IF('Données projet'!$A$218&gt;35,FE65+FD66-FM65,IF(A66&lt;'Données projet'!$A$218,$FB$205^A66,IF(A66='Données projet'!$A$218,'Données projet'!$B$218,FE65+FD66-FM65)))</f>
        <v>214.59999999999994</v>
      </c>
      <c r="FF66" s="18">
        <f>FE66*VLOOKUP('Données projet'!$B$16,Paramètres!$A$1:$I$89,3,0)*VLOOKUP('Données projet'!$B$16,Paramètres!$A$1:$I$89,5,0)</f>
        <v>214.25663999999995</v>
      </c>
      <c r="FG66" s="14">
        <f t="shared" si="47"/>
        <v>52.864679489007237</v>
      </c>
      <c r="FH66" s="22">
        <f t="shared" si="22"/>
        <v>465.23629811002087</v>
      </c>
      <c r="FI66" s="62">
        <f t="shared" si="23"/>
        <v>758.56963144335418</v>
      </c>
      <c r="FJ66" s="62">
        <f ca="1">AVERAGE(OFFSET($FI$3,0,0,'Données projet'!$E$16+1,1))-AVERAGE(OFFSET($H$3,0,0,'Données projet'!$E$16+1,1))</f>
        <v>343.71044073996887</v>
      </c>
      <c r="FK66" s="62">
        <f t="shared" si="48"/>
        <v>193.51732627292375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200.68463999999992</v>
      </c>
      <c r="P67" s="14">
        <f t="shared" si="33"/>
        <v>49.894600936700193</v>
      </c>
      <c r="Q67" s="22">
        <f t="shared" ref="Q67:Q98" si="54">(O67+P67)*0.475*44/12</f>
        <v>436.42551129808606</v>
      </c>
      <c r="R67" s="62">
        <f t="shared" ref="R67:R130" si="55">Q67+(I67+J67)*44/12</f>
        <v>729.75884463141938</v>
      </c>
      <c r="S67" s="62">
        <f ca="1">AVERAGE(OFFSET($R$3,0,0,'Données projet'!$E$9+1,1))-AVERAGE(OFFSET($H$3,0,0,'Données projet'!$E$9+1,1))</f>
        <v>303.73499739059076</v>
      </c>
      <c r="T67" s="62">
        <f t="shared" si="34"/>
        <v>172.32171001882188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4.4000000000000004</v>
      </c>
      <c r="AI67" s="14">
        <f>IF('Données projet'!$A$62&gt;35,AI66+AH67-AQ66,IF(A67&lt;'Données projet'!$A$62,$AF$205^A67,IF(A67='Données projet'!$A$62,'Données projet'!$B$62,AI66+AH67-AQ66)))</f>
        <v>262.59999999999985</v>
      </c>
      <c r="AJ67" s="14">
        <f>AI67*VLOOKUP('Données projet'!$B$10,Paramètres!$A$1:$I$89,3,0)*VLOOKUP('Données projet'!$B$10,Paramètres!$A$1:$I$89,5,0)</f>
        <v>192.53831999999989</v>
      </c>
      <c r="AK67" s="14">
        <f t="shared" si="35"/>
        <v>48.100705179740942</v>
      </c>
      <c r="AL67" s="22">
        <f t="shared" si="4"/>
        <v>419.11296885471529</v>
      </c>
      <c r="AM67" s="62">
        <f t="shared" si="5"/>
        <v>712.44630218804855</v>
      </c>
      <c r="AN67" s="62">
        <f ca="1">AVERAGE(OFFSET($AM$3,0,0,'Données projet'!$E$10+1,1))-AVERAGE(OFFSET($H$3,0,0,'Données projet'!$E$10+1,1))</f>
        <v>215.66498680344858</v>
      </c>
      <c r="AO67" s="62">
        <f t="shared" si="36"/>
        <v>199.86715787211114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-5.6843418860808015E-14</v>
      </c>
      <c r="BE67" s="14">
        <f>BD67*VLOOKUP('Données projet'!$B$11,Paramètres!$A$1:$I$89,3,0)*VLOOKUP('Données projet'!$B$11,Paramètres!$A$1:$I$89,5,0)</f>
        <v>-3.3992364478763198E-14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155.11440101086782</v>
      </c>
      <c r="BJ67" s="62">
        <f t="shared" si="38"/>
        <v>239.53454701506638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6.8831446256346727</v>
      </c>
      <c r="BQ67" s="23">
        <f>EXP(-LN(2)/25)*BQ66+(1-EXP(-LN(2)/25))/(LN(2)/25)*Calculateur!BL67*Calculateur!BN67*VLOOKUP('Données projet'!$B$11,Paramètres!$A$1:$I$89,3,0)*0.475*44/12</f>
        <v>2.8213691960136327</v>
      </c>
      <c r="BR67" s="23">
        <f>EXP(-LN(2)/2)*BR66+(1-EXP(-LN(2)/2))/(LN(2)/2)*BL67*BO67*VLOOKUP('Données projet'!$B$11,Paramètres!$A$1:$I$89,3,0)*0.475*44/12</f>
        <v>2.2498650168816989E-5</v>
      </c>
      <c r="BS67" s="24">
        <f t="shared" si="9"/>
        <v>9.7045363202984749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-5.6843418860808015E-14</v>
      </c>
      <c r="BZ67" s="14">
        <f>BY67*VLOOKUP('Données projet'!$B$12,Paramètres!$A$1:$I$89,3,0)*VLOOKUP('Données projet'!$B$12,Paramètres!$A$1:$I$89,5,0)</f>
        <v>-3.3992364478763198E-14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155.11440101086782</v>
      </c>
      <c r="CE67" s="62">
        <f t="shared" si="40"/>
        <v>239.53454701506638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6.8831446256346727</v>
      </c>
      <c r="CL67" s="23">
        <f>EXP(-LN(2)/25)*CL66+(1-EXP(-LN(2)/25))/(LN(2)/25)*Calculateur!CG67*Calculateur!CI67*VLOOKUP('Données projet'!$B$12,Paramètres!$A$1:$I$89,3,0)*0.475*44/12</f>
        <v>2.8213691960136327</v>
      </c>
      <c r="CM67" s="23">
        <f>EXP(-LN(2)/2)*CM66+(1-EXP(-LN(2)/2))/(LN(2)/2)*CG67*CJ67*VLOOKUP('Données projet'!$B$12,Paramètres!$A$1:$I$89,3,0)*0.475*44/12</f>
        <v>2.2498650168816989E-5</v>
      </c>
      <c r="CN67" s="24">
        <f t="shared" si="12"/>
        <v>9.7045363202984749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-1.1368683772161603E-13</v>
      </c>
      <c r="CU67" s="18">
        <f>CT67*VLOOKUP('Données projet'!$B$13,Paramètres!$A$1:$I$89,3,0)*VLOOKUP('Données projet'!$B$13,Paramètres!$A$1:$I$89,5,0)</f>
        <v>-9.2222762759774927E-14</v>
      </c>
      <c r="CV67" s="14" t="e">
        <f t="shared" si="41"/>
        <v>#NUM!</v>
      </c>
      <c r="CW67" s="22" t="e">
        <f t="shared" si="13"/>
        <v>#NUM!</v>
      </c>
      <c r="CX67" s="62" t="e">
        <f t="shared" si="14"/>
        <v>#NUM!</v>
      </c>
      <c r="CY67" s="62">
        <f ca="1">AVERAGE(OFFSET($CX$3,0,0,'Données projet'!$E$13+1,1))-AVERAGE(OFFSET($H$3,0,0,'Données projet'!$E$13+1,1))</f>
        <v>191.03017979797141</v>
      </c>
      <c r="CZ67" s="62">
        <f t="shared" si="42"/>
        <v>222.78252111624278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4.6153846153846132</v>
      </c>
      <c r="DO67" s="13">
        <f>IF('Données projet'!$A$166&gt;35,DO66+DN67-DW66,IF(A67&lt;'Données projet'!$A$166,$DL$205^A67,IF(A67='Données projet'!$A$166,'Données projet'!$B$166,DO66+DN67-DW66)))</f>
        <v>188.97435897435889</v>
      </c>
      <c r="DP67" s="18">
        <f>DO67*VLOOKUP('Données projet'!$B$14,Paramètres!$A$1:$I$89,3,0)*VLOOKUP('Données projet'!$B$14,Paramètres!$A$1:$I$89,5,0)</f>
        <v>179.82799999999992</v>
      </c>
      <c r="DQ67" s="14">
        <f t="shared" si="43"/>
        <v>45.283917206572795</v>
      </c>
      <c r="DR67" s="22">
        <f t="shared" si="16"/>
        <v>392.0699224681141</v>
      </c>
      <c r="DS67" s="62">
        <f t="shared" si="17"/>
        <v>685.40325580144736</v>
      </c>
      <c r="DT67" s="62">
        <f ca="1">AVERAGE(OFFSET($DS$3,0,0,'Données projet'!$E$14+1,1))-AVERAGE(OFFSET($H$3,0,0,'Données projet'!$E$14+1,1))</f>
        <v>260.93525280373063</v>
      </c>
      <c r="DU67" s="62">
        <f t="shared" si="44"/>
        <v>206.83968452163816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1.6750000000000014</v>
      </c>
      <c r="EJ67" s="13">
        <f>IF('Données projet'!$A$192&gt;35,EJ66+EI67-ER66,IF(A67&lt;'Données projet'!$A$192,$EG$205^A67,IF(A67='Données projet'!$A$192,'Données projet'!$B$192,EJ66+EI67-ER66)))</f>
        <v>82.812499999999957</v>
      </c>
      <c r="EK67" s="18">
        <f>EJ67*VLOOKUP('Données projet'!$B$15,Paramètres!$A$1:$I$89,3,0)*VLOOKUP('Données projet'!$B$15,Paramètres!$A$1:$I$89,5,0)</f>
        <v>95.399999999999949</v>
      </c>
      <c r="EL67" s="14">
        <f t="shared" si="45"/>
        <v>25.863125591712326</v>
      </c>
      <c r="EM67" s="22">
        <f t="shared" si="19"/>
        <v>211.1999437388989</v>
      </c>
      <c r="EN67" s="62">
        <f t="shared" si="20"/>
        <v>504.53327707223218</v>
      </c>
      <c r="EO67" s="62">
        <f ca="1">AVERAGE(OFFSET($EN$3,0,0,'Données projet'!$E$15+1,1))-AVERAGE(OFFSET($H$3,0,0,'Données projet'!$E$15+1,1))</f>
        <v>118.01099353898547</v>
      </c>
      <c r="EP67" s="62">
        <f t="shared" si="46"/>
        <v>103.17146760845947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7.2</v>
      </c>
      <c r="FE67" s="13">
        <f>IF('Données projet'!$A$218&gt;35,FE66+FD67-FM66,IF(A67&lt;'Données projet'!$A$218,$FB$205^A67,IF(A67='Données projet'!$A$218,'Données projet'!$B$218,FE66+FD67-FM66)))</f>
        <v>221.79999999999993</v>
      </c>
      <c r="FF67" s="18">
        <f>FE67*VLOOKUP('Données projet'!$B$16,Paramètres!$A$1:$I$89,3,0)*VLOOKUP('Données projet'!$B$16,Paramètres!$A$1:$I$89,5,0)</f>
        <v>221.44511999999997</v>
      </c>
      <c r="FG67" s="14">
        <f t="shared" si="47"/>
        <v>54.428855628576329</v>
      </c>
      <c r="FH67" s="22">
        <f t="shared" si="22"/>
        <v>480.48050755310373</v>
      </c>
      <c r="FI67" s="62">
        <f t="shared" si="23"/>
        <v>773.81384088643699</v>
      </c>
      <c r="FJ67" s="62">
        <f ca="1">AVERAGE(OFFSET($FI$3,0,0,'Données projet'!$E$16+1,1))-AVERAGE(OFFSET($H$3,0,0,'Données projet'!$E$16+1,1))</f>
        <v>343.71044073996887</v>
      </c>
      <c r="FK67" s="62">
        <f t="shared" si="48"/>
        <v>193.51732627292375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207.19919999999991</v>
      </c>
      <c r="P68" s="14">
        <f t="shared" si="33"/>
        <v>51.3230629736655</v>
      </c>
      <c r="Q68" s="22">
        <f t="shared" si="54"/>
        <v>450.25960801246725</v>
      </c>
      <c r="R68" s="62">
        <f t="shared" si="55"/>
        <v>743.59294134580057</v>
      </c>
      <c r="S68" s="62">
        <f ca="1">AVERAGE(OFFSET($R$3,0,0,'Données projet'!$E$9+1,1))-AVERAGE(OFFSET($H$3,0,0,'Données projet'!$E$9+1,1))</f>
        <v>303.73499739059076</v>
      </c>
      <c r="T68" s="62">
        <f t="shared" si="34"/>
        <v>172.32171001882188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267</v>
      </c>
      <c r="AG68" s="13">
        <f>VLOOKUP(A68,'Données projet'!$A$61:$I$81,9,0)</f>
        <v>4.4000000000000004</v>
      </c>
      <c r="AH68" s="13">
        <f t="array" ref="AH68">INDEX(AG:AG,MIN(IF(ISNUMBER(AG68:AG264),ROW(AG68:AG264),"")))</f>
        <v>4.4000000000000004</v>
      </c>
      <c r="AI68" s="14">
        <f>IF('Données projet'!$A$62&gt;35,AI67+AH68-AQ67,IF(A68&lt;'Données projet'!$A$62,$AF$205^A68,IF(A68='Données projet'!$A$62,'Données projet'!$B$62,AI67+AH68-AQ67)))</f>
        <v>266.99999999999983</v>
      </c>
      <c r="AJ68" s="14">
        <f>AI68*VLOOKUP('Données projet'!$B$10,Paramètres!$A$1:$I$89,3,0)*VLOOKUP('Données projet'!$B$10,Paramètres!$A$1:$I$89,5,0)</f>
        <v>195.76439999999985</v>
      </c>
      <c r="AK68" s="14">
        <f t="shared" si="35"/>
        <v>48.812154563023455</v>
      </c>
      <c r="AL68" s="22">
        <f t="shared" ref="AL68:AL131" si="58">(AJ68+AK68)*0.475*44/12</f>
        <v>425.9708325305989</v>
      </c>
      <c r="AM68" s="62">
        <f t="shared" ref="AM68:AM131" si="59">AL68+(AD68+AE68)*44/12</f>
        <v>719.30416586393221</v>
      </c>
      <c r="AN68" s="62">
        <f ca="1">AVERAGE(OFFSET($AM$3,0,0,'Données projet'!$E$10+1,1))-AVERAGE(OFFSET($H$3,0,0,'Données projet'!$E$10+1,1))</f>
        <v>215.66498680344858</v>
      </c>
      <c r="AO68" s="62">
        <f t="shared" si="36"/>
        <v>199.86715787211114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23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-5.6843418860808015E-14</v>
      </c>
      <c r="BE68" s="14">
        <f>BD68*VLOOKUP('Données projet'!$B$11,Paramètres!$A$1:$I$89,3,0)*VLOOKUP('Données projet'!$B$11,Paramètres!$A$1:$I$89,5,0)</f>
        <v>-3.3992364478763198E-14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155.11440101086782</v>
      </c>
      <c r="BJ68" s="62">
        <f t="shared" si="38"/>
        <v>239.53454701506638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6.7481703578296504</v>
      </c>
      <c r="BQ68" s="23">
        <f>EXP(-LN(2)/25)*BQ67+(1-EXP(-LN(2)/25))/(LN(2)/25)*Calculateur!BL68*Calculateur!BN68*VLOOKUP('Données projet'!$B$11,Paramètres!$A$1:$I$89,3,0)*0.475*44/12</f>
        <v>2.7442187069792823</v>
      </c>
      <c r="BR68" s="23">
        <f>EXP(-LN(2)/2)*BR67+(1-EXP(-LN(2)/2))/(LN(2)/2)*BL68*BO68*VLOOKUP('Données projet'!$B$11,Paramètres!$A$1:$I$89,3,0)*0.475*44/12</f>
        <v>1.5908948101914354E-5</v>
      </c>
      <c r="BS68" s="24">
        <f t="shared" ref="BS68:BS131" si="63">SUM(BP68:BR68)</f>
        <v>9.4924049737570346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-5.6843418860808015E-14</v>
      </c>
      <c r="BZ68" s="14">
        <f>BY68*VLOOKUP('Données projet'!$B$12,Paramètres!$A$1:$I$89,3,0)*VLOOKUP('Données projet'!$B$12,Paramètres!$A$1:$I$89,5,0)</f>
        <v>-3.3992364478763198E-14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155.11440101086782</v>
      </c>
      <c r="CE68" s="62">
        <f t="shared" si="40"/>
        <v>239.53454701506638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6.7481703578296504</v>
      </c>
      <c r="CL68" s="23">
        <f>EXP(-LN(2)/25)*CL67+(1-EXP(-LN(2)/25))/(LN(2)/25)*Calculateur!CG68*Calculateur!CI68*VLOOKUP('Données projet'!$B$12,Paramètres!$A$1:$I$89,3,0)*0.475*44/12</f>
        <v>2.7442187069792823</v>
      </c>
      <c r="CM68" s="23">
        <f>EXP(-LN(2)/2)*CM67+(1-EXP(-LN(2)/2))/(LN(2)/2)*CG68*CJ68*VLOOKUP('Données projet'!$B$12,Paramètres!$A$1:$I$89,3,0)*0.475*44/12</f>
        <v>1.5908948101914354E-5</v>
      </c>
      <c r="CN68" s="24">
        <f t="shared" ref="CN68:CN131" si="66">SUM(CK68:CM68)</f>
        <v>9.4924049737570346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-1.1368683772161603E-13</v>
      </c>
      <c r="CU68" s="18">
        <f>CT68*VLOOKUP('Données projet'!$B$13,Paramètres!$A$1:$I$89,3,0)*VLOOKUP('Données projet'!$B$13,Paramètres!$A$1:$I$89,5,0)</f>
        <v>-9.2222762759774927E-14</v>
      </c>
      <c r="CV68" s="14" t="e">
        <f t="shared" si="41"/>
        <v>#NUM!</v>
      </c>
      <c r="CW68" s="22" t="e">
        <f t="shared" ref="CW68:CW131" si="67">(CU68+CV68)*0.475*44/12</f>
        <v>#NUM!</v>
      </c>
      <c r="CX68" s="62" t="e">
        <f t="shared" ref="CX68:CX131" si="68">CW68+(CO68+CP68)*44/12</f>
        <v>#NUM!</v>
      </c>
      <c r="CY68" s="62">
        <f ca="1">AVERAGE(OFFSET($CX$3,0,0,'Données projet'!$E$13+1,1))-AVERAGE(OFFSET($H$3,0,0,'Données projet'!$E$13+1,1))</f>
        <v>191.03017979797141</v>
      </c>
      <c r="CZ68" s="62">
        <f t="shared" si="42"/>
        <v>222.78252111624278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193.58974358974359</v>
      </c>
      <c r="DM68" s="13">
        <f>VLOOKUP(A68,'Données projet'!$A$165:$I$185,9,0)</f>
        <v>4.6153846153846132</v>
      </c>
      <c r="DN68" s="13">
        <f t="array" ref="DN68">INDEX(DM:DM,MIN(IF(ISNUMBER(DM68:DM264),ROW(DM68:DM264),"")))</f>
        <v>4.6153846153846132</v>
      </c>
      <c r="DO68" s="13">
        <f>IF('Données projet'!$A$166&gt;35,DO67+DN68-DW67,IF(A68&lt;'Données projet'!$A$166,$DL$205^A68,IF(A68='Données projet'!$A$166,'Données projet'!$B$166,DO67+DN68-DW67)))</f>
        <v>193.58974358974351</v>
      </c>
      <c r="DP68" s="18">
        <f>DO68*VLOOKUP('Données projet'!$B$14,Paramètres!$A$1:$I$89,3,0)*VLOOKUP('Données projet'!$B$14,Paramètres!$A$1:$I$89,5,0)</f>
        <v>184.21999999999991</v>
      </c>
      <c r="DQ68" s="14">
        <f t="shared" si="43"/>
        <v>46.259788397695985</v>
      </c>
      <c r="DR68" s="22">
        <f t="shared" ref="DR68:DR131" si="70">(DP68+DQ68)*0.475*44/12</f>
        <v>401.4189647926537</v>
      </c>
      <c r="DS68" s="62">
        <f t="shared" ref="DS68:DS131" si="71">DR68+(DJ68+DK68)*44/12</f>
        <v>694.75229812598695</v>
      </c>
      <c r="DT68" s="62">
        <f ca="1">AVERAGE(OFFSET($DS$3,0,0,'Données projet'!$E$14+1,1))-AVERAGE(OFFSET($H$3,0,0,'Données projet'!$E$14+1,1))</f>
        <v>260.93525280373063</v>
      </c>
      <c r="DU68" s="62">
        <f t="shared" si="44"/>
        <v>206.83968452163816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1.6750000000000014</v>
      </c>
      <c r="EJ68" s="13">
        <f>IF('Données projet'!$A$192&gt;35,EJ67+EI68-ER67,IF(A68&lt;'Données projet'!$A$192,$EG$205^A68,IF(A68='Données projet'!$A$192,'Données projet'!$B$192,EJ67+EI68-ER67)))</f>
        <v>84.487499999999955</v>
      </c>
      <c r="EK68" s="18">
        <f>EJ68*VLOOKUP('Données projet'!$B$15,Paramètres!$A$1:$I$89,3,0)*VLOOKUP('Données projet'!$B$15,Paramètres!$A$1:$I$89,5,0)</f>
        <v>97.329599999999928</v>
      </c>
      <c r="EL68" s="14">
        <f t="shared" si="45"/>
        <v>26.324812862564265</v>
      </c>
      <c r="EM68" s="22">
        <f t="shared" ref="EM68:EM131" si="73">(EK68+EL68)*0.475*44/12</f>
        <v>215.36476906896596</v>
      </c>
      <c r="EN68" s="62">
        <f t="shared" ref="EN68:EN131" si="74">EM68+(EE68+EF68)*44/12</f>
        <v>508.69810240229924</v>
      </c>
      <c r="EO68" s="62">
        <f ca="1">AVERAGE(OFFSET($EN$3,0,0,'Données projet'!$E$15+1,1))-AVERAGE(OFFSET($H$3,0,0,'Données projet'!$E$15+1,1))</f>
        <v>118.01099353898547</v>
      </c>
      <c r="EP68" s="62">
        <f t="shared" si="46"/>
        <v>103.17146760845947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229</v>
      </c>
      <c r="FC68" s="13">
        <f>VLOOKUP(A68,'Données projet'!$A$217:$I$237,9,0)</f>
        <v>7.2</v>
      </c>
      <c r="FD68" s="13">
        <f t="array" ref="FD68">INDEX(FC:FC,MIN(IF(ISNUMBER(FC68:FC264),ROW(FC68:FC264),"")))</f>
        <v>7.2</v>
      </c>
      <c r="FE68" s="13">
        <f>IF('Données projet'!$A$218&gt;35,FE67+FD68-FM67,IF(A68&lt;'Données projet'!$A$218,$FB$205^A68,IF(A68='Données projet'!$A$218,'Données projet'!$B$218,FE67+FD68-FM67)))</f>
        <v>228.99999999999991</v>
      </c>
      <c r="FF68" s="18">
        <f>FE68*VLOOKUP('Données projet'!$B$16,Paramètres!$A$1:$I$89,3,0)*VLOOKUP('Données projet'!$B$16,Paramètres!$A$1:$I$89,5,0)</f>
        <v>228.63359999999992</v>
      </c>
      <c r="FG68" s="14">
        <f t="shared" si="47"/>
        <v>55.987131524590119</v>
      </c>
      <c r="FH68" s="22">
        <f t="shared" ref="FH68:FH131" si="76">(FF68+FG68)*0.475*44/12</f>
        <v>495.71444073866093</v>
      </c>
      <c r="FI68" s="62">
        <f t="shared" ref="FI68:FI131" si="77">FH68+(EZ68+FA68)*44/12</f>
        <v>789.04777407199424</v>
      </c>
      <c r="FJ68" s="62">
        <f ca="1">AVERAGE(OFFSET($FI$3,0,0,'Données projet'!$E$16+1,1))-AVERAGE(OFFSET($H$3,0,0,'Données projet'!$E$16+1,1))</f>
        <v>343.71044073996887</v>
      </c>
      <c r="FK68" s="62">
        <f t="shared" si="48"/>
        <v>193.51732627292375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235.79999999999993</v>
      </c>
      <c r="O69" s="14">
        <f>N69*VLOOKUP('Données projet'!$B$9,Paramètres!$A$1:$I$89,3,0)*VLOOKUP('Données projet'!$B$9,Paramètres!$A$1:$I$89,5,0)</f>
        <v>213.35183999999992</v>
      </c>
      <c r="P69" s="14">
        <f t="shared" ref="P69:P132" si="87">EXP(-1.0587+0.8836*LN(O69)+0.284)</f>
        <v>52.667370665417188</v>
      </c>
      <c r="Q69" s="22">
        <f t="shared" si="54"/>
        <v>463.31679190893482</v>
      </c>
      <c r="R69" s="62">
        <f t="shared" si="55"/>
        <v>756.65012524226813</v>
      </c>
      <c r="S69" s="62">
        <f ca="1">AVERAGE(OFFSET($R$3,0,0,'Données projet'!$E$9+1,1))-AVERAGE(OFFSET($H$3,0,0,'Données projet'!$E$9+1,1))</f>
        <v>303.73499739059076</v>
      </c>
      <c r="T69" s="62">
        <f t="shared" ref="T69:T132" si="88">$T$3</f>
        <v>172.32171001882188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3.8</v>
      </c>
      <c r="AI69" s="14">
        <f>IF('Données projet'!$A$62&gt;35,AI68+AH69-AQ68,IF(A69&lt;'Données projet'!$A$62,$AF$205^A69,IF(A69='Données projet'!$A$62,'Données projet'!$B$62,AI68+AH69-AQ68)))</f>
        <v>247.79999999999984</v>
      </c>
      <c r="AJ69" s="14">
        <f>AI69*VLOOKUP('Données projet'!$B$10,Paramètres!$A$1:$I$89,3,0)*VLOOKUP('Données projet'!$B$10,Paramètres!$A$1:$I$89,5,0)</f>
        <v>181.68695999999989</v>
      </c>
      <c r="AK69" s="14">
        <f t="shared" ref="AK69:AK132" si="89">EXP(-1.0587+0.8836*LN(AJ69)+0.284)</f>
        <v>45.697299679537338</v>
      </c>
      <c r="AL69" s="22">
        <f t="shared" si="58"/>
        <v>396.02758560852732</v>
      </c>
      <c r="AM69" s="62">
        <f t="shared" si="59"/>
        <v>689.36091894186063</v>
      </c>
      <c r="AN69" s="62">
        <f ca="1">AVERAGE(OFFSET($AM$3,0,0,'Données projet'!$E$10+1,1))-AVERAGE(OFFSET($H$3,0,0,'Données projet'!$E$10+1,1))</f>
        <v>215.66498680344858</v>
      </c>
      <c r="AO69" s="62">
        <f t="shared" ref="AO69:AO132" si="90">$AO$3</f>
        <v>199.86715787211114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-5.6843418860808015E-14</v>
      </c>
      <c r="BE69" s="14">
        <f>BD69*VLOOKUP('Données projet'!$B$11,Paramètres!$A$1:$I$89,3,0)*VLOOKUP('Données projet'!$B$11,Paramètres!$A$1:$I$89,5,0)</f>
        <v>-3.3992364478763198E-14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155.11440101086782</v>
      </c>
      <c r="BJ69" s="62">
        <f t="shared" ref="BJ69:BJ132" si="92">$BJ$3</f>
        <v>239.53454701506638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6.6158428530901103</v>
      </c>
      <c r="BQ69" s="23">
        <f>EXP(-LN(2)/25)*BQ68+(1-EXP(-LN(2)/25))/(LN(2)/25)*Calculateur!BL69*Calculateur!BN69*VLOOKUP('Données projet'!$B$11,Paramètres!$A$1:$I$89,3,0)*0.475*44/12</f>
        <v>2.6691779021247442</v>
      </c>
      <c r="BR69" s="23">
        <f>EXP(-LN(2)/2)*BR68+(1-EXP(-LN(2)/2))/(LN(2)/2)*BL69*BO69*VLOOKUP('Données projet'!$B$11,Paramètres!$A$1:$I$89,3,0)*0.475*44/12</f>
        <v>1.1249325084408494E-5</v>
      </c>
      <c r="BS69" s="24">
        <f t="shared" si="63"/>
        <v>9.2850320045399393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-5.6843418860808015E-14</v>
      </c>
      <c r="BZ69" s="14">
        <f>BY69*VLOOKUP('Données projet'!$B$12,Paramètres!$A$1:$I$89,3,0)*VLOOKUP('Données projet'!$B$12,Paramètres!$A$1:$I$89,5,0)</f>
        <v>-3.3992364478763198E-14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155.11440101086782</v>
      </c>
      <c r="CE69" s="62">
        <f t="shared" ref="CE69:CE132" si="94">$CE$3</f>
        <v>239.53454701506638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6.6158428530901103</v>
      </c>
      <c r="CL69" s="23">
        <f>EXP(-LN(2)/25)*CL68+(1-EXP(-LN(2)/25))/(LN(2)/25)*Calculateur!CG69*Calculateur!CI69*VLOOKUP('Données projet'!$B$12,Paramètres!$A$1:$I$89,3,0)*0.475*44/12</f>
        <v>2.6691779021247442</v>
      </c>
      <c r="CM69" s="23">
        <f>EXP(-LN(2)/2)*CM68+(1-EXP(-LN(2)/2))/(LN(2)/2)*CG69*CJ69*VLOOKUP('Données projet'!$B$12,Paramètres!$A$1:$I$89,3,0)*0.475*44/12</f>
        <v>1.1249325084408494E-5</v>
      </c>
      <c r="CN69" s="24">
        <f t="shared" si="66"/>
        <v>9.2850320045399393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-1.1368683772161603E-13</v>
      </c>
      <c r="CU69" s="18">
        <f>CT69*VLOOKUP('Données projet'!$B$13,Paramètres!$A$1:$I$89,3,0)*VLOOKUP('Données projet'!$B$13,Paramètres!$A$1:$I$89,5,0)</f>
        <v>-9.2222762759774927E-14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2" t="e">
        <f t="shared" si="68"/>
        <v>#NUM!</v>
      </c>
      <c r="CY69" s="62">
        <f ca="1">AVERAGE(OFFSET($CX$3,0,0,'Données projet'!$E$13+1,1))-AVERAGE(OFFSET($H$3,0,0,'Données projet'!$E$13+1,1))</f>
        <v>191.03017979797141</v>
      </c>
      <c r="CZ69" s="62">
        <f t="shared" ref="CZ69:CZ132" si="96">$CZ$3</f>
        <v>222.78252111624278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4.3589743589743595</v>
      </c>
      <c r="DO69" s="13">
        <f>IF('Données projet'!$A$166&gt;35,DO68+DN69-DW68,IF(A69&lt;'Données projet'!$A$166,$DL$205^A69,IF(A69='Données projet'!$A$166,'Données projet'!$B$166,DO68+DN69-DW68)))</f>
        <v>197.94871794871787</v>
      </c>
      <c r="DP69" s="18">
        <f>DO69*VLOOKUP('Données projet'!$B$14,Paramètres!$A$1:$I$89,3,0)*VLOOKUP('Données projet'!$B$14,Paramètres!$A$1:$I$89,5,0)</f>
        <v>188.36799999999994</v>
      </c>
      <c r="DQ69" s="14">
        <f t="shared" ref="DQ69:DQ132" si="97">EXP(-1.0587+0.8836*LN(DP69)+0.284)</f>
        <v>47.17895987093894</v>
      </c>
      <c r="DR69" s="22">
        <f t="shared" si="70"/>
        <v>410.2442884418852</v>
      </c>
      <c r="DS69" s="62">
        <f t="shared" si="71"/>
        <v>703.57762177521852</v>
      </c>
      <c r="DT69" s="62">
        <f ca="1">AVERAGE(OFFSET($DS$3,0,0,'Données projet'!$E$14+1,1))-AVERAGE(OFFSET($H$3,0,0,'Données projet'!$E$14+1,1))</f>
        <v>260.93525280373063</v>
      </c>
      <c r="DU69" s="62">
        <f t="shared" ref="DU69:DU132" si="98">$DU$3</f>
        <v>206.83968452163816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1.6750000000000014</v>
      </c>
      <c r="EJ69" s="13">
        <f>IF('Données projet'!$A$192&gt;35,EJ68+EI69-ER68,IF(A69&lt;'Données projet'!$A$192,$EG$205^A69,IF(A69='Données projet'!$A$192,'Données projet'!$B$192,EJ68+EI69-ER68)))</f>
        <v>86.162499999999952</v>
      </c>
      <c r="EK69" s="18">
        <f>EJ69*VLOOKUP('Données projet'!$B$15,Paramètres!$A$1:$I$89,3,0)*VLOOKUP('Données projet'!$B$15,Paramètres!$A$1:$I$89,5,0)</f>
        <v>99.259199999999936</v>
      </c>
      <c r="EL69" s="14">
        <f t="shared" ref="EL69:EL132" si="99">EXP(-1.0587+0.8836*LN(EK69)+0.284)</f>
        <v>26.785435862245482</v>
      </c>
      <c r="EM69" s="22">
        <f t="shared" si="73"/>
        <v>219.52774079341077</v>
      </c>
      <c r="EN69" s="62">
        <f t="shared" si="74"/>
        <v>512.86107412674414</v>
      </c>
      <c r="EO69" s="62">
        <f ca="1">AVERAGE(OFFSET($EN$3,0,0,'Données projet'!$E$15+1,1))-AVERAGE(OFFSET($H$3,0,0,'Données projet'!$E$15+1,1))</f>
        <v>118.01099353898547</v>
      </c>
      <c r="EP69" s="62">
        <f t="shared" ref="EP69:EP132" si="100">$EP$3</f>
        <v>103.17146760845947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6.8</v>
      </c>
      <c r="FE69" s="13">
        <f>IF('Données projet'!$A$218&gt;35,FE68+FD69-FM68,IF(A69&lt;'Données projet'!$A$218,$FB$205^A69,IF(A69='Données projet'!$A$218,'Données projet'!$B$218,FE68+FD69-FM68)))</f>
        <v>235.79999999999993</v>
      </c>
      <c r="FF69" s="18">
        <f>FE69*VLOOKUP('Données projet'!$B$16,Paramètres!$A$1:$I$89,3,0)*VLOOKUP('Données projet'!$B$16,Paramètres!$A$1:$I$89,5,0)</f>
        <v>235.42271999999994</v>
      </c>
      <c r="FG69" s="14">
        <f t="shared" ref="FG69:FG132" si="101">EXP(-1.0587+0.8836*LN(FF69)+0.284)</f>
        <v>57.453605409561405</v>
      </c>
      <c r="FH69" s="22">
        <f t="shared" si="76"/>
        <v>510.09293342165273</v>
      </c>
      <c r="FI69" s="62">
        <f t="shared" si="77"/>
        <v>803.42626675498605</v>
      </c>
      <c r="FJ69" s="62">
        <f ca="1">AVERAGE(OFFSET($FI$3,0,0,'Données projet'!$E$16+1,1))-AVERAGE(OFFSET($H$3,0,0,'Données projet'!$E$16+1,1))</f>
        <v>343.71044073996887</v>
      </c>
      <c r="FK69" s="62">
        <f t="shared" ref="FK69:FK132" si="102">$FK$3</f>
        <v>193.51732627292375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242.59999999999994</v>
      </c>
      <c r="O70" s="14">
        <f>N70*VLOOKUP('Données projet'!$B$9,Paramètres!$A$1:$I$89,3,0)*VLOOKUP('Données projet'!$B$9,Paramètres!$A$1:$I$89,5,0)</f>
        <v>219.50447999999992</v>
      </c>
      <c r="P70" s="14">
        <f t="shared" si="87"/>
        <v>54.007172767040167</v>
      </c>
      <c r="Q70" s="22">
        <f t="shared" si="54"/>
        <v>476.36612856926143</v>
      </c>
      <c r="R70" s="62">
        <f t="shared" si="55"/>
        <v>769.69946190259475</v>
      </c>
      <c r="S70" s="62">
        <f ca="1">AVERAGE(OFFSET($R$3,0,0,'Données projet'!$E$9+1,1))-AVERAGE(OFFSET($H$3,0,0,'Données projet'!$E$9+1,1))</f>
        <v>303.73499739059076</v>
      </c>
      <c r="T70" s="62">
        <f t="shared" si="88"/>
        <v>172.32171001882188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3.8</v>
      </c>
      <c r="AI70" s="14">
        <f>IF('Données projet'!$A$62&gt;35,AI69+AH70-AQ69,IF(A70&lt;'Données projet'!$A$62,$AF$205^A70,IF(A70='Données projet'!$A$62,'Données projet'!$B$62,AI69+AH70-AQ69)))</f>
        <v>251.59999999999985</v>
      </c>
      <c r="AJ70" s="14">
        <f>AI70*VLOOKUP('Données projet'!$B$10,Paramètres!$A$1:$I$89,3,0)*VLOOKUP('Données projet'!$B$10,Paramètres!$A$1:$I$89,5,0)</f>
        <v>184.47311999999988</v>
      </c>
      <c r="AK70" s="14">
        <f t="shared" si="89"/>
        <v>46.315946745200115</v>
      </c>
      <c r="AL70" s="22">
        <f t="shared" si="58"/>
        <v>401.95762458122334</v>
      </c>
      <c r="AM70" s="62">
        <f t="shared" si="59"/>
        <v>695.29095791455666</v>
      </c>
      <c r="AN70" s="62">
        <f ca="1">AVERAGE(OFFSET($AM$3,0,0,'Données projet'!$E$10+1,1))-AVERAGE(OFFSET($H$3,0,0,'Données projet'!$E$10+1,1))</f>
        <v>215.66498680344858</v>
      </c>
      <c r="AO70" s="62">
        <f t="shared" si="90"/>
        <v>199.86715787211114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-5.6843418860808015E-14</v>
      </c>
      <c r="BE70" s="14">
        <f>BD70*VLOOKUP('Données projet'!$B$11,Paramètres!$A$1:$I$89,3,0)*VLOOKUP('Données projet'!$B$11,Paramètres!$A$1:$I$89,5,0)</f>
        <v>-3.3992364478763198E-14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155.11440101086782</v>
      </c>
      <c r="BJ70" s="62">
        <f t="shared" si="92"/>
        <v>239.53454701506638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6.4861102100067045</v>
      </c>
      <c r="BQ70" s="23">
        <f>EXP(-LN(2)/25)*BQ69+(1-EXP(-LN(2)/25))/(LN(2)/25)*Calculateur!BL70*Calculateur!BN70*VLOOKUP('Données projet'!$B$11,Paramètres!$A$1:$I$89,3,0)*0.475*44/12</f>
        <v>2.5961890920251776</v>
      </c>
      <c r="BR70" s="23">
        <f>EXP(-LN(2)/2)*BR69+(1-EXP(-LN(2)/2))/(LN(2)/2)*BL70*BO70*VLOOKUP('Données projet'!$B$11,Paramètres!$A$1:$I$89,3,0)*0.475*44/12</f>
        <v>7.9544740509571772E-6</v>
      </c>
      <c r="BS70" s="24">
        <f t="shared" si="63"/>
        <v>9.0823072565059313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-5.6843418860808015E-14</v>
      </c>
      <c r="BZ70" s="14">
        <f>BY70*VLOOKUP('Données projet'!$B$12,Paramètres!$A$1:$I$89,3,0)*VLOOKUP('Données projet'!$B$12,Paramètres!$A$1:$I$89,5,0)</f>
        <v>-3.3992364478763198E-14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155.11440101086782</v>
      </c>
      <c r="CE70" s="62">
        <f t="shared" si="94"/>
        <v>239.53454701506638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6.4861102100067045</v>
      </c>
      <c r="CL70" s="23">
        <f>EXP(-LN(2)/25)*CL69+(1-EXP(-LN(2)/25))/(LN(2)/25)*Calculateur!CG70*Calculateur!CI70*VLOOKUP('Données projet'!$B$12,Paramètres!$A$1:$I$89,3,0)*0.475*44/12</f>
        <v>2.5961890920251776</v>
      </c>
      <c r="CM70" s="23">
        <f>EXP(-LN(2)/2)*CM69+(1-EXP(-LN(2)/2))/(LN(2)/2)*CG70*CJ70*VLOOKUP('Données projet'!$B$12,Paramètres!$A$1:$I$89,3,0)*0.475*44/12</f>
        <v>7.9544740509571772E-6</v>
      </c>
      <c r="CN70" s="24">
        <f t="shared" si="66"/>
        <v>9.0823072565059313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-1.1368683772161603E-13</v>
      </c>
      <c r="CU70" s="18">
        <f>CT70*VLOOKUP('Données projet'!$B$13,Paramètres!$A$1:$I$89,3,0)*VLOOKUP('Données projet'!$B$13,Paramètres!$A$1:$I$89,5,0)</f>
        <v>-9.2222762759774927E-14</v>
      </c>
      <c r="CV70" s="14" t="e">
        <f t="shared" si="95"/>
        <v>#NUM!</v>
      </c>
      <c r="CW70" s="22" t="e">
        <f t="shared" si="67"/>
        <v>#NUM!</v>
      </c>
      <c r="CX70" s="62" t="e">
        <f t="shared" si="68"/>
        <v>#NUM!</v>
      </c>
      <c r="CY70" s="62">
        <f ca="1">AVERAGE(OFFSET($CX$3,0,0,'Données projet'!$E$13+1,1))-AVERAGE(OFFSET($H$3,0,0,'Données projet'!$E$13+1,1))</f>
        <v>191.03017979797141</v>
      </c>
      <c r="CZ70" s="62">
        <f t="shared" si="96"/>
        <v>222.78252111624278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4.3589743589743595</v>
      </c>
      <c r="DO70" s="13">
        <f>IF('Données projet'!$A$166&gt;35,DO69+DN70-DW69,IF(A70&lt;'Données projet'!$A$166,$DL$205^A70,IF(A70='Données projet'!$A$166,'Données projet'!$B$166,DO69+DN70-DW69)))</f>
        <v>202.30769230769224</v>
      </c>
      <c r="DP70" s="18">
        <f>DO70*VLOOKUP('Données projet'!$B$14,Paramètres!$A$1:$I$89,3,0)*VLOOKUP('Données projet'!$B$14,Paramètres!$A$1:$I$89,5,0)</f>
        <v>192.51599999999993</v>
      </c>
      <c r="DQ70" s="14">
        <f t="shared" si="97"/>
        <v>48.095778128339838</v>
      </c>
      <c r="DR70" s="22">
        <f t="shared" si="70"/>
        <v>419.0655135735251</v>
      </c>
      <c r="DS70" s="62">
        <f t="shared" si="71"/>
        <v>712.39884690685835</v>
      </c>
      <c r="DT70" s="62">
        <f ca="1">AVERAGE(OFFSET($DS$3,0,0,'Données projet'!$E$14+1,1))-AVERAGE(OFFSET($H$3,0,0,'Données projet'!$E$14+1,1))</f>
        <v>260.93525280373063</v>
      </c>
      <c r="DU70" s="62">
        <f t="shared" si="98"/>
        <v>206.83968452163816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1.6750000000000014</v>
      </c>
      <c r="EJ70" s="13">
        <f>IF('Données projet'!$A$192&gt;35,EJ69+EI70-ER69,IF(A70&lt;'Données projet'!$A$192,$EG$205^A70,IF(A70='Données projet'!$A$192,'Données projet'!$B$192,EJ69+EI70-ER69)))</f>
        <v>87.837499999999949</v>
      </c>
      <c r="EK70" s="18">
        <f>EJ70*VLOOKUP('Données projet'!$B$15,Paramètres!$A$1:$I$89,3,0)*VLOOKUP('Données projet'!$B$15,Paramètres!$A$1:$I$89,5,0)</f>
        <v>101.18879999999993</v>
      </c>
      <c r="EL70" s="14">
        <f t="shared" si="99"/>
        <v>27.245017665270392</v>
      </c>
      <c r="EM70" s="22">
        <f t="shared" si="73"/>
        <v>223.68889910034579</v>
      </c>
      <c r="EN70" s="62">
        <f t="shared" si="74"/>
        <v>517.02223243367916</v>
      </c>
      <c r="EO70" s="62">
        <f ca="1">AVERAGE(OFFSET($EN$3,0,0,'Données projet'!$E$15+1,1))-AVERAGE(OFFSET($H$3,0,0,'Données projet'!$E$15+1,1))</f>
        <v>118.01099353898547</v>
      </c>
      <c r="EP70" s="62">
        <f t="shared" si="100"/>
        <v>103.17146760845947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6.8</v>
      </c>
      <c r="FE70" s="13">
        <f>IF('Données projet'!$A$218&gt;35,FE69+FD70-FM69,IF(A70&lt;'Données projet'!$A$218,$FB$205^A70,IF(A70='Données projet'!$A$218,'Données projet'!$B$218,FE69+FD70-FM69)))</f>
        <v>242.59999999999994</v>
      </c>
      <c r="FF70" s="18">
        <f>FE70*VLOOKUP('Données projet'!$B$16,Paramètres!$A$1:$I$89,3,0)*VLOOKUP('Données projet'!$B$16,Paramètres!$A$1:$I$89,5,0)</f>
        <v>242.21183999999994</v>
      </c>
      <c r="FG70" s="14">
        <f t="shared" si="101"/>
        <v>58.915164251421196</v>
      </c>
      <c r="FH70" s="22">
        <f t="shared" si="76"/>
        <v>524.46286573789178</v>
      </c>
      <c r="FI70" s="62">
        <f t="shared" si="77"/>
        <v>817.79619907122515</v>
      </c>
      <c r="FJ70" s="62">
        <f ca="1">AVERAGE(OFFSET($FI$3,0,0,'Données projet'!$E$16+1,1))-AVERAGE(OFFSET($H$3,0,0,'Données projet'!$E$16+1,1))</f>
        <v>343.71044073996887</v>
      </c>
      <c r="FK70" s="62">
        <f t="shared" si="102"/>
        <v>193.51732627292375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249.39999999999995</v>
      </c>
      <c r="O71" s="14">
        <f>N71*VLOOKUP('Données projet'!$B$9,Paramètres!$A$1:$I$89,3,0)*VLOOKUP('Données projet'!$B$9,Paramètres!$A$1:$I$89,5,0)</f>
        <v>225.65711999999994</v>
      </c>
      <c r="P71" s="14">
        <f t="shared" si="87"/>
        <v>55.342610076561513</v>
      </c>
      <c r="Q71" s="22">
        <f t="shared" si="54"/>
        <v>489.40786321667775</v>
      </c>
      <c r="R71" s="62">
        <f t="shared" si="55"/>
        <v>782.74119655001107</v>
      </c>
      <c r="S71" s="62">
        <f ca="1">AVERAGE(OFFSET($R$3,0,0,'Données projet'!$E$9+1,1))-AVERAGE(OFFSET($H$3,0,0,'Données projet'!$E$9+1,1))</f>
        <v>303.73499739059076</v>
      </c>
      <c r="T71" s="62">
        <f t="shared" si="88"/>
        <v>172.32171001882188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3.8</v>
      </c>
      <c r="AI71" s="14">
        <f>IF('Données projet'!$A$62&gt;35,AI70+AH71-AQ70,IF(A71&lt;'Données projet'!$A$62,$AF$205^A71,IF(A71='Données projet'!$A$62,'Données projet'!$B$62,AI70+AH71-AQ70)))</f>
        <v>255.39999999999986</v>
      </c>
      <c r="AJ71" s="14">
        <f>AI71*VLOOKUP('Données projet'!$B$10,Paramètres!$A$1:$I$89,3,0)*VLOOKUP('Données projet'!$B$10,Paramètres!$A$1:$I$89,5,0)</f>
        <v>187.2592799999999</v>
      </c>
      <c r="AK71" s="14">
        <f t="shared" si="89"/>
        <v>46.933507123390406</v>
      </c>
      <c r="AL71" s="22">
        <f t="shared" si="58"/>
        <v>407.88577090657145</v>
      </c>
      <c r="AM71" s="62">
        <f t="shared" si="59"/>
        <v>701.21910423990471</v>
      </c>
      <c r="AN71" s="62">
        <f ca="1">AVERAGE(OFFSET($AM$3,0,0,'Données projet'!$E$10+1,1))-AVERAGE(OFFSET($H$3,0,0,'Données projet'!$E$10+1,1))</f>
        <v>215.66498680344858</v>
      </c>
      <c r="AO71" s="62">
        <f t="shared" si="90"/>
        <v>199.86715787211114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-5.6843418860808015E-14</v>
      </c>
      <c r="BE71" s="14">
        <f>BD71*VLOOKUP('Données projet'!$B$11,Paramètres!$A$1:$I$89,3,0)*VLOOKUP('Données projet'!$B$11,Paramètres!$A$1:$I$89,5,0)</f>
        <v>-3.3992364478763198E-14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155.11440101086782</v>
      </c>
      <c r="BJ71" s="62">
        <f t="shared" si="92"/>
        <v>239.53454701506638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6.3589215449250647</v>
      </c>
      <c r="BQ71" s="23">
        <f>EXP(-LN(2)/25)*BQ70+(1-EXP(-LN(2)/25))/(LN(2)/25)*Calculateur!BL71*Calculateur!BN71*VLOOKUP('Données projet'!$B$11,Paramètres!$A$1:$I$89,3,0)*0.475*44/12</f>
        <v>2.5251961647760983</v>
      </c>
      <c r="BR71" s="23">
        <f>EXP(-LN(2)/2)*BR70+(1-EXP(-LN(2)/2))/(LN(2)/2)*BL71*BO71*VLOOKUP('Données projet'!$B$11,Paramètres!$A$1:$I$89,3,0)*0.475*44/12</f>
        <v>5.6246625422042472E-6</v>
      </c>
      <c r="BS71" s="24">
        <f t="shared" si="63"/>
        <v>8.8841233343637054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-5.6843418860808015E-14</v>
      </c>
      <c r="BZ71" s="14">
        <f>BY71*VLOOKUP('Données projet'!$B$12,Paramètres!$A$1:$I$89,3,0)*VLOOKUP('Données projet'!$B$12,Paramètres!$A$1:$I$89,5,0)</f>
        <v>-3.3992364478763198E-14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155.11440101086782</v>
      </c>
      <c r="CE71" s="62">
        <f t="shared" si="94"/>
        <v>239.53454701506638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6.3589215449250647</v>
      </c>
      <c r="CL71" s="23">
        <f>EXP(-LN(2)/25)*CL70+(1-EXP(-LN(2)/25))/(LN(2)/25)*Calculateur!CG71*Calculateur!CI71*VLOOKUP('Données projet'!$B$12,Paramètres!$A$1:$I$89,3,0)*0.475*44/12</f>
        <v>2.5251961647760983</v>
      </c>
      <c r="CM71" s="23">
        <f>EXP(-LN(2)/2)*CM70+(1-EXP(-LN(2)/2))/(LN(2)/2)*CG71*CJ71*VLOOKUP('Données projet'!$B$12,Paramètres!$A$1:$I$89,3,0)*0.475*44/12</f>
        <v>5.6246625422042472E-6</v>
      </c>
      <c r="CN71" s="24">
        <f t="shared" si="66"/>
        <v>8.8841233343637054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-1.1368683772161603E-13</v>
      </c>
      <c r="CU71" s="18">
        <f>CT71*VLOOKUP('Données projet'!$B$13,Paramètres!$A$1:$I$89,3,0)*VLOOKUP('Données projet'!$B$13,Paramètres!$A$1:$I$89,5,0)</f>
        <v>-9.2222762759774927E-14</v>
      </c>
      <c r="CV71" s="14" t="e">
        <f t="shared" si="95"/>
        <v>#NUM!</v>
      </c>
      <c r="CW71" s="22" t="e">
        <f t="shared" si="67"/>
        <v>#NUM!</v>
      </c>
      <c r="CX71" s="62" t="e">
        <f t="shared" si="68"/>
        <v>#NUM!</v>
      </c>
      <c r="CY71" s="62">
        <f ca="1">AVERAGE(OFFSET($CX$3,0,0,'Données projet'!$E$13+1,1))-AVERAGE(OFFSET($H$3,0,0,'Données projet'!$E$13+1,1))</f>
        <v>191.03017979797141</v>
      </c>
      <c r="CZ71" s="62">
        <f t="shared" si="96"/>
        <v>222.78252111624278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4.3589743589743595</v>
      </c>
      <c r="DO71" s="13">
        <f>IF('Données projet'!$A$166&gt;35,DO70+DN71-DW70,IF(A71&lt;'Données projet'!$A$166,$DL$205^A71,IF(A71='Données projet'!$A$166,'Données projet'!$B$166,DO70+DN71-DW70)))</f>
        <v>206.6666666666666</v>
      </c>
      <c r="DP71" s="18">
        <f>DO71*VLOOKUP('Données projet'!$B$14,Paramètres!$A$1:$I$89,3,0)*VLOOKUP('Données projet'!$B$14,Paramètres!$A$1:$I$89,5,0)</f>
        <v>196.66399999999993</v>
      </c>
      <c r="DQ71" s="14">
        <f t="shared" si="97"/>
        <v>49.010299712644574</v>
      </c>
      <c r="DR71" s="22">
        <f t="shared" si="70"/>
        <v>427.8827386661892</v>
      </c>
      <c r="DS71" s="62">
        <f t="shared" si="71"/>
        <v>721.21607199952246</v>
      </c>
      <c r="DT71" s="62">
        <f ca="1">AVERAGE(OFFSET($DS$3,0,0,'Données projet'!$E$14+1,1))-AVERAGE(OFFSET($H$3,0,0,'Données projet'!$E$14+1,1))</f>
        <v>260.93525280373063</v>
      </c>
      <c r="DU71" s="62">
        <f t="shared" si="98"/>
        <v>206.83968452163816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1.6750000000000014</v>
      </c>
      <c r="EJ71" s="13">
        <f>IF('Données projet'!$A$192&gt;35,EJ70+EI71-ER70,IF(A71&lt;'Données projet'!$A$192,$EG$205^A71,IF(A71='Données projet'!$A$192,'Données projet'!$B$192,EJ70+EI71-ER70)))</f>
        <v>89.512499999999946</v>
      </c>
      <c r="EK71" s="18">
        <f>EJ71*VLOOKUP('Données projet'!$B$15,Paramètres!$A$1:$I$89,3,0)*VLOOKUP('Données projet'!$B$15,Paramètres!$A$1:$I$89,5,0)</f>
        <v>103.11839999999994</v>
      </c>
      <c r="EL71" s="14">
        <f t="shared" si="99"/>
        <v>27.703580415769611</v>
      </c>
      <c r="EM71" s="22">
        <f t="shared" si="73"/>
        <v>227.8482825574653</v>
      </c>
      <c r="EN71" s="62">
        <f t="shared" si="74"/>
        <v>521.18161589079864</v>
      </c>
      <c r="EO71" s="62">
        <f ca="1">AVERAGE(OFFSET($EN$3,0,0,'Données projet'!$E$15+1,1))-AVERAGE(OFFSET($H$3,0,0,'Données projet'!$E$15+1,1))</f>
        <v>118.01099353898547</v>
      </c>
      <c r="EP71" s="62">
        <f t="shared" si="100"/>
        <v>103.17146760845947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6.8</v>
      </c>
      <c r="FE71" s="13">
        <f>IF('Données projet'!$A$218&gt;35,FE70+FD71-FM70,IF(A71&lt;'Données projet'!$A$218,$FB$205^A71,IF(A71='Données projet'!$A$218,'Données projet'!$B$218,FE70+FD71-FM70)))</f>
        <v>249.39999999999995</v>
      </c>
      <c r="FF71" s="18">
        <f>FE71*VLOOKUP('Données projet'!$B$16,Paramètres!$A$1:$I$89,3,0)*VLOOKUP('Données projet'!$B$16,Paramètres!$A$1:$I$89,5,0)</f>
        <v>249.00095999999994</v>
      </c>
      <c r="FG71" s="14">
        <f t="shared" si="101"/>
        <v>60.37196164345098</v>
      </c>
      <c r="FH71" s="22">
        <f t="shared" si="76"/>
        <v>538.82450519567703</v>
      </c>
      <c r="FI71" s="62">
        <f t="shared" si="77"/>
        <v>832.15783852901041</v>
      </c>
      <c r="FJ71" s="62">
        <f ca="1">AVERAGE(OFFSET($FI$3,0,0,'Données projet'!$E$16+1,1))-AVERAGE(OFFSET($H$3,0,0,'Données projet'!$E$16+1,1))</f>
        <v>343.71044073996887</v>
      </c>
      <c r="FK71" s="62">
        <f t="shared" si="102"/>
        <v>193.51732627292375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256.19999999999993</v>
      </c>
      <c r="O72" s="14">
        <f>N72*VLOOKUP('Données projet'!$B$9,Paramètres!$A$1:$I$89,3,0)*VLOOKUP('Données projet'!$B$9,Paramètres!$A$1:$I$89,5,0)</f>
        <v>231.80975999999993</v>
      </c>
      <c r="P72" s="14">
        <f t="shared" si="87"/>
        <v>56.673815277159328</v>
      </c>
      <c r="Q72" s="22">
        <f t="shared" si="54"/>
        <v>502.44222694105241</v>
      </c>
      <c r="R72" s="62">
        <f t="shared" si="55"/>
        <v>795.77556027438573</v>
      </c>
      <c r="S72" s="62">
        <f ca="1">AVERAGE(OFFSET($R$3,0,0,'Données projet'!$E$9+1,1))-AVERAGE(OFFSET($H$3,0,0,'Données projet'!$E$9+1,1))</f>
        <v>303.73499739059076</v>
      </c>
      <c r="T72" s="62">
        <f t="shared" si="88"/>
        <v>172.32171001882188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3.8</v>
      </c>
      <c r="AI72" s="14">
        <f>IF('Données projet'!$A$62&gt;35,AI71+AH72-AQ71,IF(A72&lt;'Données projet'!$A$62,$AF$205^A72,IF(A72='Données projet'!$A$62,'Données projet'!$B$62,AI71+AH72-AQ71)))</f>
        <v>259.19999999999987</v>
      </c>
      <c r="AJ72" s="14">
        <f>AI72*VLOOKUP('Données projet'!$B$10,Paramètres!$A$1:$I$89,3,0)*VLOOKUP('Données projet'!$B$10,Paramètres!$A$1:$I$89,5,0)</f>
        <v>190.04543999999993</v>
      </c>
      <c r="AK72" s="14">
        <f t="shared" si="89"/>
        <v>47.549998850241536</v>
      </c>
      <c r="AL72" s="22">
        <f t="shared" si="58"/>
        <v>413.81205599750388</v>
      </c>
      <c r="AM72" s="62">
        <f t="shared" si="59"/>
        <v>707.14538933083713</v>
      </c>
      <c r="AN72" s="62">
        <f ca="1">AVERAGE(OFFSET($AM$3,0,0,'Données projet'!$E$10+1,1))-AVERAGE(OFFSET($H$3,0,0,'Données projet'!$E$10+1,1))</f>
        <v>215.66498680344858</v>
      </c>
      <c r="AO72" s="62">
        <f t="shared" si="90"/>
        <v>199.86715787211114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-5.6843418860808015E-14</v>
      </c>
      <c r="BE72" s="14">
        <f>BD72*VLOOKUP('Données projet'!$B$11,Paramètres!$A$1:$I$89,3,0)*VLOOKUP('Données projet'!$B$11,Paramètres!$A$1:$I$89,5,0)</f>
        <v>-3.3992364478763198E-14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155.11440101086782</v>
      </c>
      <c r="BJ72" s="62">
        <f t="shared" si="92"/>
        <v>239.53454701506638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6.2342269719882504</v>
      </c>
      <c r="BQ72" s="23">
        <f>EXP(-LN(2)/25)*BQ71+(1-EXP(-LN(2)/25))/(LN(2)/25)*Calculateur!BL72*Calculateur!BN72*VLOOKUP('Données projet'!$B$11,Paramètres!$A$1:$I$89,3,0)*0.475*44/12</f>
        <v>2.4561445428560011</v>
      </c>
      <c r="BR72" s="23">
        <f>EXP(-LN(2)/2)*BR71+(1-EXP(-LN(2)/2))/(LN(2)/2)*BL72*BO72*VLOOKUP('Données projet'!$B$11,Paramètres!$A$1:$I$89,3,0)*0.475*44/12</f>
        <v>3.9772370254785886E-6</v>
      </c>
      <c r="BS72" s="24">
        <f t="shared" si="63"/>
        <v>8.6903754920812766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-5.6843418860808015E-14</v>
      </c>
      <c r="BZ72" s="14">
        <f>BY72*VLOOKUP('Données projet'!$B$12,Paramètres!$A$1:$I$89,3,0)*VLOOKUP('Données projet'!$B$12,Paramètres!$A$1:$I$89,5,0)</f>
        <v>-3.3992364478763198E-14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155.11440101086782</v>
      </c>
      <c r="CE72" s="62">
        <f t="shared" si="94"/>
        <v>239.53454701506638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6.2342269719882504</v>
      </c>
      <c r="CL72" s="23">
        <f>EXP(-LN(2)/25)*CL71+(1-EXP(-LN(2)/25))/(LN(2)/25)*Calculateur!CG72*Calculateur!CI72*VLOOKUP('Données projet'!$B$12,Paramètres!$A$1:$I$89,3,0)*0.475*44/12</f>
        <v>2.4561445428560011</v>
      </c>
      <c r="CM72" s="23">
        <f>EXP(-LN(2)/2)*CM71+(1-EXP(-LN(2)/2))/(LN(2)/2)*CG72*CJ72*VLOOKUP('Données projet'!$B$12,Paramètres!$A$1:$I$89,3,0)*0.475*44/12</f>
        <v>3.9772370254785886E-6</v>
      </c>
      <c r="CN72" s="24">
        <f t="shared" si="66"/>
        <v>8.6903754920812766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-1.1368683772161603E-13</v>
      </c>
      <c r="CU72" s="18">
        <f>CT72*VLOOKUP('Données projet'!$B$13,Paramètres!$A$1:$I$89,3,0)*VLOOKUP('Données projet'!$B$13,Paramètres!$A$1:$I$89,5,0)</f>
        <v>-9.2222762759774927E-14</v>
      </c>
      <c r="CV72" s="14" t="e">
        <f t="shared" si="95"/>
        <v>#NUM!</v>
      </c>
      <c r="CW72" s="22" t="e">
        <f t="shared" si="67"/>
        <v>#NUM!</v>
      </c>
      <c r="CX72" s="62" t="e">
        <f t="shared" si="68"/>
        <v>#NUM!</v>
      </c>
      <c r="CY72" s="62">
        <f ca="1">AVERAGE(OFFSET($CX$3,0,0,'Données projet'!$E$13+1,1))-AVERAGE(OFFSET($H$3,0,0,'Données projet'!$E$13+1,1))</f>
        <v>191.03017979797141</v>
      </c>
      <c r="CZ72" s="62">
        <f t="shared" si="96"/>
        <v>222.78252111624278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4.3589743589743595</v>
      </c>
      <c r="DO72" s="13">
        <f>IF('Données projet'!$A$166&gt;35,DO71+DN72-DW71,IF(A72&lt;'Données projet'!$A$166,$DL$205^A72,IF(A72='Données projet'!$A$166,'Données projet'!$B$166,DO71+DN72-DW71)))</f>
        <v>211.02564102564097</v>
      </c>
      <c r="DP72" s="18">
        <f>DO72*VLOOKUP('Données projet'!$B$14,Paramètres!$A$1:$I$89,3,0)*VLOOKUP('Données projet'!$B$14,Paramètres!$A$1:$I$89,5,0)</f>
        <v>200.81199999999993</v>
      </c>
      <c r="DQ72" s="14">
        <f t="shared" si="97"/>
        <v>49.922578645138138</v>
      </c>
      <c r="DR72" s="22">
        <f t="shared" si="70"/>
        <v>436.69605780694877</v>
      </c>
      <c r="DS72" s="62">
        <f t="shared" si="71"/>
        <v>730.02939114028209</v>
      </c>
      <c r="DT72" s="62">
        <f ca="1">AVERAGE(OFFSET($DS$3,0,0,'Données projet'!$E$14+1,1))-AVERAGE(OFFSET($H$3,0,0,'Données projet'!$E$14+1,1))</f>
        <v>260.93525280373063</v>
      </c>
      <c r="DU72" s="62">
        <f t="shared" si="98"/>
        <v>206.83968452163816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1.6750000000000014</v>
      </c>
      <c r="EJ72" s="13">
        <f>IF('Données projet'!$A$192&gt;35,EJ71+EI72-ER71,IF(A72&lt;'Données projet'!$A$192,$EG$205^A72,IF(A72='Données projet'!$A$192,'Données projet'!$B$192,EJ71+EI72-ER71)))</f>
        <v>91.187499999999943</v>
      </c>
      <c r="EK72" s="18">
        <f>EJ72*VLOOKUP('Données projet'!$B$15,Paramètres!$A$1:$I$89,3,0)*VLOOKUP('Données projet'!$B$15,Paramètres!$A$1:$I$89,5,0)</f>
        <v>105.04799999999992</v>
      </c>
      <c r="EL72" s="14">
        <f t="shared" si="99"/>
        <v>28.161145381699356</v>
      </c>
      <c r="EM72" s="22">
        <f t="shared" si="73"/>
        <v>232.00592820645954</v>
      </c>
      <c r="EN72" s="62">
        <f t="shared" si="74"/>
        <v>525.33926153979291</v>
      </c>
      <c r="EO72" s="62">
        <f ca="1">AVERAGE(OFFSET($EN$3,0,0,'Données projet'!$E$15+1,1))-AVERAGE(OFFSET($H$3,0,0,'Données projet'!$E$15+1,1))</f>
        <v>118.01099353898547</v>
      </c>
      <c r="EP72" s="62">
        <f t="shared" si="100"/>
        <v>103.17146760845947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6.8</v>
      </c>
      <c r="FE72" s="13">
        <f>IF('Données projet'!$A$218&gt;35,FE71+FD72-FM71,IF(A72&lt;'Données projet'!$A$218,$FB$205^A72,IF(A72='Données projet'!$A$218,'Données projet'!$B$218,FE71+FD72-FM71)))</f>
        <v>256.19999999999993</v>
      </c>
      <c r="FF72" s="18">
        <f>FE72*VLOOKUP('Données projet'!$B$16,Paramètres!$A$1:$I$89,3,0)*VLOOKUP('Données projet'!$B$16,Paramètres!$A$1:$I$89,5,0)</f>
        <v>255.79007999999996</v>
      </c>
      <c r="FG72" s="14">
        <f t="shared" si="101"/>
        <v>61.824142326633051</v>
      </c>
      <c r="FH72" s="22">
        <f t="shared" si="76"/>
        <v>553.17810388555245</v>
      </c>
      <c r="FI72" s="62">
        <f t="shared" si="77"/>
        <v>846.5114372188857</v>
      </c>
      <c r="FJ72" s="62">
        <f ca="1">AVERAGE(OFFSET($FI$3,0,0,'Données projet'!$E$16+1,1))-AVERAGE(OFFSET($H$3,0,0,'Données projet'!$E$16+1,1))</f>
        <v>343.71044073996887</v>
      </c>
      <c r="FK72" s="62">
        <f t="shared" si="102"/>
        <v>193.51732627292375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263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262.99999999999994</v>
      </c>
      <c r="O73" s="14">
        <f>N73*VLOOKUP('Données projet'!$B$9,Paramètres!$A$1:$I$89,3,0)*VLOOKUP('Données projet'!$B$9,Paramètres!$A$1:$I$89,5,0)</f>
        <v>237.96239999999995</v>
      </c>
      <c r="P73" s="14">
        <f t="shared" si="87"/>
        <v>58.00091360766335</v>
      </c>
      <c r="Q73" s="22">
        <f t="shared" si="54"/>
        <v>515.4694378666801</v>
      </c>
      <c r="R73" s="62">
        <f t="shared" si="55"/>
        <v>808.80277120001347</v>
      </c>
      <c r="S73" s="62">
        <f ca="1">AVERAGE(OFFSET($R$3,0,0,'Données projet'!$E$9+1,1))-AVERAGE(OFFSET($H$3,0,0,'Données projet'!$E$9+1,1))</f>
        <v>303.73499739059076</v>
      </c>
      <c r="T73" s="62">
        <f t="shared" si="88"/>
        <v>172.32171001882188</v>
      </c>
      <c r="U73" s="16">
        <f>IF(ISNA(VLOOKUP(A73,'Données projet'!$A$35:$I$55,3,0)),0,VLOOKUP(A73,'Données projet'!$A$35:$I$55,3,0))</f>
        <v>5</v>
      </c>
      <c r="V73" s="16">
        <f>IF(ISNA(VLOOKUP(A73,'Données projet'!$A$35:$I$55,4,0)),0,VLOOKUP(A73,'Données projet'!$A$35:$I$55,4,0))</f>
        <v>42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3.8</v>
      </c>
      <c r="AH73" s="13">
        <f t="array" ref="AH73">INDEX(AG:AG,MIN(IF(ISNUMBER(AG73:AG269),ROW(AG73:AG269),"")))</f>
        <v>3.8</v>
      </c>
      <c r="AI73" s="14">
        <f>IF('Données projet'!$A$62&gt;35,AI72+AH73-AQ72,IF(A73&lt;'Données projet'!$A$62,$AF$205^A73,IF(A73='Données projet'!$A$62,'Données projet'!$B$62,AI72+AH73-AQ72)))</f>
        <v>262.99999999999989</v>
      </c>
      <c r="AJ73" s="14">
        <f>AI73*VLOOKUP('Données projet'!$B$10,Paramètres!$A$1:$I$89,3,0)*VLOOKUP('Données projet'!$B$10,Paramètres!$A$1:$I$89,5,0)</f>
        <v>192.83159999999992</v>
      </c>
      <c r="AK73" s="14">
        <f t="shared" si="89"/>
        <v>48.165439402688776</v>
      </c>
      <c r="AL73" s="22">
        <f t="shared" si="58"/>
        <v>419.73651029301612</v>
      </c>
      <c r="AM73" s="62">
        <f t="shared" si="59"/>
        <v>713.06984362634944</v>
      </c>
      <c r="AN73" s="62">
        <f ca="1">AVERAGE(OFFSET($AM$3,0,0,'Données projet'!$E$10+1,1))-AVERAGE(OFFSET($H$3,0,0,'Données projet'!$E$10+1,1))</f>
        <v>215.66498680344858</v>
      </c>
      <c r="AO73" s="62">
        <f t="shared" si="90"/>
        <v>199.86715787211114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-5.6843418860808015E-14</v>
      </c>
      <c r="BE73" s="14">
        <f>BD73*VLOOKUP('Données projet'!$B$11,Paramètres!$A$1:$I$89,3,0)*VLOOKUP('Données projet'!$B$11,Paramètres!$A$1:$I$89,5,0)</f>
        <v>-3.3992364478763198E-14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155.11440101086782</v>
      </c>
      <c r="BJ73" s="62">
        <f t="shared" si="92"/>
        <v>239.53454701506638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6.1119775835705479</v>
      </c>
      <c r="BQ73" s="23">
        <f>EXP(-LN(2)/25)*BQ72+(1-EXP(-LN(2)/25))/(LN(2)/25)*Calculateur!BL73*Calculateur!BN73*VLOOKUP('Données projet'!$B$11,Paramètres!$A$1:$I$89,3,0)*0.475*44/12</f>
        <v>2.3889811411685757</v>
      </c>
      <c r="BR73" s="23">
        <f>EXP(-LN(2)/2)*BR72+(1-EXP(-LN(2)/2))/(LN(2)/2)*BL73*BO73*VLOOKUP('Données projet'!$B$11,Paramètres!$A$1:$I$89,3,0)*0.475*44/12</f>
        <v>2.8123312711021236E-6</v>
      </c>
      <c r="BS73" s="24">
        <f t="shared" si="63"/>
        <v>8.5009615370703955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-5.6843418860808015E-14</v>
      </c>
      <c r="BZ73" s="14">
        <f>BY73*VLOOKUP('Données projet'!$B$12,Paramètres!$A$1:$I$89,3,0)*VLOOKUP('Données projet'!$B$12,Paramètres!$A$1:$I$89,5,0)</f>
        <v>-3.3992364478763198E-14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155.11440101086782</v>
      </c>
      <c r="CE73" s="62">
        <f t="shared" si="94"/>
        <v>239.53454701506638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6.1119775835705479</v>
      </c>
      <c r="CL73" s="23">
        <f>EXP(-LN(2)/25)*CL72+(1-EXP(-LN(2)/25))/(LN(2)/25)*Calculateur!CG73*Calculateur!CI73*VLOOKUP('Données projet'!$B$12,Paramètres!$A$1:$I$89,3,0)*0.475*44/12</f>
        <v>2.3889811411685757</v>
      </c>
      <c r="CM73" s="23">
        <f>EXP(-LN(2)/2)*CM72+(1-EXP(-LN(2)/2))/(LN(2)/2)*CG73*CJ73*VLOOKUP('Données projet'!$B$12,Paramètres!$A$1:$I$89,3,0)*0.475*44/12</f>
        <v>2.8123312711021236E-6</v>
      </c>
      <c r="CN73" s="24">
        <f t="shared" si="66"/>
        <v>8.5009615370703955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-1.1368683772161603E-13</v>
      </c>
      <c r="CU73" s="18">
        <f>CT73*VLOOKUP('Données projet'!$B$13,Paramètres!$A$1:$I$89,3,0)*VLOOKUP('Données projet'!$B$13,Paramètres!$A$1:$I$89,5,0)</f>
        <v>-9.2222762759774927E-14</v>
      </c>
      <c r="CV73" s="14" t="e">
        <f t="shared" si="95"/>
        <v>#NUM!</v>
      </c>
      <c r="CW73" s="22" t="e">
        <f t="shared" si="67"/>
        <v>#NUM!</v>
      </c>
      <c r="CX73" s="62" t="e">
        <f t="shared" si="68"/>
        <v>#NUM!</v>
      </c>
      <c r="CY73" s="62">
        <f ca="1">AVERAGE(OFFSET($CX$3,0,0,'Données projet'!$E$13+1,1))-AVERAGE(OFFSET($H$3,0,0,'Données projet'!$E$13+1,1))</f>
        <v>191.03017979797141</v>
      </c>
      <c r="CZ73" s="62">
        <f t="shared" si="96"/>
        <v>222.78252111624278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215.38461538461539</v>
      </c>
      <c r="DM73" s="13">
        <f>VLOOKUP(A73,'Données projet'!$A$165:$I$185,9,0)</f>
        <v>4.3589743589743595</v>
      </c>
      <c r="DN73" s="13">
        <f t="array" ref="DN73">INDEX(DM:DM,MIN(IF(ISNUMBER(DM73:DM269),ROW(DM73:DM269),"")))</f>
        <v>4.3589743589743595</v>
      </c>
      <c r="DO73" s="13">
        <f>IF('Données projet'!$A$166&gt;35,DO72+DN73-DW72,IF(A73&lt;'Données projet'!$A$166,$DL$205^A73,IF(A73='Données projet'!$A$166,'Données projet'!$B$166,DO72+DN73-DW72)))</f>
        <v>215.38461538461533</v>
      </c>
      <c r="DP73" s="18">
        <f>DO73*VLOOKUP('Données projet'!$B$14,Paramètres!$A$1:$I$89,3,0)*VLOOKUP('Données projet'!$B$14,Paramètres!$A$1:$I$89,5,0)</f>
        <v>204.95999999999998</v>
      </c>
      <c r="DQ73" s="14">
        <f t="shared" si="97"/>
        <v>50.832666587809335</v>
      </c>
      <c r="DR73" s="22">
        <f t="shared" si="70"/>
        <v>445.50556097376784</v>
      </c>
      <c r="DS73" s="62">
        <f t="shared" si="71"/>
        <v>738.8388943071011</v>
      </c>
      <c r="DT73" s="62">
        <f ca="1">AVERAGE(OFFSET($DS$3,0,0,'Données projet'!$E$14+1,1))-AVERAGE(OFFSET($H$3,0,0,'Données projet'!$E$14+1,1))</f>
        <v>260.93525280373063</v>
      </c>
      <c r="DU73" s="62">
        <f t="shared" si="98"/>
        <v>206.83968452163816</v>
      </c>
      <c r="DV73" s="16">
        <f>IF(ISNA(VLOOKUP(A73,'Données projet'!$A$165:$I$185,3,0)),0,VLOOKUP(A73,'Données projet'!$A$165:$I$185,3,0))</f>
        <v>6</v>
      </c>
      <c r="DW73" s="16">
        <f>IF(ISNA(VLOOKUP(A73,'Données projet'!$A$165:$I$185,4,0)),0,VLOOKUP(A73,'Données projet'!$A$165:$I$185,4,0))</f>
        <v>28.846153846153847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92.862500000000011</v>
      </c>
      <c r="EH73" s="13">
        <f>VLOOKUP(A73,'Données projet'!$A$191:$I$211,9,0)</f>
        <v>1.6750000000000014</v>
      </c>
      <c r="EI73" s="13">
        <f t="array" ref="EI73">INDEX(EH:EH,MIN(IF(ISNUMBER(EH73:EH269),ROW(EH73:EH269),"")))</f>
        <v>1.6750000000000014</v>
      </c>
      <c r="EJ73" s="13">
        <f>IF('Données projet'!$A$192&gt;35,EJ72+EI73-ER72,IF(A73&lt;'Données projet'!$A$192,$EG$205^A73,IF(A73='Données projet'!$A$192,'Données projet'!$B$192,EJ72+EI73-ER72)))</f>
        <v>92.86249999999994</v>
      </c>
      <c r="EK73" s="18">
        <f>EJ73*VLOOKUP('Données projet'!$B$15,Paramètres!$A$1:$I$89,3,0)*VLOOKUP('Données projet'!$B$15,Paramètres!$A$1:$I$89,5,0)</f>
        <v>106.97759999999992</v>
      </c>
      <c r="EL73" s="14">
        <f t="shared" si="99"/>
        <v>28.617733004955216</v>
      </c>
      <c r="EM73" s="22">
        <f t="shared" si="73"/>
        <v>236.16187165029689</v>
      </c>
      <c r="EN73" s="62">
        <f t="shared" si="74"/>
        <v>529.49520498363017</v>
      </c>
      <c r="EO73" s="62">
        <f ca="1">AVERAGE(OFFSET($EN$3,0,0,'Données projet'!$E$15+1,1))-AVERAGE(OFFSET($H$3,0,0,'Données projet'!$E$15+1,1))</f>
        <v>118.01099353898547</v>
      </c>
      <c r="EP73" s="62">
        <f t="shared" si="100"/>
        <v>103.17146760845947</v>
      </c>
      <c r="EQ73" s="16">
        <f>IF(ISNA(VLOOKUP(A73,'Données projet'!$A$191:$I$211,3,0)),0,VLOOKUP(A73,'Données projet'!$A$191:$I$211,3,0))</f>
        <v>5</v>
      </c>
      <c r="ER73" s="16">
        <f>IF(ISNA(VLOOKUP(A73,'Données projet'!$A$191:$I$211,4,0)),0,VLOOKUP(A73,'Données projet'!$A$191:$I$211,4,0))</f>
        <v>8.5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263</v>
      </c>
      <c r="FC73" s="13">
        <f>VLOOKUP(A73,'Données projet'!$A$217:$I$237,9,0)</f>
        <v>6.8</v>
      </c>
      <c r="FD73" s="13">
        <f t="array" ref="FD73">INDEX(FC:FC,MIN(IF(ISNUMBER(FC73:FC269),ROW(FC73:FC269),"")))</f>
        <v>6.8</v>
      </c>
      <c r="FE73" s="13">
        <f>IF('Données projet'!$A$218&gt;35,FE72+FD73-FM72,IF(A73&lt;'Données projet'!$A$218,$FB$205^A73,IF(A73='Données projet'!$A$218,'Données projet'!$B$218,FE72+FD73-FM72)))</f>
        <v>262.99999999999994</v>
      </c>
      <c r="FF73" s="18">
        <f>FE73*VLOOKUP('Données projet'!$B$16,Paramètres!$A$1:$I$89,3,0)*VLOOKUP('Données projet'!$B$16,Paramètres!$A$1:$I$89,5,0)</f>
        <v>262.57919999999996</v>
      </c>
      <c r="FG73" s="14">
        <f t="shared" si="101"/>
        <v>63.271842921083426</v>
      </c>
      <c r="FH73" s="22">
        <f t="shared" si="76"/>
        <v>567.52389975422022</v>
      </c>
      <c r="FI73" s="62">
        <f t="shared" si="77"/>
        <v>860.8572330875536</v>
      </c>
      <c r="FJ73" s="62">
        <f ca="1">AVERAGE(OFFSET($FI$3,0,0,'Données projet'!$E$16+1,1))-AVERAGE(OFFSET($H$3,0,0,'Données projet'!$E$16+1,1))</f>
        <v>343.71044073996887</v>
      </c>
      <c r="FK73" s="62">
        <f t="shared" si="102"/>
        <v>193.51732627292375</v>
      </c>
      <c r="FL73" s="16">
        <f>IF(ISNA(VLOOKUP(A73,'Données projet'!$A$217:$I$237,3,0)),0,VLOOKUP(A73,'Données projet'!$A$217:$I$237,3,0))</f>
        <v>5</v>
      </c>
      <c r="FM73" s="16">
        <f>IF(ISNA(VLOOKUP(A73,'Données projet'!$A$217:$I$237,4,0)),0,VLOOKUP(A73,'Données projet'!$A$217:$I$237,4,0))</f>
        <v>42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227.19999999999993</v>
      </c>
      <c r="O74" s="14">
        <f>N74*VLOOKUP('Données projet'!$B$9,Paramètres!$A$1:$I$89,3,0)*VLOOKUP('Données projet'!$B$9,Paramètres!$A$1:$I$89,5,0)</f>
        <v>205.57055999999994</v>
      </c>
      <c r="P74" s="14">
        <f t="shared" si="87"/>
        <v>50.966443946767392</v>
      </c>
      <c r="Q74" s="22">
        <f t="shared" si="54"/>
        <v>446.80194854061978</v>
      </c>
      <c r="R74" s="62">
        <f t="shared" si="55"/>
        <v>740.13528187395309</v>
      </c>
      <c r="S74" s="62">
        <f ca="1">AVERAGE(OFFSET($R$3,0,0,'Données projet'!$E$9+1,1))-AVERAGE(OFFSET($H$3,0,0,'Données projet'!$E$9+1,1))</f>
        <v>303.73499739059076</v>
      </c>
      <c r="T74" s="62">
        <f t="shared" si="88"/>
        <v>172.32171001882188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3.4</v>
      </c>
      <c r="AI74" s="14">
        <f>IF('Données projet'!$A$62&gt;35,AI73+AH74-AQ73,IF(A74&lt;'Données projet'!$A$62,$AF$205^A74,IF(A74='Données projet'!$A$62,'Données projet'!$B$62,AI73+AH74-AQ73)))</f>
        <v>266.39999999999986</v>
      </c>
      <c r="AJ74" s="14">
        <f>AI74*VLOOKUP('Données projet'!$B$10,Paramètres!$A$1:$I$89,3,0)*VLOOKUP('Données projet'!$B$10,Paramètres!$A$1:$I$89,5,0)</f>
        <v>195.32447999999988</v>
      </c>
      <c r="AK74" s="14">
        <f t="shared" si="89"/>
        <v>48.715219584659181</v>
      </c>
      <c r="AL74" s="22">
        <f t="shared" si="58"/>
        <v>425.03581010994776</v>
      </c>
      <c r="AM74" s="62">
        <f t="shared" si="59"/>
        <v>718.36914344328102</v>
      </c>
      <c r="AN74" s="62">
        <f ca="1">AVERAGE(OFFSET($AM$3,0,0,'Données projet'!$E$10+1,1))-AVERAGE(OFFSET($H$3,0,0,'Données projet'!$E$10+1,1))</f>
        <v>215.66498680344858</v>
      </c>
      <c r="AO74" s="62">
        <f t="shared" si="90"/>
        <v>199.86715787211114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-5.6843418860808015E-14</v>
      </c>
      <c r="BE74" s="14">
        <f>BD74*VLOOKUP('Données projet'!$B$11,Paramètres!$A$1:$I$89,3,0)*VLOOKUP('Données projet'!$B$11,Paramètres!$A$1:$I$89,5,0)</f>
        <v>-3.3992364478763198E-14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155.11440101086782</v>
      </c>
      <c r="BJ74" s="62">
        <f t="shared" si="92"/>
        <v>239.53454701506638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5.9921254310949523</v>
      </c>
      <c r="BQ74" s="23">
        <f>EXP(-LN(2)/25)*BQ73+(1-EXP(-LN(2)/25))/(LN(2)/25)*Calculateur!BL74*Calculateur!BN74*VLOOKUP('Données projet'!$B$11,Paramètres!$A$1:$I$89,3,0)*0.475*44/12</f>
        <v>2.3236543262322629</v>
      </c>
      <c r="BR74" s="23">
        <f>EXP(-LN(2)/2)*BR73+(1-EXP(-LN(2)/2))/(LN(2)/2)*BL74*BO74*VLOOKUP('Données projet'!$B$11,Paramètres!$A$1:$I$89,3,0)*0.475*44/12</f>
        <v>1.9886185127392943E-6</v>
      </c>
      <c r="BS74" s="24">
        <f t="shared" si="63"/>
        <v>8.3157817459457277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-5.6843418860808015E-14</v>
      </c>
      <c r="BZ74" s="14">
        <f>BY74*VLOOKUP('Données projet'!$B$12,Paramètres!$A$1:$I$89,3,0)*VLOOKUP('Données projet'!$B$12,Paramètres!$A$1:$I$89,5,0)</f>
        <v>-3.3992364478763198E-14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155.11440101086782</v>
      </c>
      <c r="CE74" s="62">
        <f t="shared" si="94"/>
        <v>239.53454701506638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5.9921254310949523</v>
      </c>
      <c r="CL74" s="23">
        <f>EXP(-LN(2)/25)*CL73+(1-EXP(-LN(2)/25))/(LN(2)/25)*Calculateur!CG74*Calculateur!CI74*VLOOKUP('Données projet'!$B$12,Paramètres!$A$1:$I$89,3,0)*0.475*44/12</f>
        <v>2.3236543262322629</v>
      </c>
      <c r="CM74" s="23">
        <f>EXP(-LN(2)/2)*CM73+(1-EXP(-LN(2)/2))/(LN(2)/2)*CG74*CJ74*VLOOKUP('Données projet'!$B$12,Paramètres!$A$1:$I$89,3,0)*0.475*44/12</f>
        <v>1.9886185127392943E-6</v>
      </c>
      <c r="CN74" s="24">
        <f t="shared" si="66"/>
        <v>8.3157817459457277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-1.1368683772161603E-13</v>
      </c>
      <c r="CU74" s="18">
        <f>CT74*VLOOKUP('Données projet'!$B$13,Paramètres!$A$1:$I$89,3,0)*VLOOKUP('Données projet'!$B$13,Paramètres!$A$1:$I$89,5,0)</f>
        <v>-9.2222762759774927E-14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191.03017979797141</v>
      </c>
      <c r="CZ74" s="62">
        <f t="shared" si="96"/>
        <v>222.78252111624278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4.2307692307692264</v>
      </c>
      <c r="DO74" s="13">
        <f>IF('Données projet'!$A$166&gt;35,DO73+DN74-DW73,IF(A74&lt;'Données projet'!$A$166,$DL$205^A74,IF(A74='Données projet'!$A$166,'Données projet'!$B$166,DO73+DN74-DW73)))</f>
        <v>190.76923076923072</v>
      </c>
      <c r="DP74" s="18">
        <f>DO74*VLOOKUP('Données projet'!$B$14,Paramètres!$A$1:$I$89,3,0)*VLOOKUP('Données projet'!$B$14,Paramètres!$A$1:$I$89,5,0)</f>
        <v>181.53599999999997</v>
      </c>
      <c r="DQ74" s="14">
        <f t="shared" si="97"/>
        <v>45.663748686335545</v>
      </c>
      <c r="DR74" s="22">
        <f t="shared" si="70"/>
        <v>395.70622896203434</v>
      </c>
      <c r="DS74" s="62">
        <f t="shared" si="71"/>
        <v>689.03956229536766</v>
      </c>
      <c r="DT74" s="62">
        <f ca="1">AVERAGE(OFFSET($DS$3,0,0,'Données projet'!$E$14+1,1))-AVERAGE(OFFSET($H$3,0,0,'Données projet'!$E$14+1,1))</f>
        <v>260.93525280373063</v>
      </c>
      <c r="DU74" s="62">
        <f t="shared" si="98"/>
        <v>206.83968452163816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1.5783333333333318</v>
      </c>
      <c r="EJ74" s="13">
        <f>IF('Données projet'!$A$192&gt;35,EJ73+EI74-ER73,IF(A74&lt;'Données projet'!$A$192,$EG$205^A74,IF(A74='Données projet'!$A$192,'Données projet'!$B$192,EJ73+EI74-ER73)))</f>
        <v>85.940833333333273</v>
      </c>
      <c r="EK74" s="18">
        <f>EJ74*VLOOKUP('Données projet'!$B$15,Paramètres!$A$1:$I$89,3,0)*VLOOKUP('Données projet'!$B$15,Paramètres!$A$1:$I$89,5,0)</f>
        <v>99.003839999999926</v>
      </c>
      <c r="EL74" s="14">
        <f t="shared" si="99"/>
        <v>26.724538061641486</v>
      </c>
      <c r="EM74" s="22">
        <f t="shared" si="73"/>
        <v>218.97692512402543</v>
      </c>
      <c r="EN74" s="62">
        <f t="shared" si="74"/>
        <v>512.31025845735871</v>
      </c>
      <c r="EO74" s="62">
        <f ca="1">AVERAGE(OFFSET($EN$3,0,0,'Données projet'!$E$15+1,1))-AVERAGE(OFFSET($H$3,0,0,'Données projet'!$E$15+1,1))</f>
        <v>118.01099353898547</v>
      </c>
      <c r="EP74" s="62">
        <f t="shared" si="100"/>
        <v>103.17146760845947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6.2</v>
      </c>
      <c r="FE74" s="13">
        <f>IF('Données projet'!$A$218&gt;35,FE73+FD74-FM73,IF(A74&lt;'Données projet'!$A$218,$FB$205^A74,IF(A74='Données projet'!$A$218,'Données projet'!$B$218,FE73+FD74-FM73)))</f>
        <v>227.19999999999993</v>
      </c>
      <c r="FF74" s="18">
        <f>FE74*VLOOKUP('Données projet'!$B$16,Paramètres!$A$1:$I$89,3,0)*VLOOKUP('Données projet'!$B$16,Paramètres!$A$1:$I$89,5,0)</f>
        <v>226.83647999999994</v>
      </c>
      <c r="FG74" s="14">
        <f t="shared" si="101"/>
        <v>55.598104151587052</v>
      </c>
      <c r="FH74" s="22">
        <f t="shared" si="76"/>
        <v>491.90690073068072</v>
      </c>
      <c r="FI74" s="62">
        <f t="shared" si="77"/>
        <v>785.24023406401398</v>
      </c>
      <c r="FJ74" s="62">
        <f ca="1">AVERAGE(OFFSET($FI$3,0,0,'Données projet'!$E$16+1,1))-AVERAGE(OFFSET($H$3,0,0,'Données projet'!$E$16+1,1))</f>
        <v>343.71044073996887</v>
      </c>
      <c r="FK74" s="62">
        <f t="shared" si="102"/>
        <v>193.51732627292375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233.39999999999992</v>
      </c>
      <c r="O75" s="14">
        <f>N75*VLOOKUP('Données projet'!$B$9,Paramètres!$A$1:$I$89,3,0)*VLOOKUP('Données projet'!$B$9,Paramètres!$A$1:$I$89,5,0)</f>
        <v>211.18031999999994</v>
      </c>
      <c r="P75" s="14">
        <f t="shared" si="87"/>
        <v>52.193431117443019</v>
      </c>
      <c r="Q75" s="22">
        <f t="shared" si="54"/>
        <v>458.70928319621316</v>
      </c>
      <c r="R75" s="62">
        <f t="shared" si="55"/>
        <v>752.04261652954642</v>
      </c>
      <c r="S75" s="62">
        <f ca="1">AVERAGE(OFFSET($R$3,0,0,'Données projet'!$E$9+1,1))-AVERAGE(OFFSET($H$3,0,0,'Données projet'!$E$9+1,1))</f>
        <v>303.73499739059076</v>
      </c>
      <c r="T75" s="62">
        <f t="shared" si="88"/>
        <v>172.32171001882188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3.4</v>
      </c>
      <c r="AI75" s="14">
        <f>IF('Données projet'!$A$62&gt;35,AI74+AH75-AQ74,IF(A75&lt;'Données projet'!$A$62,$AF$205^A75,IF(A75='Données projet'!$A$62,'Données projet'!$B$62,AI74+AH75-AQ74)))</f>
        <v>269.79999999999984</v>
      </c>
      <c r="AJ75" s="14">
        <f>AI75*VLOOKUP('Données projet'!$B$10,Paramètres!$A$1:$I$89,3,0)*VLOOKUP('Données projet'!$B$10,Paramètres!$A$1:$I$89,5,0)</f>
        <v>197.81735999999987</v>
      </c>
      <c r="AK75" s="14">
        <f t="shared" si="89"/>
        <v>49.264183604058175</v>
      </c>
      <c r="AL75" s="22">
        <f t="shared" si="58"/>
        <v>430.33368844373439</v>
      </c>
      <c r="AM75" s="62">
        <f t="shared" si="59"/>
        <v>723.6670217770677</v>
      </c>
      <c r="AN75" s="62">
        <f ca="1">AVERAGE(OFFSET($AM$3,0,0,'Données projet'!$E$10+1,1))-AVERAGE(OFFSET($H$3,0,0,'Données projet'!$E$10+1,1))</f>
        <v>215.66498680344858</v>
      </c>
      <c r="AO75" s="62">
        <f t="shared" si="90"/>
        <v>199.86715787211114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-5.6843418860808015E-14</v>
      </c>
      <c r="BE75" s="14">
        <f>BD75*VLOOKUP('Données projet'!$B$11,Paramètres!$A$1:$I$89,3,0)*VLOOKUP('Données projet'!$B$11,Paramètres!$A$1:$I$89,5,0)</f>
        <v>-3.3992364478763198E-14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155.11440101086782</v>
      </c>
      <c r="BJ75" s="62">
        <f t="shared" si="92"/>
        <v>239.53454701506638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5.8746235062268086</v>
      </c>
      <c r="BQ75" s="23">
        <f>EXP(-LN(2)/25)*BQ74+(1-EXP(-LN(2)/25))/(LN(2)/25)*Calculateur!BL75*Calculateur!BN75*VLOOKUP('Données projet'!$B$11,Paramètres!$A$1:$I$89,3,0)*0.475*44/12</f>
        <v>2.2601138764857716</v>
      </c>
      <c r="BR75" s="23">
        <f>EXP(-LN(2)/2)*BR74+(1-EXP(-LN(2)/2))/(LN(2)/2)*BL75*BO75*VLOOKUP('Données projet'!$B$11,Paramètres!$A$1:$I$89,3,0)*0.475*44/12</f>
        <v>1.4061656355510618E-6</v>
      </c>
      <c r="BS75" s="24">
        <f t="shared" si="63"/>
        <v>8.1347387888782148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-5.6843418860808015E-14</v>
      </c>
      <c r="BZ75" s="14">
        <f>BY75*VLOOKUP('Données projet'!$B$12,Paramètres!$A$1:$I$89,3,0)*VLOOKUP('Données projet'!$B$12,Paramètres!$A$1:$I$89,5,0)</f>
        <v>-3.3992364478763198E-14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155.11440101086782</v>
      </c>
      <c r="CE75" s="62">
        <f t="shared" si="94"/>
        <v>239.53454701506638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5.8746235062268086</v>
      </c>
      <c r="CL75" s="23">
        <f>EXP(-LN(2)/25)*CL74+(1-EXP(-LN(2)/25))/(LN(2)/25)*Calculateur!CG75*Calculateur!CI75*VLOOKUP('Données projet'!$B$12,Paramètres!$A$1:$I$89,3,0)*0.475*44/12</f>
        <v>2.2601138764857716</v>
      </c>
      <c r="CM75" s="23">
        <f>EXP(-LN(2)/2)*CM74+(1-EXP(-LN(2)/2))/(LN(2)/2)*CG75*CJ75*VLOOKUP('Données projet'!$B$12,Paramètres!$A$1:$I$89,3,0)*0.475*44/12</f>
        <v>1.4061656355510618E-6</v>
      </c>
      <c r="CN75" s="24">
        <f t="shared" si="66"/>
        <v>8.1347387888782148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-1.1368683772161603E-13</v>
      </c>
      <c r="CU75" s="18">
        <f>CT75*VLOOKUP('Données projet'!$B$13,Paramètres!$A$1:$I$89,3,0)*VLOOKUP('Données projet'!$B$13,Paramètres!$A$1:$I$89,5,0)</f>
        <v>-9.2222762759774927E-14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191.03017979797141</v>
      </c>
      <c r="CZ75" s="62">
        <f t="shared" si="96"/>
        <v>222.78252111624278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4.2307692307692264</v>
      </c>
      <c r="DO75" s="13">
        <f>IF('Données projet'!$A$166&gt;35,DO74+DN75-DW74,IF(A75&lt;'Données projet'!$A$166,$DL$205^A75,IF(A75='Données projet'!$A$166,'Données projet'!$B$166,DO74+DN75-DW74)))</f>
        <v>194.99999999999994</v>
      </c>
      <c r="DP75" s="18">
        <f>DO75*VLOOKUP('Données projet'!$B$14,Paramètres!$A$1:$I$89,3,0)*VLOOKUP('Données projet'!$B$14,Paramètres!$A$1:$I$89,5,0)</f>
        <v>185.56199999999995</v>
      </c>
      <c r="DQ75" s="14">
        <f t="shared" si="97"/>
        <v>46.557428480028591</v>
      </c>
      <c r="DR75" s="22">
        <f t="shared" si="70"/>
        <v>404.27467126938308</v>
      </c>
      <c r="DS75" s="62">
        <f t="shared" si="71"/>
        <v>697.60800460271639</v>
      </c>
      <c r="DT75" s="62">
        <f ca="1">AVERAGE(OFFSET($DS$3,0,0,'Données projet'!$E$14+1,1))-AVERAGE(OFFSET($H$3,0,0,'Données projet'!$E$14+1,1))</f>
        <v>260.93525280373063</v>
      </c>
      <c r="DU75" s="62">
        <f t="shared" si="98"/>
        <v>206.83968452163816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1.5783333333333318</v>
      </c>
      <c r="EJ75" s="13">
        <f>IF('Données projet'!$A$192&gt;35,EJ74+EI75-ER74,IF(A75&lt;'Données projet'!$A$192,$EG$205^A75,IF(A75='Données projet'!$A$192,'Données projet'!$B$192,EJ74+EI75-ER74)))</f>
        <v>87.519166666666607</v>
      </c>
      <c r="EK75" s="18">
        <f>EJ75*VLOOKUP('Données projet'!$B$15,Paramètres!$A$1:$I$89,3,0)*VLOOKUP('Données projet'!$B$15,Paramètres!$A$1:$I$89,5,0)</f>
        <v>100.82207999999993</v>
      </c>
      <c r="EL75" s="14">
        <f t="shared" si="99"/>
        <v>27.157753353396636</v>
      </c>
      <c r="EM75" s="22">
        <f t="shared" si="73"/>
        <v>222.89820975716569</v>
      </c>
      <c r="EN75" s="62">
        <f t="shared" si="74"/>
        <v>516.23154309049903</v>
      </c>
      <c r="EO75" s="62">
        <f ca="1">AVERAGE(OFFSET($EN$3,0,0,'Données projet'!$E$15+1,1))-AVERAGE(OFFSET($H$3,0,0,'Données projet'!$E$15+1,1))</f>
        <v>118.01099353898547</v>
      </c>
      <c r="EP75" s="62">
        <f t="shared" si="100"/>
        <v>103.17146760845947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6.2</v>
      </c>
      <c r="FE75" s="13">
        <f>IF('Données projet'!$A$218&gt;35,FE74+FD75-FM74,IF(A75&lt;'Données projet'!$A$218,$FB$205^A75,IF(A75='Données projet'!$A$218,'Données projet'!$B$218,FE74+FD75-FM74)))</f>
        <v>233.39999999999992</v>
      </c>
      <c r="FF75" s="18">
        <f>FE75*VLOOKUP('Données projet'!$B$16,Paramètres!$A$1:$I$89,3,0)*VLOOKUP('Données projet'!$B$16,Paramètres!$A$1:$I$89,5,0)</f>
        <v>233.02655999999993</v>
      </c>
      <c r="FG75" s="14">
        <f t="shared" si="101"/>
        <v>56.936595818361639</v>
      </c>
      <c r="FH75" s="22">
        <f t="shared" si="76"/>
        <v>505.01916305031301</v>
      </c>
      <c r="FI75" s="62">
        <f t="shared" si="77"/>
        <v>798.35249638364633</v>
      </c>
      <c r="FJ75" s="62">
        <f ca="1">AVERAGE(OFFSET($FI$3,0,0,'Données projet'!$E$16+1,1))-AVERAGE(OFFSET($H$3,0,0,'Données projet'!$E$16+1,1))</f>
        <v>343.71044073996887</v>
      </c>
      <c r="FK75" s="62">
        <f t="shared" si="102"/>
        <v>193.51732627292375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239.59999999999991</v>
      </c>
      <c r="O76" s="14">
        <f>N76*VLOOKUP('Données projet'!$B$9,Paramètres!$A$1:$I$89,3,0)*VLOOKUP('Données projet'!$B$9,Paramètres!$A$1:$I$89,5,0)</f>
        <v>216.7900799999999</v>
      </c>
      <c r="P76" s="14">
        <f t="shared" si="87"/>
        <v>53.416629794462551</v>
      </c>
      <c r="Q76" s="22">
        <f t="shared" si="54"/>
        <v>470.61001955868869</v>
      </c>
      <c r="R76" s="62">
        <f t="shared" si="55"/>
        <v>763.94335289202195</v>
      </c>
      <c r="S76" s="62">
        <f ca="1">AVERAGE(OFFSET($R$3,0,0,'Données projet'!$E$9+1,1))-AVERAGE(OFFSET($H$3,0,0,'Données projet'!$E$9+1,1))</f>
        <v>303.73499739059076</v>
      </c>
      <c r="T76" s="62">
        <f t="shared" si="88"/>
        <v>172.32171001882188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3.4</v>
      </c>
      <c r="AI76" s="14">
        <f>IF('Données projet'!$A$62&gt;35,AI75+AH76-AQ75,IF(A76&lt;'Données projet'!$A$62,$AF$205^A76,IF(A76='Données projet'!$A$62,'Données projet'!$B$62,AI75+AH76-AQ75)))</f>
        <v>273.19999999999982</v>
      </c>
      <c r="AJ76" s="14">
        <f>AI76*VLOOKUP('Données projet'!$B$10,Paramètres!$A$1:$I$89,3,0)*VLOOKUP('Données projet'!$B$10,Paramètres!$A$1:$I$89,5,0)</f>
        <v>200.31023999999988</v>
      </c>
      <c r="AK76" s="14">
        <f t="shared" si="89"/>
        <v>49.812342935500233</v>
      </c>
      <c r="AL76" s="22">
        <f t="shared" si="58"/>
        <v>435.63016527932933</v>
      </c>
      <c r="AM76" s="62">
        <f t="shared" si="59"/>
        <v>728.96349861266265</v>
      </c>
      <c r="AN76" s="62">
        <f ca="1">AVERAGE(OFFSET($AM$3,0,0,'Données projet'!$E$10+1,1))-AVERAGE(OFFSET($H$3,0,0,'Données projet'!$E$10+1,1))</f>
        <v>215.66498680344858</v>
      </c>
      <c r="AO76" s="62">
        <f t="shared" si="90"/>
        <v>199.86715787211114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-5.6843418860808015E-14</v>
      </c>
      <c r="BE76" s="14">
        <f>BD76*VLOOKUP('Données projet'!$B$11,Paramètres!$A$1:$I$89,3,0)*VLOOKUP('Données projet'!$B$11,Paramètres!$A$1:$I$89,5,0)</f>
        <v>-3.3992364478763198E-14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155.11440101086782</v>
      </c>
      <c r="BJ76" s="62">
        <f t="shared" si="92"/>
        <v>239.53454701506638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5.7594257224362311</v>
      </c>
      <c r="BQ76" s="23">
        <f>EXP(-LN(2)/25)*BQ75+(1-EXP(-LN(2)/25))/(LN(2)/25)*Calculateur!BL76*Calculateur!BN76*VLOOKUP('Données projet'!$B$11,Paramètres!$A$1:$I$89,3,0)*0.475*44/12</f>
        <v>2.1983109436790449</v>
      </c>
      <c r="BR76" s="23">
        <f>EXP(-LN(2)/2)*BR75+(1-EXP(-LN(2)/2))/(LN(2)/2)*BL76*BO76*VLOOKUP('Données projet'!$B$11,Paramètres!$A$1:$I$89,3,0)*0.475*44/12</f>
        <v>9.9430925636964715E-7</v>
      </c>
      <c r="BS76" s="24">
        <f t="shared" si="63"/>
        <v>7.9577376604245318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-5.6843418860808015E-14</v>
      </c>
      <c r="BZ76" s="14">
        <f>BY76*VLOOKUP('Données projet'!$B$12,Paramètres!$A$1:$I$89,3,0)*VLOOKUP('Données projet'!$B$12,Paramètres!$A$1:$I$89,5,0)</f>
        <v>-3.3992364478763198E-14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155.11440101086782</v>
      </c>
      <c r="CE76" s="62">
        <f t="shared" si="94"/>
        <v>239.53454701506638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5.7594257224362311</v>
      </c>
      <c r="CL76" s="23">
        <f>EXP(-LN(2)/25)*CL75+(1-EXP(-LN(2)/25))/(LN(2)/25)*Calculateur!CG76*Calculateur!CI76*VLOOKUP('Données projet'!$B$12,Paramètres!$A$1:$I$89,3,0)*0.475*44/12</f>
        <v>2.1983109436790449</v>
      </c>
      <c r="CM76" s="23">
        <f>EXP(-LN(2)/2)*CM75+(1-EXP(-LN(2)/2))/(LN(2)/2)*CG76*CJ76*VLOOKUP('Données projet'!$B$12,Paramètres!$A$1:$I$89,3,0)*0.475*44/12</f>
        <v>9.9430925636964715E-7</v>
      </c>
      <c r="CN76" s="24">
        <f t="shared" si="66"/>
        <v>7.9577376604245318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-1.1368683772161603E-13</v>
      </c>
      <c r="CU76" s="18">
        <f>CT76*VLOOKUP('Données projet'!$B$13,Paramètres!$A$1:$I$89,3,0)*VLOOKUP('Données projet'!$B$13,Paramètres!$A$1:$I$89,5,0)</f>
        <v>-9.2222762759774927E-14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191.03017979797141</v>
      </c>
      <c r="CZ76" s="62">
        <f t="shared" si="96"/>
        <v>222.78252111624278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4.2307692307692264</v>
      </c>
      <c r="DO76" s="13">
        <f>IF('Données projet'!$A$166&gt;35,DO75+DN76-DW75,IF(A76&lt;'Données projet'!$A$166,$DL$205^A76,IF(A76='Données projet'!$A$166,'Données projet'!$B$166,DO75+DN76-DW75)))</f>
        <v>199.23076923076917</v>
      </c>
      <c r="DP76" s="18">
        <f>DO76*VLOOKUP('Données projet'!$B$14,Paramètres!$A$1:$I$89,3,0)*VLOOKUP('Données projet'!$B$14,Paramètres!$A$1:$I$89,5,0)</f>
        <v>189.58799999999994</v>
      </c>
      <c r="DQ76" s="14">
        <f t="shared" si="97"/>
        <v>47.44885399619001</v>
      </c>
      <c r="DR76" s="22">
        <f t="shared" si="70"/>
        <v>412.83918737669751</v>
      </c>
      <c r="DS76" s="62">
        <f t="shared" si="71"/>
        <v>706.17252071003077</v>
      </c>
      <c r="DT76" s="62">
        <f ca="1">AVERAGE(OFFSET($DS$3,0,0,'Données projet'!$E$14+1,1))-AVERAGE(OFFSET($H$3,0,0,'Données projet'!$E$14+1,1))</f>
        <v>260.93525280373063</v>
      </c>
      <c r="DU76" s="62">
        <f t="shared" si="98"/>
        <v>206.83968452163816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1.5783333333333318</v>
      </c>
      <c r="EJ76" s="13">
        <f>IF('Données projet'!$A$192&gt;35,EJ75+EI76-ER75,IF(A76&lt;'Données projet'!$A$192,$EG$205^A76,IF(A76='Données projet'!$A$192,'Données projet'!$B$192,EJ75+EI76-ER75)))</f>
        <v>89.09749999999994</v>
      </c>
      <c r="EK76" s="18">
        <f>EJ76*VLOOKUP('Données projet'!$B$15,Paramètres!$A$1:$I$89,3,0)*VLOOKUP('Données projet'!$B$15,Paramètres!$A$1:$I$89,5,0)</f>
        <v>102.64031999999992</v>
      </c>
      <c r="EL76" s="14">
        <f t="shared" si="99"/>
        <v>27.590060152433722</v>
      </c>
      <c r="EM76" s="22">
        <f t="shared" si="73"/>
        <v>226.81791209882192</v>
      </c>
      <c r="EN76" s="62">
        <f t="shared" si="74"/>
        <v>520.15124543215529</v>
      </c>
      <c r="EO76" s="62">
        <f ca="1">AVERAGE(OFFSET($EN$3,0,0,'Données projet'!$E$15+1,1))-AVERAGE(OFFSET($H$3,0,0,'Données projet'!$E$15+1,1))</f>
        <v>118.01099353898547</v>
      </c>
      <c r="EP76" s="62">
        <f t="shared" si="100"/>
        <v>103.17146760845947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6.2</v>
      </c>
      <c r="FE76" s="13">
        <f>IF('Données projet'!$A$218&gt;35,FE75+FD76-FM75,IF(A76&lt;'Données projet'!$A$218,$FB$205^A76,IF(A76='Données projet'!$A$218,'Données projet'!$B$218,FE75+FD76-FM75)))</f>
        <v>239.59999999999991</v>
      </c>
      <c r="FF76" s="18">
        <f>FE76*VLOOKUP('Données projet'!$B$16,Paramètres!$A$1:$I$89,3,0)*VLOOKUP('Données projet'!$B$16,Paramètres!$A$1:$I$89,5,0)</f>
        <v>239.2166399999999</v>
      </c>
      <c r="FG76" s="14">
        <f t="shared" si="101"/>
        <v>58.270954705829766</v>
      </c>
      <c r="FH76" s="22">
        <f t="shared" si="76"/>
        <v>518.12422744598666</v>
      </c>
      <c r="FI76" s="62">
        <f t="shared" si="77"/>
        <v>811.45756077931992</v>
      </c>
      <c r="FJ76" s="62">
        <f ca="1">AVERAGE(OFFSET($FI$3,0,0,'Données projet'!$E$16+1,1))-AVERAGE(OFFSET($H$3,0,0,'Données projet'!$E$16+1,1))</f>
        <v>343.71044073996887</v>
      </c>
      <c r="FK76" s="62">
        <f t="shared" si="102"/>
        <v>193.51732627292375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</v>
      </c>
      <c r="O77" s="14">
        <f>N77*VLOOKUP('Données projet'!$B$9,Paramètres!$A$1:$I$89,3,0)*VLOOKUP('Données projet'!$B$9,Paramètres!$A$1:$I$89,5,0)</f>
        <v>222.3998399999999</v>
      </c>
      <c r="P77" s="14">
        <f t="shared" si="87"/>
        <v>54.636149281681448</v>
      </c>
      <c r="Q77" s="22">
        <f t="shared" si="54"/>
        <v>482.50434799892832</v>
      </c>
      <c r="R77" s="62">
        <f t="shared" si="55"/>
        <v>775.83768133226158</v>
      </c>
      <c r="S77" s="62">
        <f ca="1">AVERAGE(OFFSET($R$3,0,0,'Données projet'!$E$9+1,1))-AVERAGE(OFFSET($H$3,0,0,'Données projet'!$E$9+1,1))</f>
        <v>303.73499739059076</v>
      </c>
      <c r="T77" s="62">
        <f t="shared" si="88"/>
        <v>172.32171001882188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3.4</v>
      </c>
      <c r="AI77" s="14">
        <f>IF('Données projet'!$A$62&gt;35,AI76+AH77-AQ76,IF(A77&lt;'Données projet'!$A$62,$AF$205^A77,IF(A77='Données projet'!$A$62,'Données projet'!$B$62,AI76+AH77-AQ76)))</f>
        <v>276.5999999999998</v>
      </c>
      <c r="AJ77" s="14">
        <f>AI77*VLOOKUP('Données projet'!$B$10,Paramètres!$A$1:$I$89,3,0)*VLOOKUP('Données projet'!$B$10,Paramètres!$A$1:$I$89,5,0)</f>
        <v>202.80311999999984</v>
      </c>
      <c r="AK77" s="14">
        <f t="shared" si="89"/>
        <v>50.359708751568157</v>
      </c>
      <c r="AL77" s="22">
        <f t="shared" si="58"/>
        <v>440.92526007564749</v>
      </c>
      <c r="AM77" s="62">
        <f t="shared" si="59"/>
        <v>734.2585934089808</v>
      </c>
      <c r="AN77" s="62">
        <f ca="1">AVERAGE(OFFSET($AM$3,0,0,'Données projet'!$E$10+1,1))-AVERAGE(OFFSET($H$3,0,0,'Données projet'!$E$10+1,1))</f>
        <v>215.66498680344858</v>
      </c>
      <c r="AO77" s="62">
        <f t="shared" si="90"/>
        <v>199.86715787211114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-5.6843418860808015E-14</v>
      </c>
      <c r="BE77" s="14">
        <f>BD77*VLOOKUP('Données projet'!$B$11,Paramètres!$A$1:$I$89,3,0)*VLOOKUP('Données projet'!$B$11,Paramètres!$A$1:$I$89,5,0)</f>
        <v>-3.3992364478763198E-14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155.11440101086782</v>
      </c>
      <c r="BJ77" s="62">
        <f t="shared" si="92"/>
        <v>239.53454701506638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5.6464868969220765</v>
      </c>
      <c r="BQ77" s="23">
        <f>EXP(-LN(2)/25)*BQ76+(1-EXP(-LN(2)/25))/(LN(2)/25)*Calculateur!BL77*Calculateur!BN77*VLOOKUP('Données projet'!$B$11,Paramètres!$A$1:$I$89,3,0)*0.475*44/12</f>
        <v>2.1381980153199933</v>
      </c>
      <c r="BR77" s="23">
        <f>EXP(-LN(2)/2)*BR76+(1-EXP(-LN(2)/2))/(LN(2)/2)*BL77*BO77*VLOOKUP('Données projet'!$B$11,Paramètres!$A$1:$I$89,3,0)*0.475*44/12</f>
        <v>7.0308281777553089E-7</v>
      </c>
      <c r="BS77" s="24">
        <f t="shared" si="63"/>
        <v>7.7846856153248876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-5.6843418860808015E-14</v>
      </c>
      <c r="BZ77" s="14">
        <f>BY77*VLOOKUP('Données projet'!$B$12,Paramètres!$A$1:$I$89,3,0)*VLOOKUP('Données projet'!$B$12,Paramètres!$A$1:$I$89,5,0)</f>
        <v>-3.3992364478763198E-14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155.11440101086782</v>
      </c>
      <c r="CE77" s="62">
        <f t="shared" si="94"/>
        <v>239.53454701506638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5.6464868969220765</v>
      </c>
      <c r="CL77" s="23">
        <f>EXP(-LN(2)/25)*CL76+(1-EXP(-LN(2)/25))/(LN(2)/25)*Calculateur!CG77*Calculateur!CI77*VLOOKUP('Données projet'!$B$12,Paramètres!$A$1:$I$89,3,0)*0.475*44/12</f>
        <v>2.1381980153199933</v>
      </c>
      <c r="CM77" s="23">
        <f>EXP(-LN(2)/2)*CM76+(1-EXP(-LN(2)/2))/(LN(2)/2)*CG77*CJ77*VLOOKUP('Données projet'!$B$12,Paramètres!$A$1:$I$89,3,0)*0.475*44/12</f>
        <v>7.0308281777553089E-7</v>
      </c>
      <c r="CN77" s="24">
        <f t="shared" si="66"/>
        <v>7.7846856153248876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-1.1368683772161603E-13</v>
      </c>
      <c r="CU77" s="18">
        <f>CT77*VLOOKUP('Données projet'!$B$13,Paramètres!$A$1:$I$89,3,0)*VLOOKUP('Données projet'!$B$13,Paramètres!$A$1:$I$89,5,0)</f>
        <v>-9.2222762759774927E-14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191.03017979797141</v>
      </c>
      <c r="CZ77" s="62">
        <f t="shared" si="96"/>
        <v>222.78252111624278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4.2307692307692264</v>
      </c>
      <c r="DO77" s="13">
        <f>IF('Données projet'!$A$166&gt;35,DO76+DN77-DW76,IF(A77&lt;'Données projet'!$A$166,$DL$205^A77,IF(A77='Données projet'!$A$166,'Données projet'!$B$166,DO76+DN77-DW76)))</f>
        <v>203.4615384615384</v>
      </c>
      <c r="DP77" s="18">
        <f>DO77*VLOOKUP('Données projet'!$B$14,Paramètres!$A$1:$I$89,3,0)*VLOOKUP('Données projet'!$B$14,Paramètres!$A$1:$I$89,5,0)</f>
        <v>193.61399999999995</v>
      </c>
      <c r="DQ77" s="14">
        <f t="shared" si="97"/>
        <v>48.338078619840999</v>
      </c>
      <c r="DR77" s="22">
        <f t="shared" si="70"/>
        <v>421.39987026288964</v>
      </c>
      <c r="DS77" s="62">
        <f t="shared" si="71"/>
        <v>714.73320359622289</v>
      </c>
      <c r="DT77" s="62">
        <f ca="1">AVERAGE(OFFSET($DS$3,0,0,'Données projet'!$E$14+1,1))-AVERAGE(OFFSET($H$3,0,0,'Données projet'!$E$14+1,1))</f>
        <v>260.93525280373063</v>
      </c>
      <c r="DU77" s="62">
        <f t="shared" si="98"/>
        <v>206.83968452163816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1.5783333333333318</v>
      </c>
      <c r="EJ77" s="13">
        <f>IF('Données projet'!$A$192&gt;35,EJ76+EI77-ER76,IF(A77&lt;'Données projet'!$A$192,$EG$205^A77,IF(A77='Données projet'!$A$192,'Données projet'!$B$192,EJ76+EI77-ER76)))</f>
        <v>90.675833333333273</v>
      </c>
      <c r="EK77" s="18">
        <f>EJ77*VLOOKUP('Données projet'!$B$15,Paramètres!$A$1:$I$89,3,0)*VLOOKUP('Données projet'!$B$15,Paramètres!$A$1:$I$89,5,0)</f>
        <v>104.45855999999993</v>
      </c>
      <c r="EL77" s="14">
        <f t="shared" si="99"/>
        <v>28.021476409089832</v>
      </c>
      <c r="EM77" s="22">
        <f t="shared" si="73"/>
        <v>230.736063412498</v>
      </c>
      <c r="EN77" s="62">
        <f t="shared" si="74"/>
        <v>524.06939674583134</v>
      </c>
      <c r="EO77" s="62">
        <f ca="1">AVERAGE(OFFSET($EN$3,0,0,'Données projet'!$E$15+1,1))-AVERAGE(OFFSET($H$3,0,0,'Données projet'!$E$15+1,1))</f>
        <v>118.01099353898547</v>
      </c>
      <c r="EP77" s="62">
        <f t="shared" si="100"/>
        <v>103.17146760845947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6.2</v>
      </c>
      <c r="FE77" s="13">
        <f>IF('Données projet'!$A$218&gt;35,FE76+FD77-FM76,IF(A77&lt;'Données projet'!$A$218,$FB$205^A77,IF(A77='Données projet'!$A$218,'Données projet'!$B$218,FE76+FD77-FM76)))</f>
        <v>245.7999999999999</v>
      </c>
      <c r="FF77" s="18">
        <f>FE77*VLOOKUP('Données projet'!$B$16,Paramètres!$A$1:$I$89,3,0)*VLOOKUP('Données projet'!$B$16,Paramètres!$A$1:$I$89,5,0)</f>
        <v>245.40671999999989</v>
      </c>
      <c r="FG77" s="14">
        <f t="shared" si="101"/>
        <v>59.601300051016182</v>
      </c>
      <c r="FH77" s="22">
        <f t="shared" si="76"/>
        <v>531.22230158885293</v>
      </c>
      <c r="FI77" s="62">
        <f t="shared" si="77"/>
        <v>824.5556349221863</v>
      </c>
      <c r="FJ77" s="62">
        <f ca="1">AVERAGE(OFFSET($FI$3,0,0,'Données projet'!$E$16+1,1))-AVERAGE(OFFSET($H$3,0,0,'Données projet'!$E$16+1,1))</f>
        <v>343.71044073996887</v>
      </c>
      <c r="FK77" s="62">
        <f t="shared" si="102"/>
        <v>193.51732627292375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251.99999999999989</v>
      </c>
      <c r="O78" s="14">
        <f>N78*VLOOKUP('Données projet'!$B$9,Paramètres!$A$1:$I$89,3,0)*VLOOKUP('Données projet'!$B$9,Paramètres!$A$1:$I$89,5,0)</f>
        <v>228.00959999999986</v>
      </c>
      <c r="P78" s="14">
        <f t="shared" si="87"/>
        <v>55.852093054619779</v>
      </c>
      <c r="Q78" s="22">
        <f t="shared" si="54"/>
        <v>494.39244873679587</v>
      </c>
      <c r="R78" s="62">
        <f t="shared" si="55"/>
        <v>787.72578207012918</v>
      </c>
      <c r="S78" s="62">
        <f ca="1">AVERAGE(OFFSET($R$3,0,0,'Données projet'!$E$9+1,1))-AVERAGE(OFFSET($H$3,0,0,'Données projet'!$E$9+1,1))</f>
        <v>303.73499739059076</v>
      </c>
      <c r="T78" s="62">
        <f t="shared" si="88"/>
        <v>172.32171001882188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280</v>
      </c>
      <c r="AG78" s="13">
        <f>VLOOKUP(A78,'Données projet'!$A$61:$I$81,9,0)</f>
        <v>3.4</v>
      </c>
      <c r="AH78" s="13">
        <f t="array" ref="AH78">INDEX(AG:AG,MIN(IF(ISNUMBER(AG78:AG274),ROW(AG78:AG274),"")))</f>
        <v>3.4</v>
      </c>
      <c r="AI78" s="14">
        <f>IF('Données projet'!$A$62&gt;35,AI77+AH78-AQ77,IF(A78&lt;'Données projet'!$A$62,$AF$205^A78,IF(A78='Données projet'!$A$62,'Données projet'!$B$62,AI77+AH78-AQ77)))</f>
        <v>279.99999999999977</v>
      </c>
      <c r="AJ78" s="14">
        <f>AI78*VLOOKUP('Données projet'!$B$10,Paramètres!$A$1:$I$89,3,0)*VLOOKUP('Données projet'!$B$10,Paramètres!$A$1:$I$89,5,0)</f>
        <v>205.29599999999982</v>
      </c>
      <c r="AK78" s="14">
        <f t="shared" si="89"/>
        <v>50.906291934375353</v>
      </c>
      <c r="AL78" s="22">
        <f t="shared" si="58"/>
        <v>446.21899178570339</v>
      </c>
      <c r="AM78" s="62">
        <f t="shared" si="59"/>
        <v>739.55232511903671</v>
      </c>
      <c r="AN78" s="62">
        <f ca="1">AVERAGE(OFFSET($AM$3,0,0,'Données projet'!$E$10+1,1))-AVERAGE(OFFSET($H$3,0,0,'Données projet'!$E$10+1,1))</f>
        <v>215.66498680344858</v>
      </c>
      <c r="AO78" s="62">
        <f t="shared" si="90"/>
        <v>199.86715787211114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-5.6843418860808015E-14</v>
      </c>
      <c r="BE78" s="14">
        <f>BD78*VLOOKUP('Données projet'!$B$11,Paramètres!$A$1:$I$89,3,0)*VLOOKUP('Données projet'!$B$11,Paramètres!$A$1:$I$89,5,0)</f>
        <v>-3.3992364478763198E-14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155.11440101086782</v>
      </c>
      <c r="BJ78" s="62">
        <f t="shared" si="92"/>
        <v>239.53454701506638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5.5357627328903733</v>
      </c>
      <c r="BQ78" s="23">
        <f>EXP(-LN(2)/25)*BQ77+(1-EXP(-LN(2)/25))/(LN(2)/25)*Calculateur!BL78*Calculateur!BN78*VLOOKUP('Données projet'!$B$11,Paramètres!$A$1:$I$89,3,0)*0.475*44/12</f>
        <v>2.0797288781481216</v>
      </c>
      <c r="BR78" s="23">
        <f>EXP(-LN(2)/2)*BR77+(1-EXP(-LN(2)/2))/(LN(2)/2)*BL78*BO78*VLOOKUP('Données projet'!$B$11,Paramètres!$A$1:$I$89,3,0)*0.475*44/12</f>
        <v>4.9715462818482358E-7</v>
      </c>
      <c r="BS78" s="24">
        <f t="shared" si="63"/>
        <v>7.6154921081931235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-5.6843418860808015E-14</v>
      </c>
      <c r="BZ78" s="14">
        <f>BY78*VLOOKUP('Données projet'!$B$12,Paramètres!$A$1:$I$89,3,0)*VLOOKUP('Données projet'!$B$12,Paramètres!$A$1:$I$89,5,0)</f>
        <v>-3.3992364478763198E-14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155.11440101086782</v>
      </c>
      <c r="CE78" s="62">
        <f t="shared" si="94"/>
        <v>239.53454701506638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5.5357627328903733</v>
      </c>
      <c r="CL78" s="23">
        <f>EXP(-LN(2)/25)*CL77+(1-EXP(-LN(2)/25))/(LN(2)/25)*Calculateur!CG78*Calculateur!CI78*VLOOKUP('Données projet'!$B$12,Paramètres!$A$1:$I$89,3,0)*0.475*44/12</f>
        <v>2.0797288781481216</v>
      </c>
      <c r="CM78" s="23">
        <f>EXP(-LN(2)/2)*CM77+(1-EXP(-LN(2)/2))/(LN(2)/2)*CG78*CJ78*VLOOKUP('Données projet'!$B$12,Paramètres!$A$1:$I$89,3,0)*0.475*44/12</f>
        <v>4.9715462818482358E-7</v>
      </c>
      <c r="CN78" s="24">
        <f t="shared" si="66"/>
        <v>7.6154921081931235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-1.1368683772161603E-13</v>
      </c>
      <c r="CU78" s="18">
        <f>CT78*VLOOKUP('Données projet'!$B$13,Paramètres!$A$1:$I$89,3,0)*VLOOKUP('Données projet'!$B$13,Paramètres!$A$1:$I$89,5,0)</f>
        <v>-9.2222762759774927E-14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191.03017979797141</v>
      </c>
      <c r="CZ78" s="62">
        <f t="shared" si="96"/>
        <v>222.78252111624278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207.69230769230768</v>
      </c>
      <c r="DM78" s="13">
        <f>VLOOKUP(A78,'Données projet'!$A$165:$I$185,9,0)</f>
        <v>4.2307692307692264</v>
      </c>
      <c r="DN78" s="13">
        <f t="array" ref="DN78">INDEX(DM:DM,MIN(IF(ISNUMBER(DM78:DM274),ROW(DM78:DM274),"")))</f>
        <v>4.2307692307692264</v>
      </c>
      <c r="DO78" s="13">
        <f>IF('Données projet'!$A$166&gt;35,DO77+DN78-DW77,IF(A78&lt;'Données projet'!$A$166,$DL$205^A78,IF(A78='Données projet'!$A$166,'Données projet'!$B$166,DO77+DN78-DW77)))</f>
        <v>207.69230769230762</v>
      </c>
      <c r="DP78" s="18">
        <f>DO78*VLOOKUP('Données projet'!$B$14,Paramètres!$A$1:$I$89,3,0)*VLOOKUP('Données projet'!$B$14,Paramètres!$A$1:$I$89,5,0)</f>
        <v>197.63999999999993</v>
      </c>
      <c r="DQ78" s="14">
        <f t="shared" si="97"/>
        <v>49.22515338895078</v>
      </c>
      <c r="DR78" s="22">
        <f t="shared" si="70"/>
        <v>429.95680881908919</v>
      </c>
      <c r="DS78" s="62">
        <f t="shared" si="71"/>
        <v>723.2901421524225</v>
      </c>
      <c r="DT78" s="62">
        <f ca="1">AVERAGE(OFFSET($DS$3,0,0,'Données projet'!$E$14+1,1))-AVERAGE(OFFSET($H$3,0,0,'Données projet'!$E$14+1,1))</f>
        <v>260.93525280373063</v>
      </c>
      <c r="DU78" s="62">
        <f t="shared" si="98"/>
        <v>206.83968452163816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1.5783333333333318</v>
      </c>
      <c r="EJ78" s="13">
        <f>IF('Données projet'!$A$192&gt;35,EJ77+EI78-ER77,IF(A78&lt;'Données projet'!$A$192,$EG$205^A78,IF(A78='Données projet'!$A$192,'Données projet'!$B$192,EJ77+EI78-ER77)))</f>
        <v>92.254166666666606</v>
      </c>
      <c r="EK78" s="18">
        <f>EJ78*VLOOKUP('Données projet'!$B$15,Paramètres!$A$1:$I$89,3,0)*VLOOKUP('Données projet'!$B$15,Paramètres!$A$1:$I$89,5,0)</f>
        <v>106.27679999999992</v>
      </c>
      <c r="EL78" s="14">
        <f t="shared" si="99"/>
        <v>28.45201941300353</v>
      </c>
      <c r="EM78" s="22">
        <f t="shared" si="73"/>
        <v>234.65269381098105</v>
      </c>
      <c r="EN78" s="62">
        <f t="shared" si="74"/>
        <v>527.98602714431433</v>
      </c>
      <c r="EO78" s="62">
        <f ca="1">AVERAGE(OFFSET($EN$3,0,0,'Données projet'!$E$15+1,1))-AVERAGE(OFFSET($H$3,0,0,'Données projet'!$E$15+1,1))</f>
        <v>118.01099353898547</v>
      </c>
      <c r="EP78" s="62">
        <f t="shared" si="100"/>
        <v>103.17146760845947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252</v>
      </c>
      <c r="FC78" s="13">
        <f>VLOOKUP(A78,'Données projet'!$A$217:$I$237,9,0)</f>
        <v>6.2</v>
      </c>
      <c r="FD78" s="13">
        <f t="array" ref="FD78">INDEX(FC:FC,MIN(IF(ISNUMBER(FC78:FC274),ROW(FC78:FC274),"")))</f>
        <v>6.2</v>
      </c>
      <c r="FE78" s="13">
        <f>IF('Données projet'!$A$218&gt;35,FE77+FD78-FM77,IF(A78&lt;'Données projet'!$A$218,$FB$205^A78,IF(A78='Données projet'!$A$218,'Données projet'!$B$218,FE77+FD78-FM77)))</f>
        <v>251.99999999999989</v>
      </c>
      <c r="FF78" s="18">
        <f>FE78*VLOOKUP('Données projet'!$B$16,Paramètres!$A$1:$I$89,3,0)*VLOOKUP('Données projet'!$B$16,Paramètres!$A$1:$I$89,5,0)</f>
        <v>251.59679999999992</v>
      </c>
      <c r="FG78" s="14">
        <f t="shared" si="101"/>
        <v>60.927744732950671</v>
      </c>
      <c r="FH78" s="22">
        <f t="shared" si="76"/>
        <v>544.31358207655558</v>
      </c>
      <c r="FI78" s="62">
        <f t="shared" si="77"/>
        <v>837.64691540988883</v>
      </c>
      <c r="FJ78" s="62">
        <f ca="1">AVERAGE(OFFSET($FI$3,0,0,'Données projet'!$E$16+1,1))-AVERAGE(OFFSET($H$3,0,0,'Données projet'!$E$16+1,1))</f>
        <v>343.71044073996887</v>
      </c>
      <c r="FK78" s="62">
        <f t="shared" si="102"/>
        <v>193.51732627292375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257.99999999999989</v>
      </c>
      <c r="O79" s="14">
        <f>N79*VLOOKUP('Données projet'!$B$9,Paramètres!$A$1:$I$89,3,0)*VLOOKUP('Données projet'!$B$9,Paramètres!$A$1:$I$89,5,0)</f>
        <v>233.43839999999989</v>
      </c>
      <c r="P79" s="14">
        <f t="shared" si="87"/>
        <v>57.025500710931624</v>
      </c>
      <c r="Q79" s="22">
        <f t="shared" si="54"/>
        <v>505.89129373820577</v>
      </c>
      <c r="R79" s="62">
        <f t="shared" si="55"/>
        <v>799.22462707153909</v>
      </c>
      <c r="S79" s="62">
        <f ca="1">AVERAGE(OFFSET($R$3,0,0,'Données projet'!$E$9+1,1))-AVERAGE(OFFSET($H$3,0,0,'Données projet'!$E$9+1,1))</f>
        <v>303.73499739059076</v>
      </c>
      <c r="T79" s="62">
        <f t="shared" si="88"/>
        <v>172.32171001882188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</v>
      </c>
      <c r="AI79" s="14">
        <f>IF('Données projet'!$A$62&gt;35,AI78+AH79-AQ78,IF(A79&lt;'Données projet'!$A$62,$AF$205^A79,IF(A79='Données projet'!$A$62,'Données projet'!$B$62,AI78+AH79-AQ78)))</f>
        <v>282.99999999999977</v>
      </c>
      <c r="AJ79" s="14">
        <f>AI79*VLOOKUP('Données projet'!$B$10,Paramètres!$A$1:$I$89,3,0)*VLOOKUP('Données projet'!$B$10,Paramètres!$A$1:$I$89,5,0)</f>
        <v>207.49559999999983</v>
      </c>
      <c r="AK79" s="14">
        <f t="shared" si="89"/>
        <v>51.387929741693263</v>
      </c>
      <c r="AL79" s="22">
        <f t="shared" si="58"/>
        <v>450.88881430011548</v>
      </c>
      <c r="AM79" s="62">
        <f t="shared" si="59"/>
        <v>744.2221476334488</v>
      </c>
      <c r="AN79" s="62">
        <f ca="1">AVERAGE(OFFSET($AM$3,0,0,'Données projet'!$E$10+1,1))-AVERAGE(OFFSET($H$3,0,0,'Données projet'!$E$10+1,1))</f>
        <v>215.66498680344858</v>
      </c>
      <c r="AO79" s="62">
        <f t="shared" si="90"/>
        <v>199.86715787211114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-5.6843418860808015E-14</v>
      </c>
      <c r="BE79" s="14">
        <f>BD79*VLOOKUP('Données projet'!$B$11,Paramètres!$A$1:$I$89,3,0)*VLOOKUP('Données projet'!$B$11,Paramètres!$A$1:$I$89,5,0)</f>
        <v>-3.3992364478763198E-14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155.11440101086782</v>
      </c>
      <c r="BJ79" s="62">
        <f t="shared" si="92"/>
        <v>239.53454701506638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5.4272098021802604</v>
      </c>
      <c r="BQ79" s="23">
        <f>EXP(-LN(2)/25)*BQ78+(1-EXP(-LN(2)/25))/(LN(2)/25)*Calculateur!BL79*Calculateur!BN79*VLOOKUP('Données projet'!$B$11,Paramètres!$A$1:$I$89,3,0)*0.475*44/12</f>
        <v>2.0228585826069727</v>
      </c>
      <c r="BR79" s="23">
        <f>EXP(-LN(2)/2)*BR78+(1-EXP(-LN(2)/2))/(LN(2)/2)*BL79*BO79*VLOOKUP('Données projet'!$B$11,Paramètres!$A$1:$I$89,3,0)*0.475*44/12</f>
        <v>3.5154140888776545E-7</v>
      </c>
      <c r="BS79" s="24">
        <f t="shared" si="63"/>
        <v>7.4500687363286424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-5.6843418860808015E-14</v>
      </c>
      <c r="BZ79" s="14">
        <f>BY79*VLOOKUP('Données projet'!$B$12,Paramètres!$A$1:$I$89,3,0)*VLOOKUP('Données projet'!$B$12,Paramètres!$A$1:$I$89,5,0)</f>
        <v>-3.3992364478763198E-14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155.11440101086782</v>
      </c>
      <c r="CE79" s="62">
        <f t="shared" si="94"/>
        <v>239.53454701506638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5.4272098021802604</v>
      </c>
      <c r="CL79" s="23">
        <f>EXP(-LN(2)/25)*CL78+(1-EXP(-LN(2)/25))/(LN(2)/25)*Calculateur!CG79*Calculateur!CI79*VLOOKUP('Données projet'!$B$12,Paramètres!$A$1:$I$89,3,0)*0.475*44/12</f>
        <v>2.0228585826069727</v>
      </c>
      <c r="CM79" s="23">
        <f>EXP(-LN(2)/2)*CM78+(1-EXP(-LN(2)/2))/(LN(2)/2)*CG79*CJ79*VLOOKUP('Données projet'!$B$12,Paramètres!$A$1:$I$89,3,0)*0.475*44/12</f>
        <v>3.5154140888776545E-7</v>
      </c>
      <c r="CN79" s="24">
        <f t="shared" si="66"/>
        <v>7.4500687363286424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-1.1368683772161603E-13</v>
      </c>
      <c r="CU79" s="18">
        <f>CT79*VLOOKUP('Données projet'!$B$13,Paramètres!$A$1:$I$89,3,0)*VLOOKUP('Données projet'!$B$13,Paramètres!$A$1:$I$89,5,0)</f>
        <v>-9.2222762759774927E-14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191.03017979797141</v>
      </c>
      <c r="CZ79" s="62">
        <f t="shared" si="96"/>
        <v>222.78252111624278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3.974358974358978</v>
      </c>
      <c r="DO79" s="13">
        <f>IF('Données projet'!$A$166&gt;35,DO78+DN79-DW78,IF(A79&lt;'Données projet'!$A$166,$DL$205^A79,IF(A79='Données projet'!$A$166,'Données projet'!$B$166,DO78+DN79-DW78)))</f>
        <v>211.6666666666666</v>
      </c>
      <c r="DP79" s="18">
        <f>DO79*VLOOKUP('Données projet'!$B$14,Paramètres!$A$1:$I$89,3,0)*VLOOKUP('Données projet'!$B$14,Paramètres!$A$1:$I$89,5,0)</f>
        <v>201.42199999999994</v>
      </c>
      <c r="DQ79" s="14">
        <f t="shared" si="97"/>
        <v>50.056551308279687</v>
      </c>
      <c r="DR79" s="22">
        <f t="shared" si="70"/>
        <v>437.99181019525372</v>
      </c>
      <c r="DS79" s="62">
        <f t="shared" si="71"/>
        <v>731.32514352858698</v>
      </c>
      <c r="DT79" s="62">
        <f ca="1">AVERAGE(OFFSET($DS$3,0,0,'Données projet'!$E$14+1,1))-AVERAGE(OFFSET($H$3,0,0,'Données projet'!$E$14+1,1))</f>
        <v>260.93525280373063</v>
      </c>
      <c r="DU79" s="62">
        <f t="shared" si="98"/>
        <v>206.83968452163816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1.5783333333333318</v>
      </c>
      <c r="EJ79" s="13">
        <f>IF('Données projet'!$A$192&gt;35,EJ78+EI79-ER78,IF(A79&lt;'Données projet'!$A$192,$EG$205^A79,IF(A79='Données projet'!$A$192,'Données projet'!$B$192,EJ78+EI79-ER78)))</f>
        <v>93.832499999999939</v>
      </c>
      <c r="EK79" s="18">
        <f>EJ79*VLOOKUP('Données projet'!$B$15,Paramètres!$A$1:$I$89,3,0)*VLOOKUP('Données projet'!$B$15,Paramètres!$A$1:$I$89,5,0)</f>
        <v>108.09503999999993</v>
      </c>
      <c r="EL79" s="14">
        <f t="shared" si="99"/>
        <v>28.881705828313297</v>
      </c>
      <c r="EM79" s="22">
        <f t="shared" si="73"/>
        <v>238.56783231764553</v>
      </c>
      <c r="EN79" s="62">
        <f t="shared" si="74"/>
        <v>531.90116565097878</v>
      </c>
      <c r="EO79" s="62">
        <f ca="1">AVERAGE(OFFSET($EN$3,0,0,'Données projet'!$E$15+1,1))-AVERAGE(OFFSET($H$3,0,0,'Données projet'!$E$15+1,1))</f>
        <v>118.01099353898547</v>
      </c>
      <c r="EP79" s="62">
        <f t="shared" si="100"/>
        <v>103.17146760845947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6</v>
      </c>
      <c r="FE79" s="13">
        <f>IF('Données projet'!$A$218&gt;35,FE78+FD79-FM78,IF(A79&lt;'Données projet'!$A$218,$FB$205^A79,IF(A79='Données projet'!$A$218,'Données projet'!$B$218,FE78+FD79-FM78)))</f>
        <v>257.99999999999989</v>
      </c>
      <c r="FF79" s="18">
        <f>FE79*VLOOKUP('Données projet'!$B$16,Paramètres!$A$1:$I$89,3,0)*VLOOKUP('Données projet'!$B$16,Paramètres!$A$1:$I$89,5,0)</f>
        <v>257.58719999999988</v>
      </c>
      <c r="FG79" s="14">
        <f t="shared" si="101"/>
        <v>62.207787758044454</v>
      </c>
      <c r="FH79" s="22">
        <f t="shared" si="76"/>
        <v>556.97627034526056</v>
      </c>
      <c r="FI79" s="62">
        <f t="shared" si="77"/>
        <v>850.30960367859393</v>
      </c>
      <c r="FJ79" s="62">
        <f ca="1">AVERAGE(OFFSET($FI$3,0,0,'Données projet'!$E$16+1,1))-AVERAGE(OFFSET($H$3,0,0,'Données projet'!$E$16+1,1))</f>
        <v>343.71044073996887</v>
      </c>
      <c r="FK79" s="62">
        <f t="shared" si="102"/>
        <v>193.51732627292375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263.99999999999989</v>
      </c>
      <c r="O80" s="14">
        <f>N80*VLOOKUP('Données projet'!$B$9,Paramètres!$A$1:$I$89,3,0)*VLOOKUP('Données projet'!$B$9,Paramètres!$A$1:$I$89,5,0)</f>
        <v>238.86719999999988</v>
      </c>
      <c r="P80" s="14">
        <f t="shared" si="87"/>
        <v>58.195735973104156</v>
      </c>
      <c r="Q80" s="22">
        <f t="shared" si="54"/>
        <v>517.38461348648957</v>
      </c>
      <c r="R80" s="62">
        <f t="shared" si="55"/>
        <v>810.71794681982283</v>
      </c>
      <c r="S80" s="62">
        <f ca="1">AVERAGE(OFFSET($R$3,0,0,'Données projet'!$E$9+1,1))-AVERAGE(OFFSET($H$3,0,0,'Données projet'!$E$9+1,1))</f>
        <v>303.73499739059076</v>
      </c>
      <c r="T80" s="62">
        <f t="shared" si="88"/>
        <v>172.32171001882188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</v>
      </c>
      <c r="AI80" s="14">
        <f>IF('Données projet'!$A$62&gt;35,AI79+AH80-AQ79,IF(A80&lt;'Données projet'!$A$62,$AF$205^A80,IF(A80='Données projet'!$A$62,'Données projet'!$B$62,AI79+AH80-AQ79)))</f>
        <v>285.99999999999977</v>
      </c>
      <c r="AJ80" s="14">
        <f>AI80*VLOOKUP('Données projet'!$B$10,Paramètres!$A$1:$I$89,3,0)*VLOOKUP('Données projet'!$B$10,Paramètres!$A$1:$I$89,5,0)</f>
        <v>209.6951999999998</v>
      </c>
      <c r="AK80" s="14">
        <f t="shared" si="89"/>
        <v>51.868973600145566</v>
      </c>
      <c r="AL80" s="22">
        <f t="shared" si="58"/>
        <v>455.55760235358645</v>
      </c>
      <c r="AM80" s="62">
        <f t="shared" si="59"/>
        <v>748.89093568691976</v>
      </c>
      <c r="AN80" s="62">
        <f ca="1">AVERAGE(OFFSET($AM$3,0,0,'Données projet'!$E$10+1,1))-AVERAGE(OFFSET($H$3,0,0,'Données projet'!$E$10+1,1))</f>
        <v>215.66498680344858</v>
      </c>
      <c r="AO80" s="62">
        <f t="shared" si="90"/>
        <v>199.86715787211114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-5.6843418860808015E-14</v>
      </c>
      <c r="BE80" s="14">
        <f>BD80*VLOOKUP('Données projet'!$B$11,Paramètres!$A$1:$I$89,3,0)*VLOOKUP('Données projet'!$B$11,Paramètres!$A$1:$I$89,5,0)</f>
        <v>-3.3992364478763198E-14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155.11440101086782</v>
      </c>
      <c r="BJ80" s="62">
        <f t="shared" si="92"/>
        <v>239.53454701506638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5.3207855282306227</v>
      </c>
      <c r="BQ80" s="23">
        <f>EXP(-LN(2)/25)*BQ79+(1-EXP(-LN(2)/25))/(LN(2)/25)*Calculateur!BL80*Calculateur!BN80*VLOOKUP('Données projet'!$B$11,Paramètres!$A$1:$I$89,3,0)*0.475*44/12</f>
        <v>1.9675434082880754</v>
      </c>
      <c r="BR80" s="23">
        <f>EXP(-LN(2)/2)*BR79+(1-EXP(-LN(2)/2))/(LN(2)/2)*BL80*BO80*VLOOKUP('Données projet'!$B$11,Paramètres!$A$1:$I$89,3,0)*0.475*44/12</f>
        <v>2.4857731409241179E-7</v>
      </c>
      <c r="BS80" s="24">
        <f t="shared" si="63"/>
        <v>7.2883291850960124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-5.6843418860808015E-14</v>
      </c>
      <c r="BZ80" s="14">
        <f>BY80*VLOOKUP('Données projet'!$B$12,Paramètres!$A$1:$I$89,3,0)*VLOOKUP('Données projet'!$B$12,Paramètres!$A$1:$I$89,5,0)</f>
        <v>-3.3992364478763198E-14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155.11440101086782</v>
      </c>
      <c r="CE80" s="62">
        <f t="shared" si="94"/>
        <v>239.53454701506638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5.3207855282306227</v>
      </c>
      <c r="CL80" s="23">
        <f>EXP(-LN(2)/25)*CL79+(1-EXP(-LN(2)/25))/(LN(2)/25)*Calculateur!CG80*Calculateur!CI80*VLOOKUP('Données projet'!$B$12,Paramètres!$A$1:$I$89,3,0)*0.475*44/12</f>
        <v>1.9675434082880754</v>
      </c>
      <c r="CM80" s="23">
        <f>EXP(-LN(2)/2)*CM79+(1-EXP(-LN(2)/2))/(LN(2)/2)*CG80*CJ80*VLOOKUP('Données projet'!$B$12,Paramètres!$A$1:$I$89,3,0)*0.475*44/12</f>
        <v>2.4857731409241179E-7</v>
      </c>
      <c r="CN80" s="24">
        <f t="shared" si="66"/>
        <v>7.2883291850960124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-1.1368683772161603E-13</v>
      </c>
      <c r="CU80" s="18">
        <f>CT80*VLOOKUP('Données projet'!$B$13,Paramètres!$A$1:$I$89,3,0)*VLOOKUP('Données projet'!$B$13,Paramètres!$A$1:$I$89,5,0)</f>
        <v>-9.2222762759774927E-14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191.03017979797141</v>
      </c>
      <c r="CZ80" s="62">
        <f t="shared" si="96"/>
        <v>222.78252111624278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3.974358974358978</v>
      </c>
      <c r="DO80" s="13">
        <f>IF('Données projet'!$A$166&gt;35,DO79+DN80-DW79,IF(A80&lt;'Données projet'!$A$166,$DL$205^A80,IF(A80='Données projet'!$A$166,'Données projet'!$B$166,DO79+DN80-DW79)))</f>
        <v>215.64102564102558</v>
      </c>
      <c r="DP80" s="18">
        <f>DO80*VLOOKUP('Données projet'!$B$14,Paramètres!$A$1:$I$89,3,0)*VLOOKUP('Données projet'!$B$14,Paramètres!$A$1:$I$89,5,0)</f>
        <v>205.20399999999995</v>
      </c>
      <c r="DQ80" s="14">
        <f t="shared" si="97"/>
        <v>50.886134008708602</v>
      </c>
      <c r="DR80" s="22">
        <f t="shared" si="70"/>
        <v>446.02365006516737</v>
      </c>
      <c r="DS80" s="62">
        <f t="shared" si="71"/>
        <v>739.35698339850069</v>
      </c>
      <c r="DT80" s="62">
        <f ca="1">AVERAGE(OFFSET($DS$3,0,0,'Données projet'!$E$14+1,1))-AVERAGE(OFFSET($H$3,0,0,'Données projet'!$E$14+1,1))</f>
        <v>260.93525280373063</v>
      </c>
      <c r="DU80" s="62">
        <f t="shared" si="98"/>
        <v>206.83968452163816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1.5783333333333318</v>
      </c>
      <c r="EJ80" s="13">
        <f>IF('Données projet'!$A$192&gt;35,EJ79+EI80-ER79,IF(A80&lt;'Données projet'!$A$192,$EG$205^A80,IF(A80='Données projet'!$A$192,'Données projet'!$B$192,EJ79+EI80-ER79)))</f>
        <v>95.410833333333272</v>
      </c>
      <c r="EK80" s="18">
        <f>EJ80*VLOOKUP('Données projet'!$B$15,Paramètres!$A$1:$I$89,3,0)*VLOOKUP('Données projet'!$B$15,Paramètres!$A$1:$I$89,5,0)</f>
        <v>109.91327999999992</v>
      </c>
      <c r="EL80" s="14">
        <f t="shared" si="99"/>
        <v>29.310551726420417</v>
      </c>
      <c r="EM80" s="22">
        <f t="shared" si="73"/>
        <v>242.48150692351541</v>
      </c>
      <c r="EN80" s="62">
        <f t="shared" si="74"/>
        <v>535.8148402568487</v>
      </c>
      <c r="EO80" s="62">
        <f ca="1">AVERAGE(OFFSET($EN$3,0,0,'Données projet'!$E$15+1,1))-AVERAGE(OFFSET($H$3,0,0,'Données projet'!$E$15+1,1))</f>
        <v>118.01099353898547</v>
      </c>
      <c r="EP80" s="62">
        <f t="shared" si="100"/>
        <v>103.17146760845947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6</v>
      </c>
      <c r="FE80" s="13">
        <f>IF('Données projet'!$A$218&gt;35,FE79+FD80-FM79,IF(A80&lt;'Données projet'!$A$218,$FB$205^A80,IF(A80='Données projet'!$A$218,'Données projet'!$B$218,FE79+FD80-FM79)))</f>
        <v>263.99999999999989</v>
      </c>
      <c r="FF80" s="18">
        <f>FE80*VLOOKUP('Données projet'!$B$16,Paramètres!$A$1:$I$89,3,0)*VLOOKUP('Données projet'!$B$16,Paramètres!$A$1:$I$89,5,0)</f>
        <v>263.5775999999999</v>
      </c>
      <c r="FG80" s="14">
        <f t="shared" si="101"/>
        <v>63.484370092414963</v>
      </c>
      <c r="FH80" s="22">
        <f t="shared" si="76"/>
        <v>569.63293124428924</v>
      </c>
      <c r="FI80" s="62">
        <f t="shared" si="77"/>
        <v>862.9662645776225</v>
      </c>
      <c r="FJ80" s="62">
        <f ca="1">AVERAGE(OFFSET($FI$3,0,0,'Données projet'!$E$16+1,1))-AVERAGE(OFFSET($H$3,0,0,'Données projet'!$E$16+1,1))</f>
        <v>343.71044073996887</v>
      </c>
      <c r="FK80" s="62">
        <f t="shared" si="102"/>
        <v>193.51732627292375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269.99999999999989</v>
      </c>
      <c r="O81" s="14">
        <f>N81*VLOOKUP('Données projet'!$B$9,Paramètres!$A$1:$I$89,3,0)*VLOOKUP('Données projet'!$B$9,Paramètres!$A$1:$I$89,5,0)</f>
        <v>244.29599999999991</v>
      </c>
      <c r="P81" s="14">
        <f t="shared" si="87"/>
        <v>59.362879241040318</v>
      </c>
      <c r="Q81" s="22">
        <f t="shared" si="54"/>
        <v>528.87254801147833</v>
      </c>
      <c r="R81" s="62">
        <f t="shared" si="55"/>
        <v>822.20588134481159</v>
      </c>
      <c r="S81" s="62">
        <f ca="1">AVERAGE(OFFSET($R$3,0,0,'Données projet'!$E$9+1,1))-AVERAGE(OFFSET($H$3,0,0,'Données projet'!$E$9+1,1))</f>
        <v>303.73499739059076</v>
      </c>
      <c r="T81" s="62">
        <f t="shared" si="88"/>
        <v>172.32171001882188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</v>
      </c>
      <c r="AI81" s="14">
        <f>IF('Données projet'!$A$62&gt;35,AI80+AH81-AQ80,IF(A81&lt;'Données projet'!$A$62,$AF$205^A81,IF(A81='Données projet'!$A$62,'Données projet'!$B$62,AI80+AH81-AQ80)))</f>
        <v>288.99999999999977</v>
      </c>
      <c r="AJ81" s="14">
        <f>AI81*VLOOKUP('Données projet'!$B$10,Paramètres!$A$1:$I$89,3,0)*VLOOKUP('Données projet'!$B$10,Paramètres!$A$1:$I$89,5,0)</f>
        <v>211.89479999999986</v>
      </c>
      <c r="AK81" s="14">
        <f t="shared" si="89"/>
        <v>52.349430461175899</v>
      </c>
      <c r="AL81" s="22">
        <f t="shared" si="58"/>
        <v>460.22536805321442</v>
      </c>
      <c r="AM81" s="62">
        <f t="shared" si="59"/>
        <v>753.55870138654768</v>
      </c>
      <c r="AN81" s="62">
        <f ca="1">AVERAGE(OFFSET($AM$3,0,0,'Données projet'!$E$10+1,1))-AVERAGE(OFFSET($H$3,0,0,'Données projet'!$E$10+1,1))</f>
        <v>215.66498680344858</v>
      </c>
      <c r="AO81" s="62">
        <f t="shared" si="90"/>
        <v>199.86715787211114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-5.6843418860808015E-14</v>
      </c>
      <c r="BE81" s="14">
        <f>BD81*VLOOKUP('Données projet'!$B$11,Paramètres!$A$1:$I$89,3,0)*VLOOKUP('Données projet'!$B$11,Paramètres!$A$1:$I$89,5,0)</f>
        <v>-3.3992364478763198E-14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155.11440101086782</v>
      </c>
      <c r="BJ81" s="62">
        <f t="shared" si="92"/>
        <v>239.53454701506638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5.2164481693807394</v>
      </c>
      <c r="BQ81" s="23">
        <f>EXP(-LN(2)/25)*BQ80+(1-EXP(-LN(2)/25))/(LN(2)/25)*Calculateur!BL81*Calculateur!BN81*VLOOKUP('Données projet'!$B$11,Paramètres!$A$1:$I$89,3,0)*0.475*44/12</f>
        <v>1.9137408303198271</v>
      </c>
      <c r="BR81" s="23">
        <f>EXP(-LN(2)/2)*BR80+(1-EXP(-LN(2)/2))/(LN(2)/2)*BL81*BO81*VLOOKUP('Données projet'!$B$11,Paramètres!$A$1:$I$89,3,0)*0.475*44/12</f>
        <v>1.7577070444388272E-7</v>
      </c>
      <c r="BS81" s="24">
        <f t="shared" si="63"/>
        <v>7.130189175471271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-5.6843418860808015E-14</v>
      </c>
      <c r="BZ81" s="14">
        <f>BY81*VLOOKUP('Données projet'!$B$12,Paramètres!$A$1:$I$89,3,0)*VLOOKUP('Données projet'!$B$12,Paramètres!$A$1:$I$89,5,0)</f>
        <v>-3.3992364478763198E-14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155.11440101086782</v>
      </c>
      <c r="CE81" s="62">
        <f t="shared" si="94"/>
        <v>239.53454701506638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5.2164481693807394</v>
      </c>
      <c r="CL81" s="23">
        <f>EXP(-LN(2)/25)*CL80+(1-EXP(-LN(2)/25))/(LN(2)/25)*Calculateur!CG81*Calculateur!CI81*VLOOKUP('Données projet'!$B$12,Paramètres!$A$1:$I$89,3,0)*0.475*44/12</f>
        <v>1.9137408303198271</v>
      </c>
      <c r="CM81" s="23">
        <f>EXP(-LN(2)/2)*CM80+(1-EXP(-LN(2)/2))/(LN(2)/2)*CG81*CJ81*VLOOKUP('Données projet'!$B$12,Paramètres!$A$1:$I$89,3,0)*0.475*44/12</f>
        <v>1.7577070444388272E-7</v>
      </c>
      <c r="CN81" s="24">
        <f t="shared" si="66"/>
        <v>7.130189175471271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-1.1368683772161603E-13</v>
      </c>
      <c r="CU81" s="18">
        <f>CT81*VLOOKUP('Données projet'!$B$13,Paramètres!$A$1:$I$89,3,0)*VLOOKUP('Données projet'!$B$13,Paramètres!$A$1:$I$89,5,0)</f>
        <v>-9.2222762759774927E-14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191.03017979797141</v>
      </c>
      <c r="CZ81" s="62">
        <f t="shared" si="96"/>
        <v>222.78252111624278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3.974358974358978</v>
      </c>
      <c r="DO81" s="13">
        <f>IF('Données projet'!$A$166&gt;35,DO80+DN81-DW80,IF(A81&lt;'Données projet'!$A$166,$DL$205^A81,IF(A81='Données projet'!$A$166,'Données projet'!$B$166,DO80+DN81-DW80)))</f>
        <v>219.61538461538456</v>
      </c>
      <c r="DP81" s="18">
        <f>DO81*VLOOKUP('Données projet'!$B$14,Paramètres!$A$1:$I$89,3,0)*VLOOKUP('Données projet'!$B$14,Paramètres!$A$1:$I$89,5,0)</f>
        <v>208.98599999999996</v>
      </c>
      <c r="DQ81" s="14">
        <f t="shared" si="97"/>
        <v>51.713938803941488</v>
      </c>
      <c r="DR81" s="22">
        <f t="shared" si="70"/>
        <v>454.05239341686462</v>
      </c>
      <c r="DS81" s="62">
        <f t="shared" si="71"/>
        <v>747.38572675019793</v>
      </c>
      <c r="DT81" s="62">
        <f ca="1">AVERAGE(OFFSET($DS$3,0,0,'Données projet'!$E$14+1,1))-AVERAGE(OFFSET($H$3,0,0,'Données projet'!$E$14+1,1))</f>
        <v>260.93525280373063</v>
      </c>
      <c r="DU81" s="62">
        <f t="shared" si="98"/>
        <v>206.83968452163816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1.5783333333333318</v>
      </c>
      <c r="EJ81" s="13">
        <f>IF('Données projet'!$A$192&gt;35,EJ80+EI81-ER80,IF(A81&lt;'Données projet'!$A$192,$EG$205^A81,IF(A81='Données projet'!$A$192,'Données projet'!$B$192,EJ80+EI81-ER80)))</f>
        <v>96.989166666666605</v>
      </c>
      <c r="EK81" s="18">
        <f>EJ81*VLOOKUP('Données projet'!$B$15,Paramètres!$A$1:$I$89,3,0)*VLOOKUP('Données projet'!$B$15,Paramètres!$A$1:$I$89,5,0)</f>
        <v>111.73151999999993</v>
      </c>
      <c r="EL81" s="14">
        <f t="shared" si="99"/>
        <v>29.738572616522461</v>
      </c>
      <c r="EM81" s="22">
        <f t="shared" si="73"/>
        <v>246.39374464044309</v>
      </c>
      <c r="EN81" s="62">
        <f t="shared" si="74"/>
        <v>539.72707797377643</v>
      </c>
      <c r="EO81" s="62">
        <f ca="1">AVERAGE(OFFSET($EN$3,0,0,'Données projet'!$E$15+1,1))-AVERAGE(OFFSET($H$3,0,0,'Données projet'!$E$15+1,1))</f>
        <v>118.01099353898547</v>
      </c>
      <c r="EP81" s="62">
        <f t="shared" si="100"/>
        <v>103.17146760845947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6</v>
      </c>
      <c r="FE81" s="13">
        <f>IF('Données projet'!$A$218&gt;35,FE80+FD81-FM80,IF(A81&lt;'Données projet'!$A$218,$FB$205^A81,IF(A81='Données projet'!$A$218,'Données projet'!$B$218,FE80+FD81-FM80)))</f>
        <v>269.99999999999989</v>
      </c>
      <c r="FF81" s="18">
        <f>FE81*VLOOKUP('Données projet'!$B$16,Paramètres!$A$1:$I$89,3,0)*VLOOKUP('Données projet'!$B$16,Paramètres!$A$1:$I$89,5,0)</f>
        <v>269.56799999999987</v>
      </c>
      <c r="FG81" s="14">
        <f t="shared" si="101"/>
        <v>64.757579442439805</v>
      </c>
      <c r="FH81" s="22">
        <f t="shared" si="76"/>
        <v>582.28371752891576</v>
      </c>
      <c r="FI81" s="62">
        <f t="shared" si="77"/>
        <v>875.61705086224902</v>
      </c>
      <c r="FJ81" s="62">
        <f ca="1">AVERAGE(OFFSET($FI$3,0,0,'Données projet'!$E$16+1,1))-AVERAGE(OFFSET($H$3,0,0,'Données projet'!$E$16+1,1))</f>
        <v>343.71044073996887</v>
      </c>
      <c r="FK81" s="62">
        <f t="shared" si="102"/>
        <v>193.51732627292375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275.99999999999989</v>
      </c>
      <c r="O82" s="14">
        <f>N82*VLOOKUP('Données projet'!$B$9,Paramètres!$A$1:$I$89,3,0)*VLOOKUP('Données projet'!$B$9,Paramètres!$A$1:$I$89,5,0)</f>
        <v>249.7247999999999</v>
      </c>
      <c r="P82" s="14">
        <f t="shared" si="87"/>
        <v>60.527007137298092</v>
      </c>
      <c r="Q82" s="22">
        <f t="shared" si="54"/>
        <v>540.35523076412733</v>
      </c>
      <c r="R82" s="62">
        <f t="shared" si="55"/>
        <v>833.68856409746058</v>
      </c>
      <c r="S82" s="62">
        <f ca="1">AVERAGE(OFFSET($R$3,0,0,'Données projet'!$E$9+1,1))-AVERAGE(OFFSET($H$3,0,0,'Données projet'!$E$9+1,1))</f>
        <v>303.73499739059076</v>
      </c>
      <c r="T82" s="62">
        <f t="shared" si="88"/>
        <v>172.32171001882188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</v>
      </c>
      <c r="AI82" s="14">
        <f>IF('Données projet'!$A$62&gt;35,AI81+AH82-AQ81,IF(A82&lt;'Données projet'!$A$62,$AF$205^A82,IF(A82='Données projet'!$A$62,'Données projet'!$B$62,AI81+AH82-AQ81)))</f>
        <v>291.99999999999977</v>
      </c>
      <c r="AJ82" s="14">
        <f>AI82*VLOOKUP('Données projet'!$B$10,Paramètres!$A$1:$I$89,3,0)*VLOOKUP('Données projet'!$B$10,Paramètres!$A$1:$I$89,5,0)</f>
        <v>214.09439999999984</v>
      </c>
      <c r="AK82" s="14">
        <f t="shared" si="89"/>
        <v>52.829307123591867</v>
      </c>
      <c r="AL82" s="22">
        <f t="shared" si="58"/>
        <v>464.89212324025556</v>
      </c>
      <c r="AM82" s="62">
        <f t="shared" si="59"/>
        <v>758.22545657358887</v>
      </c>
      <c r="AN82" s="62">
        <f ca="1">AVERAGE(OFFSET($AM$3,0,0,'Données projet'!$E$10+1,1))-AVERAGE(OFFSET($H$3,0,0,'Données projet'!$E$10+1,1))</f>
        <v>215.66498680344858</v>
      </c>
      <c r="AO82" s="62">
        <f t="shared" si="90"/>
        <v>199.86715787211114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-5.6843418860808015E-14</v>
      </c>
      <c r="BE82" s="14">
        <f>BD82*VLOOKUP('Données projet'!$B$11,Paramètres!$A$1:$I$89,3,0)*VLOOKUP('Données projet'!$B$11,Paramètres!$A$1:$I$89,5,0)</f>
        <v>-3.3992364478763198E-14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155.11440101086782</v>
      </c>
      <c r="BJ82" s="62">
        <f t="shared" si="92"/>
        <v>239.53454701506638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5.1141568024983979</v>
      </c>
      <c r="BQ82" s="23">
        <f>EXP(-LN(2)/25)*BQ81+(1-EXP(-LN(2)/25))/(LN(2)/25)*Calculateur!BL82*Calculateur!BN82*VLOOKUP('Données projet'!$B$11,Paramètres!$A$1:$I$89,3,0)*0.475*44/12</f>
        <v>1.8614094866754751</v>
      </c>
      <c r="BR82" s="23">
        <f>EXP(-LN(2)/2)*BR81+(1-EXP(-LN(2)/2))/(LN(2)/2)*BL82*BO82*VLOOKUP('Données projet'!$B$11,Paramètres!$A$1:$I$89,3,0)*0.475*44/12</f>
        <v>1.2428865704620589E-7</v>
      </c>
      <c r="BS82" s="24">
        <f t="shared" si="63"/>
        <v>6.9755664134625297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-5.6843418860808015E-14</v>
      </c>
      <c r="BZ82" s="14">
        <f>BY82*VLOOKUP('Données projet'!$B$12,Paramètres!$A$1:$I$89,3,0)*VLOOKUP('Données projet'!$B$12,Paramètres!$A$1:$I$89,5,0)</f>
        <v>-3.3992364478763198E-14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155.11440101086782</v>
      </c>
      <c r="CE82" s="62">
        <f t="shared" si="94"/>
        <v>239.53454701506638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5.1141568024983979</v>
      </c>
      <c r="CL82" s="23">
        <f>EXP(-LN(2)/25)*CL81+(1-EXP(-LN(2)/25))/(LN(2)/25)*Calculateur!CG82*Calculateur!CI82*VLOOKUP('Données projet'!$B$12,Paramètres!$A$1:$I$89,3,0)*0.475*44/12</f>
        <v>1.8614094866754751</v>
      </c>
      <c r="CM82" s="23">
        <f>EXP(-LN(2)/2)*CM81+(1-EXP(-LN(2)/2))/(LN(2)/2)*CG82*CJ82*VLOOKUP('Données projet'!$B$12,Paramètres!$A$1:$I$89,3,0)*0.475*44/12</f>
        <v>1.2428865704620589E-7</v>
      </c>
      <c r="CN82" s="24">
        <f t="shared" si="66"/>
        <v>6.9755664134625297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-1.1368683772161603E-13</v>
      </c>
      <c r="CU82" s="18">
        <f>CT82*VLOOKUP('Données projet'!$B$13,Paramètres!$A$1:$I$89,3,0)*VLOOKUP('Données projet'!$B$13,Paramètres!$A$1:$I$89,5,0)</f>
        <v>-9.2222762759774927E-14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191.03017979797141</v>
      </c>
      <c r="CZ82" s="62">
        <f t="shared" si="96"/>
        <v>222.78252111624278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3.974358974358978</v>
      </c>
      <c r="DO82" s="13">
        <f>IF('Données projet'!$A$166&gt;35,DO81+DN82-DW81,IF(A82&lt;'Données projet'!$A$166,$DL$205^A82,IF(A82='Données projet'!$A$166,'Données projet'!$B$166,DO81+DN82-DW81)))</f>
        <v>223.58974358974353</v>
      </c>
      <c r="DP82" s="18">
        <f>DO82*VLOOKUP('Données projet'!$B$14,Paramètres!$A$1:$I$89,3,0)*VLOOKUP('Données projet'!$B$14,Paramètres!$A$1:$I$89,5,0)</f>
        <v>212.76799999999994</v>
      </c>
      <c r="DQ82" s="14">
        <f t="shared" si="97"/>
        <v>52.540001579827234</v>
      </c>
      <c r="DR82" s="22">
        <f t="shared" si="70"/>
        <v>462.0781027515323</v>
      </c>
      <c r="DS82" s="62">
        <f t="shared" si="71"/>
        <v>755.41143608486561</v>
      </c>
      <c r="DT82" s="62">
        <f ca="1">AVERAGE(OFFSET($DS$3,0,0,'Données projet'!$E$14+1,1))-AVERAGE(OFFSET($H$3,0,0,'Données projet'!$E$14+1,1))</f>
        <v>260.93525280373063</v>
      </c>
      <c r="DU82" s="62">
        <f t="shared" si="98"/>
        <v>206.83968452163816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1.5783333333333318</v>
      </c>
      <c r="EJ82" s="13">
        <f>IF('Données projet'!$A$192&gt;35,EJ81+EI82-ER81,IF(A82&lt;'Données projet'!$A$192,$EG$205^A82,IF(A82='Données projet'!$A$192,'Données projet'!$B$192,EJ81+EI82-ER81)))</f>
        <v>98.567499999999939</v>
      </c>
      <c r="EK82" s="18">
        <f>EJ82*VLOOKUP('Données projet'!$B$15,Paramètres!$A$1:$I$89,3,0)*VLOOKUP('Données projet'!$B$15,Paramètres!$A$1:$I$89,5,0)</f>
        <v>113.54975999999992</v>
      </c>
      <c r="EL82" s="14">
        <f t="shared" si="99"/>
        <v>30.165783474102916</v>
      </c>
      <c r="EM82" s="22">
        <f t="shared" si="73"/>
        <v>250.30457155072909</v>
      </c>
      <c r="EN82" s="62">
        <f t="shared" si="74"/>
        <v>543.63790488406244</v>
      </c>
      <c r="EO82" s="62">
        <f ca="1">AVERAGE(OFFSET($EN$3,0,0,'Données projet'!$E$15+1,1))-AVERAGE(OFFSET($H$3,0,0,'Données projet'!$E$15+1,1))</f>
        <v>118.01099353898547</v>
      </c>
      <c r="EP82" s="62">
        <f t="shared" si="100"/>
        <v>103.17146760845947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6</v>
      </c>
      <c r="FE82" s="13">
        <f>IF('Données projet'!$A$218&gt;35,FE81+FD82-FM81,IF(A82&lt;'Données projet'!$A$218,$FB$205^A82,IF(A82='Données projet'!$A$218,'Données projet'!$B$218,FE81+FD82-FM81)))</f>
        <v>275.99999999999989</v>
      </c>
      <c r="FF82" s="18">
        <f>FE82*VLOOKUP('Données projet'!$B$16,Paramètres!$A$1:$I$89,3,0)*VLOOKUP('Données projet'!$B$16,Paramètres!$A$1:$I$89,5,0)</f>
        <v>275.55839999999989</v>
      </c>
      <c r="FG82" s="14">
        <f t="shared" si="101"/>
        <v>66.027499393878998</v>
      </c>
      <c r="FH82" s="22">
        <f t="shared" si="76"/>
        <v>594.9287747776724</v>
      </c>
      <c r="FI82" s="62">
        <f t="shared" si="77"/>
        <v>888.26210811100577</v>
      </c>
      <c r="FJ82" s="62">
        <f ca="1">AVERAGE(OFFSET($FI$3,0,0,'Données projet'!$E$16+1,1))-AVERAGE(OFFSET($H$3,0,0,'Données projet'!$E$16+1,1))</f>
        <v>343.71044073996887</v>
      </c>
      <c r="FK82" s="62">
        <f t="shared" si="102"/>
        <v>193.51732627292375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281.99999999999989</v>
      </c>
      <c r="O83" s="14">
        <f>N83*VLOOKUP('Données projet'!$B$9,Paramètres!$A$1:$I$89,3,0)*VLOOKUP('Données projet'!$B$9,Paramètres!$A$1:$I$89,5,0)</f>
        <v>255.15359999999987</v>
      </c>
      <c r="P83" s="14">
        <f t="shared" si="87"/>
        <v>61.688192762754376</v>
      </c>
      <c r="Q83" s="22">
        <f t="shared" si="54"/>
        <v>551.83278906179692</v>
      </c>
      <c r="R83" s="62">
        <f t="shared" si="55"/>
        <v>845.16612239513029</v>
      </c>
      <c r="S83" s="62">
        <f ca="1">AVERAGE(OFFSET($R$3,0,0,'Données projet'!$E$9+1,1))-AVERAGE(OFFSET($H$3,0,0,'Données projet'!$E$9+1,1))</f>
        <v>303.73499739059076</v>
      </c>
      <c r="T83" s="62">
        <f t="shared" si="88"/>
        <v>172.32171001882188</v>
      </c>
      <c r="U83" s="16">
        <f>IF(ISNA(VLOOKUP(A83,'Données projet'!$A$35:$I$55,3,0)),0,VLOOKUP(A83,'Données projet'!$A$35:$I$55,3,0))</f>
        <v>6</v>
      </c>
      <c r="V83" s="16">
        <f>IF(ISNA(VLOOKUP(A83,'Données projet'!$A$35:$I$55,4,0)),0,VLOOKUP(A83,'Données projet'!$A$35:$I$55,4,0))</f>
        <v>42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295</v>
      </c>
      <c r="AG83" s="13">
        <f>VLOOKUP(A83,'Données projet'!$A$61:$I$81,9,0)</f>
        <v>3</v>
      </c>
      <c r="AH83" s="13">
        <f t="array" ref="AH83">INDEX(AG:AG,MIN(IF(ISNUMBER(AG83:AG279),ROW(AG83:AG279),"")))</f>
        <v>3</v>
      </c>
      <c r="AI83" s="14">
        <f>IF('Données projet'!$A$62&gt;35,AI82+AH83-AQ82,IF(A83&lt;'Données projet'!$A$62,$AF$205^A83,IF(A83='Données projet'!$A$62,'Données projet'!$B$62,AI82+AH83-AQ82)))</f>
        <v>294.99999999999977</v>
      </c>
      <c r="AJ83" s="14">
        <f>AI83*VLOOKUP('Données projet'!$B$10,Paramètres!$A$1:$I$89,3,0)*VLOOKUP('Données projet'!$B$10,Paramètres!$A$1:$I$89,5,0)</f>
        <v>216.29399999999984</v>
      </c>
      <c r="AK83" s="14">
        <f t="shared" si="89"/>
        <v>53.308610238449582</v>
      </c>
      <c r="AL83" s="22">
        <f t="shared" si="58"/>
        <v>469.5578794986327</v>
      </c>
      <c r="AM83" s="62">
        <f t="shared" si="59"/>
        <v>762.89121283196596</v>
      </c>
      <c r="AN83" s="62">
        <f ca="1">AVERAGE(OFFSET($AM$3,0,0,'Données projet'!$E$10+1,1))-AVERAGE(OFFSET($H$3,0,0,'Données projet'!$E$10+1,1))</f>
        <v>215.66498680344858</v>
      </c>
      <c r="AO83" s="62">
        <f t="shared" si="90"/>
        <v>199.86715787211114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295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-5.6843418860808015E-14</v>
      </c>
      <c r="BE83" s="14">
        <f>BD83*VLOOKUP('Données projet'!$B$11,Paramètres!$A$1:$I$89,3,0)*VLOOKUP('Données projet'!$B$11,Paramètres!$A$1:$I$89,5,0)</f>
        <v>-3.3992364478763198E-14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155.11440101086782</v>
      </c>
      <c r="BJ83" s="62">
        <f t="shared" si="92"/>
        <v>239.53454701506638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5.0138713069290457</v>
      </c>
      <c r="BQ83" s="23">
        <f>EXP(-LN(2)/25)*BQ82+(1-EXP(-LN(2)/25))/(LN(2)/25)*Calculateur!BL83*Calculateur!BN83*VLOOKUP('Données projet'!$B$11,Paramètres!$A$1:$I$89,3,0)*0.475*44/12</f>
        <v>1.8105091463750635</v>
      </c>
      <c r="BR83" s="23">
        <f>EXP(-LN(2)/2)*BR82+(1-EXP(-LN(2)/2))/(LN(2)/2)*BL83*BO83*VLOOKUP('Données projet'!$B$11,Paramètres!$A$1:$I$89,3,0)*0.475*44/12</f>
        <v>8.7885352221941362E-8</v>
      </c>
      <c r="BS83" s="24">
        <f t="shared" si="63"/>
        <v>6.8243805411894618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-5.6843418860808015E-14</v>
      </c>
      <c r="BZ83" s="14">
        <f>BY83*VLOOKUP('Données projet'!$B$12,Paramètres!$A$1:$I$89,3,0)*VLOOKUP('Données projet'!$B$12,Paramètres!$A$1:$I$89,5,0)</f>
        <v>-3.3992364478763198E-14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155.11440101086782</v>
      </c>
      <c r="CE83" s="62">
        <f t="shared" si="94"/>
        <v>239.53454701506638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5.0138713069290457</v>
      </c>
      <c r="CL83" s="23">
        <f>EXP(-LN(2)/25)*CL82+(1-EXP(-LN(2)/25))/(LN(2)/25)*Calculateur!CG83*Calculateur!CI83*VLOOKUP('Données projet'!$B$12,Paramètres!$A$1:$I$89,3,0)*0.475*44/12</f>
        <v>1.8105091463750635</v>
      </c>
      <c r="CM83" s="23">
        <f>EXP(-LN(2)/2)*CM82+(1-EXP(-LN(2)/2))/(LN(2)/2)*CG83*CJ83*VLOOKUP('Données projet'!$B$12,Paramètres!$A$1:$I$89,3,0)*0.475*44/12</f>
        <v>8.7885352221941362E-8</v>
      </c>
      <c r="CN83" s="24">
        <f t="shared" si="66"/>
        <v>6.8243805411894618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-1.1368683772161603E-13</v>
      </c>
      <c r="CU83" s="18">
        <f>CT83*VLOOKUP('Données projet'!$B$13,Paramètres!$A$1:$I$89,3,0)*VLOOKUP('Données projet'!$B$13,Paramètres!$A$1:$I$89,5,0)</f>
        <v>-9.2222762759774927E-14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191.03017979797141</v>
      </c>
      <c r="CZ83" s="62">
        <f t="shared" si="96"/>
        <v>222.78252111624278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227.56410256410257</v>
      </c>
      <c r="DM83" s="13">
        <f>VLOOKUP(A83,'Données projet'!$A$165:$I$185,9,0)</f>
        <v>3.974358974358978</v>
      </c>
      <c r="DN83" s="13">
        <f t="array" ref="DN83">INDEX(DM:DM,MIN(IF(ISNUMBER(DM83:DM279),ROW(DM83:DM279),"")))</f>
        <v>3.974358974358978</v>
      </c>
      <c r="DO83" s="13">
        <f>IF('Données projet'!$A$166&gt;35,DO82+DN83-DW82,IF(A83&lt;'Données projet'!$A$166,$DL$205^A83,IF(A83='Données projet'!$A$166,'Données projet'!$B$166,DO82+DN83-DW82)))</f>
        <v>227.56410256410251</v>
      </c>
      <c r="DP83" s="18">
        <f>DO83*VLOOKUP('Données projet'!$B$14,Paramètres!$A$1:$I$89,3,0)*VLOOKUP('Données projet'!$B$14,Paramètres!$A$1:$I$89,5,0)</f>
        <v>216.54999999999998</v>
      </c>
      <c r="DQ83" s="14">
        <f t="shared" si="97"/>
        <v>53.364356873390378</v>
      </c>
      <c r="DR83" s="22">
        <f t="shared" si="70"/>
        <v>470.1008382211549</v>
      </c>
      <c r="DS83" s="62">
        <f t="shared" si="71"/>
        <v>763.43417155448822</v>
      </c>
      <c r="DT83" s="62">
        <f ca="1">AVERAGE(OFFSET($DS$3,0,0,'Données projet'!$E$14+1,1))-AVERAGE(OFFSET($H$3,0,0,'Données projet'!$E$14+1,1))</f>
        <v>260.93525280373063</v>
      </c>
      <c r="DU83" s="62">
        <f t="shared" si="98"/>
        <v>206.83968452163816</v>
      </c>
      <c r="DV83" s="16">
        <f>IF(ISNA(VLOOKUP(A83,'Données projet'!$A$165:$I$185,3,0)),0,VLOOKUP(A83,'Données projet'!$A$165:$I$185,3,0))</f>
        <v>7</v>
      </c>
      <c r="DW83" s="16">
        <f>IF(ISNA(VLOOKUP(A83,'Données projet'!$A$165:$I$185,4,0)),0,VLOOKUP(A83,'Données projet'!$A$165:$I$185,4,0))</f>
        <v>27.564102564102562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100.14583333333333</v>
      </c>
      <c r="EH83" s="13">
        <f>VLOOKUP(A83,'Données projet'!$A$191:$I$211,9,0)</f>
        <v>1.5783333333333318</v>
      </c>
      <c r="EI83" s="13">
        <f t="array" ref="EI83">INDEX(EH:EH,MIN(IF(ISNUMBER(EH83:EH279),ROW(EH83:EH279),"")))</f>
        <v>1.5783333333333318</v>
      </c>
      <c r="EJ83" s="13">
        <f>IF('Données projet'!$A$192&gt;35,EJ82+EI83-ER82,IF(A83&lt;'Données projet'!$A$192,$EG$205^A83,IF(A83='Données projet'!$A$192,'Données projet'!$B$192,EJ82+EI83-ER82)))</f>
        <v>100.14583333333327</v>
      </c>
      <c r="EK83" s="18">
        <f>EJ83*VLOOKUP('Données projet'!$B$15,Paramètres!$A$1:$I$89,3,0)*VLOOKUP('Données projet'!$B$15,Paramètres!$A$1:$I$89,5,0)</f>
        <v>115.36799999999992</v>
      </c>
      <c r="EL83" s="14">
        <f t="shared" si="99"/>
        <v>30.592198767544506</v>
      </c>
      <c r="EM83" s="22">
        <f t="shared" si="73"/>
        <v>254.21401285347324</v>
      </c>
      <c r="EN83" s="62">
        <f t="shared" si="74"/>
        <v>547.54734618680652</v>
      </c>
      <c r="EO83" s="62">
        <f ca="1">AVERAGE(OFFSET($EN$3,0,0,'Données projet'!$E$15+1,1))-AVERAGE(OFFSET($H$3,0,0,'Données projet'!$E$15+1,1))</f>
        <v>118.01099353898547</v>
      </c>
      <c r="EP83" s="62">
        <f t="shared" si="100"/>
        <v>103.17146760845947</v>
      </c>
      <c r="EQ83" s="16">
        <f>IF(ISNA(VLOOKUP(A83,'Données projet'!$A$191:$I$211,3,0)),0,VLOOKUP(A83,'Données projet'!$A$191:$I$211,3,0))</f>
        <v>6</v>
      </c>
      <c r="ER83" s="16">
        <f>IF(ISNA(VLOOKUP(A83,'Données projet'!$A$191:$I$211,4,0)),0,VLOOKUP(A83,'Données projet'!$A$191:$I$211,4,0))</f>
        <v>9.1666666666666679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282</v>
      </c>
      <c r="FC83" s="13">
        <f>VLOOKUP(A83,'Données projet'!$A$217:$I$237,9,0)</f>
        <v>6</v>
      </c>
      <c r="FD83" s="13">
        <f t="array" ref="FD83">INDEX(FC:FC,MIN(IF(ISNUMBER(FC83:FC279),ROW(FC83:FC279),"")))</f>
        <v>6</v>
      </c>
      <c r="FE83" s="13">
        <f>IF('Données projet'!$A$218&gt;35,FE82+FD83-FM82,IF(A83&lt;'Données projet'!$A$218,$FB$205^A83,IF(A83='Données projet'!$A$218,'Données projet'!$B$218,FE82+FD83-FM82)))</f>
        <v>281.99999999999989</v>
      </c>
      <c r="FF83" s="18">
        <f>FE83*VLOOKUP('Données projet'!$B$16,Paramètres!$A$1:$I$89,3,0)*VLOOKUP('Données projet'!$B$16,Paramètres!$A$1:$I$89,5,0)</f>
        <v>281.54879999999991</v>
      </c>
      <c r="FG83" s="14">
        <f t="shared" si="101"/>
        <v>67.29420969077313</v>
      </c>
      <c r="FH83" s="22">
        <f t="shared" si="76"/>
        <v>607.56824187809627</v>
      </c>
      <c r="FI83" s="62">
        <f t="shared" si="77"/>
        <v>900.90157521142964</v>
      </c>
      <c r="FJ83" s="62">
        <f ca="1">AVERAGE(OFFSET($FI$3,0,0,'Données projet'!$E$16+1,1))-AVERAGE(OFFSET($H$3,0,0,'Données projet'!$E$16+1,1))</f>
        <v>343.71044073996887</v>
      </c>
      <c r="FK83" s="62">
        <f t="shared" si="102"/>
        <v>193.51732627292375</v>
      </c>
      <c r="FL83" s="16">
        <f>IF(ISNA(VLOOKUP(A83,'Données projet'!$A$217:$I$237,3,0)),0,VLOOKUP(A83,'Données projet'!$A$217:$I$237,3,0))</f>
        <v>6</v>
      </c>
      <c r="FM83" s="16">
        <f>IF(ISNA(VLOOKUP(A83,'Données projet'!$A$217:$I$237,4,0)),0,VLOOKUP(A83,'Données projet'!$A$217:$I$237,4,0))</f>
        <v>42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245.59999999999991</v>
      </c>
      <c r="O84" s="14">
        <f>N84*VLOOKUP('Données projet'!$B$9,Paramètres!$A$1:$I$89,3,0)*VLOOKUP('Données projet'!$B$9,Paramètres!$A$1:$I$89,5,0)</f>
        <v>222.21887999999993</v>
      </c>
      <c r="P84" s="14">
        <f t="shared" si="87"/>
        <v>54.596866296848852</v>
      </c>
      <c r="Q84" s="22">
        <f t="shared" si="54"/>
        <v>482.12075813367829</v>
      </c>
      <c r="R84" s="62">
        <f t="shared" si="55"/>
        <v>775.45409146701161</v>
      </c>
      <c r="S84" s="62">
        <f ca="1">AVERAGE(OFFSET($R$3,0,0,'Données projet'!$E$9+1,1))-AVERAGE(OFFSET($H$3,0,0,'Données projet'!$E$9+1,1))</f>
        <v>303.73499739059076</v>
      </c>
      <c r="T84" s="62">
        <f t="shared" si="88"/>
        <v>172.32171001882188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-2.2737367544323206E-13</v>
      </c>
      <c r="AJ84" s="14">
        <f>AI84*VLOOKUP('Données projet'!$B$10,Paramètres!$A$1:$I$89,3,0)*VLOOKUP('Données projet'!$B$10,Paramètres!$A$1:$I$89,5,0)</f>
        <v>-1.6671037883497774E-13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215.66498680344858</v>
      </c>
      <c r="AO84" s="62">
        <f t="shared" si="90"/>
        <v>199.86715787211114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-5.6843418860808015E-14</v>
      </c>
      <c r="BE84" s="14">
        <f>BD84*VLOOKUP('Données projet'!$B$11,Paramètres!$A$1:$I$89,3,0)*VLOOKUP('Données projet'!$B$11,Paramètres!$A$1:$I$89,5,0)</f>
        <v>-3.3992364478763198E-14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155.11440101086782</v>
      </c>
      <c r="BJ84" s="62">
        <f t="shared" si="92"/>
        <v>239.53454701506638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4.9155523487596966</v>
      </c>
      <c r="BQ84" s="23">
        <f>EXP(-LN(2)/25)*BQ83+(1-EXP(-LN(2)/25))/(LN(2)/25)*Calculateur!BL84*Calculateur!BN84*VLOOKUP('Données projet'!$B$11,Paramètres!$A$1:$I$89,3,0)*0.475*44/12</f>
        <v>1.7610006785568995</v>
      </c>
      <c r="BR84" s="23">
        <f>EXP(-LN(2)/2)*BR83+(1-EXP(-LN(2)/2))/(LN(2)/2)*BL84*BO84*VLOOKUP('Données projet'!$B$11,Paramètres!$A$1:$I$89,3,0)*0.475*44/12</f>
        <v>6.2144328523102947E-8</v>
      </c>
      <c r="BS84" s="24">
        <f t="shared" si="63"/>
        <v>6.6765530894609251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-5.6843418860808015E-14</v>
      </c>
      <c r="BZ84" s="14">
        <f>BY84*VLOOKUP('Données projet'!$B$12,Paramètres!$A$1:$I$89,3,0)*VLOOKUP('Données projet'!$B$12,Paramètres!$A$1:$I$89,5,0)</f>
        <v>-3.3992364478763198E-14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155.11440101086782</v>
      </c>
      <c r="CE84" s="62">
        <f t="shared" si="94"/>
        <v>239.53454701506638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4.9155523487596966</v>
      </c>
      <c r="CL84" s="23">
        <f>EXP(-LN(2)/25)*CL83+(1-EXP(-LN(2)/25))/(LN(2)/25)*Calculateur!CG84*Calculateur!CI84*VLOOKUP('Données projet'!$B$12,Paramètres!$A$1:$I$89,3,0)*0.475*44/12</f>
        <v>1.7610006785568995</v>
      </c>
      <c r="CM84" s="23">
        <f>EXP(-LN(2)/2)*CM83+(1-EXP(-LN(2)/2))/(LN(2)/2)*CG84*CJ84*VLOOKUP('Données projet'!$B$12,Paramètres!$A$1:$I$89,3,0)*0.475*44/12</f>
        <v>6.2144328523102947E-8</v>
      </c>
      <c r="CN84" s="24">
        <f t="shared" si="66"/>
        <v>6.6765530894609251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-1.1368683772161603E-13</v>
      </c>
      <c r="CU84" s="18">
        <f>CT84*VLOOKUP('Données projet'!$B$13,Paramètres!$A$1:$I$89,3,0)*VLOOKUP('Données projet'!$B$13,Paramètres!$A$1:$I$89,5,0)</f>
        <v>-9.2222762759774927E-14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191.03017979797141</v>
      </c>
      <c r="CZ84" s="62">
        <f t="shared" si="96"/>
        <v>222.78252111624278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3.8461538461538454</v>
      </c>
      <c r="DO84" s="13">
        <f>IF('Données projet'!$A$166&gt;35,DO83+DN84-DW83,IF(A84&lt;'Données projet'!$A$166,$DL$205^A84,IF(A84='Données projet'!$A$166,'Données projet'!$B$166,DO83+DN84-DW83)))</f>
        <v>203.84615384615378</v>
      </c>
      <c r="DP84" s="18">
        <f>DO84*VLOOKUP('Données projet'!$B$14,Paramètres!$A$1:$I$89,3,0)*VLOOKUP('Données projet'!$B$14,Paramètres!$A$1:$I$89,5,0)</f>
        <v>193.97999999999996</v>
      </c>
      <c r="DQ84" s="14">
        <f t="shared" si="97"/>
        <v>48.418809868414776</v>
      </c>
      <c r="DR84" s="22">
        <f t="shared" si="70"/>
        <v>422.17792718748893</v>
      </c>
      <c r="DS84" s="62">
        <f t="shared" si="71"/>
        <v>715.51126052082225</v>
      </c>
      <c r="DT84" s="62">
        <f ca="1">AVERAGE(OFFSET($DS$3,0,0,'Données projet'!$E$14+1,1))-AVERAGE(OFFSET($H$3,0,0,'Données projet'!$E$14+1,1))</f>
        <v>260.93525280373063</v>
      </c>
      <c r="DU84" s="62">
        <f t="shared" si="98"/>
        <v>206.83968452163816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1.5429166666666674</v>
      </c>
      <c r="EJ84" s="13">
        <f>IF('Données projet'!$A$192&gt;35,EJ83+EI84-ER83,IF(A84&lt;'Données projet'!$A$192,$EG$205^A84,IF(A84='Données projet'!$A$192,'Données projet'!$B$192,EJ83+EI84-ER83)))</f>
        <v>92.522083333333271</v>
      </c>
      <c r="EK84" s="18">
        <f>EJ84*VLOOKUP('Données projet'!$B$15,Paramètres!$A$1:$I$89,3,0)*VLOOKUP('Données projet'!$B$15,Paramètres!$A$1:$I$89,5,0)</f>
        <v>106.58543999999992</v>
      </c>
      <c r="EL84" s="14">
        <f t="shared" si="99"/>
        <v>28.525017119169313</v>
      </c>
      <c r="EM84" s="22">
        <f t="shared" si="73"/>
        <v>235.31737948255306</v>
      </c>
      <c r="EN84" s="62">
        <f t="shared" si="74"/>
        <v>528.65071281588644</v>
      </c>
      <c r="EO84" s="62">
        <f ca="1">AVERAGE(OFFSET($EN$3,0,0,'Données projet'!$E$15+1,1))-AVERAGE(OFFSET($H$3,0,0,'Données projet'!$E$15+1,1))</f>
        <v>118.01099353898547</v>
      </c>
      <c r="EP84" s="62">
        <f t="shared" si="100"/>
        <v>103.17146760845947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5.6</v>
      </c>
      <c r="FE84" s="13">
        <f>IF('Données projet'!$A$218&gt;35,FE83+FD84-FM83,IF(A84&lt;'Données projet'!$A$218,$FB$205^A84,IF(A84='Données projet'!$A$218,'Données projet'!$B$218,FE83+FD84-FM83)))</f>
        <v>245.59999999999991</v>
      </c>
      <c r="FF84" s="18">
        <f>FE84*VLOOKUP('Données projet'!$B$16,Paramètres!$A$1:$I$89,3,0)*VLOOKUP('Données projet'!$B$16,Paramètres!$A$1:$I$89,5,0)</f>
        <v>245.20703999999992</v>
      </c>
      <c r="FG84" s="14">
        <f t="shared" si="101"/>
        <v>59.558447159721879</v>
      </c>
      <c r="FH84" s="22">
        <f t="shared" si="76"/>
        <v>530.7998901365155</v>
      </c>
      <c r="FI84" s="62">
        <f t="shared" si="77"/>
        <v>824.13322346984887</v>
      </c>
      <c r="FJ84" s="62">
        <f ca="1">AVERAGE(OFFSET($FI$3,0,0,'Données projet'!$E$16+1,1))-AVERAGE(OFFSET($H$3,0,0,'Données projet'!$E$16+1,1))</f>
        <v>343.71044073996887</v>
      </c>
      <c r="FK84" s="62">
        <f t="shared" si="102"/>
        <v>193.51732627292375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251.1999999999999</v>
      </c>
      <c r="O85" s="14">
        <f>N85*VLOOKUP('Données projet'!$B$9,Paramètres!$A$1:$I$89,3,0)*VLOOKUP('Données projet'!$B$9,Paramètres!$A$1:$I$89,5,0)</f>
        <v>227.28575999999993</v>
      </c>
      <c r="P85" s="14">
        <f t="shared" si="87"/>
        <v>55.695394520076327</v>
      </c>
      <c r="Q85" s="22">
        <f t="shared" si="54"/>
        <v>492.85884412246605</v>
      </c>
      <c r="R85" s="62">
        <f t="shared" si="55"/>
        <v>786.19217745579931</v>
      </c>
      <c r="S85" s="62">
        <f ca="1">AVERAGE(OFFSET($R$3,0,0,'Données projet'!$E$9+1,1))-AVERAGE(OFFSET($H$3,0,0,'Données projet'!$E$9+1,1))</f>
        <v>303.73499739059076</v>
      </c>
      <c r="T85" s="62">
        <f t="shared" si="88"/>
        <v>172.32171001882188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-2.2737367544323206E-13</v>
      </c>
      <c r="AJ85" s="14">
        <f>AI85*VLOOKUP('Données projet'!$B$10,Paramètres!$A$1:$I$89,3,0)*VLOOKUP('Données projet'!$B$10,Paramètres!$A$1:$I$89,5,0)</f>
        <v>-1.6671037883497774E-13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215.66498680344858</v>
      </c>
      <c r="AO85" s="62">
        <f t="shared" si="90"/>
        <v>199.86715787211114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-5.6843418860808015E-14</v>
      </c>
      <c r="BE85" s="14">
        <f>BD85*VLOOKUP('Données projet'!$B$11,Paramètres!$A$1:$I$89,3,0)*VLOOKUP('Données projet'!$B$11,Paramètres!$A$1:$I$89,5,0)</f>
        <v>-3.3992364478763198E-14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155.11440101086782</v>
      </c>
      <c r="BJ85" s="62">
        <f t="shared" si="92"/>
        <v>239.53454701506638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4.8191613653914045</v>
      </c>
      <c r="BQ85" s="23">
        <f>EXP(-LN(2)/25)*BQ84+(1-EXP(-LN(2)/25))/(LN(2)/25)*Calculateur!BL85*Calculateur!BN85*VLOOKUP('Données projet'!$B$11,Paramètres!$A$1:$I$89,3,0)*0.475*44/12</f>
        <v>1.7128460223947601</v>
      </c>
      <c r="BR85" s="23">
        <f>EXP(-LN(2)/2)*BR84+(1-EXP(-LN(2)/2))/(LN(2)/2)*BL85*BO85*VLOOKUP('Données projet'!$B$11,Paramètres!$A$1:$I$89,3,0)*0.475*44/12</f>
        <v>4.3942676110970681E-8</v>
      </c>
      <c r="BS85" s="24">
        <f t="shared" si="63"/>
        <v>6.5320074317288404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-5.6843418860808015E-14</v>
      </c>
      <c r="BZ85" s="14">
        <f>BY85*VLOOKUP('Données projet'!$B$12,Paramètres!$A$1:$I$89,3,0)*VLOOKUP('Données projet'!$B$12,Paramètres!$A$1:$I$89,5,0)</f>
        <v>-3.3992364478763198E-14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155.11440101086782</v>
      </c>
      <c r="CE85" s="62">
        <f t="shared" si="94"/>
        <v>239.53454701506638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4.8191613653914045</v>
      </c>
      <c r="CL85" s="23">
        <f>EXP(-LN(2)/25)*CL84+(1-EXP(-LN(2)/25))/(LN(2)/25)*Calculateur!CG85*Calculateur!CI85*VLOOKUP('Données projet'!$B$12,Paramètres!$A$1:$I$89,3,0)*0.475*44/12</f>
        <v>1.7128460223947601</v>
      </c>
      <c r="CM85" s="23">
        <f>EXP(-LN(2)/2)*CM84+(1-EXP(-LN(2)/2))/(LN(2)/2)*CG85*CJ85*VLOOKUP('Données projet'!$B$12,Paramètres!$A$1:$I$89,3,0)*0.475*44/12</f>
        <v>4.3942676110970681E-8</v>
      </c>
      <c r="CN85" s="24">
        <f t="shared" si="66"/>
        <v>6.5320074317288404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-1.1368683772161603E-13</v>
      </c>
      <c r="CU85" s="18">
        <f>CT85*VLOOKUP('Données projet'!$B$13,Paramètres!$A$1:$I$89,3,0)*VLOOKUP('Données projet'!$B$13,Paramètres!$A$1:$I$89,5,0)</f>
        <v>-9.2222762759774927E-14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191.03017979797141</v>
      </c>
      <c r="CZ85" s="62">
        <f t="shared" si="96"/>
        <v>222.78252111624278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3.8461538461538454</v>
      </c>
      <c r="DO85" s="13">
        <f>IF('Données projet'!$A$166&gt;35,DO84+DN85-DW84,IF(A85&lt;'Données projet'!$A$166,$DL$205^A85,IF(A85='Données projet'!$A$166,'Données projet'!$B$166,DO84+DN85-DW84)))</f>
        <v>207.69230769230762</v>
      </c>
      <c r="DP85" s="18">
        <f>DO85*VLOOKUP('Données projet'!$B$14,Paramètres!$A$1:$I$89,3,0)*VLOOKUP('Données projet'!$B$14,Paramètres!$A$1:$I$89,5,0)</f>
        <v>197.63999999999993</v>
      </c>
      <c r="DQ85" s="14">
        <f t="shared" si="97"/>
        <v>49.22515338895078</v>
      </c>
      <c r="DR85" s="22">
        <f t="shared" si="70"/>
        <v>429.95680881908919</v>
      </c>
      <c r="DS85" s="62">
        <f t="shared" si="71"/>
        <v>723.2901421524225</v>
      </c>
      <c r="DT85" s="62">
        <f ca="1">AVERAGE(OFFSET($DS$3,0,0,'Données projet'!$E$14+1,1))-AVERAGE(OFFSET($H$3,0,0,'Données projet'!$E$14+1,1))</f>
        <v>260.93525280373063</v>
      </c>
      <c r="DU85" s="62">
        <f t="shared" si="98"/>
        <v>206.83968452163816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1.5429166666666674</v>
      </c>
      <c r="EJ85" s="13">
        <f>IF('Données projet'!$A$192&gt;35,EJ84+EI85-ER84,IF(A85&lt;'Données projet'!$A$192,$EG$205^A85,IF(A85='Données projet'!$A$192,'Données projet'!$B$192,EJ84+EI85-ER84)))</f>
        <v>94.064999999999941</v>
      </c>
      <c r="EK85" s="18">
        <f>EJ85*VLOOKUP('Données projet'!$B$15,Paramètres!$A$1:$I$89,3,0)*VLOOKUP('Données projet'!$B$15,Paramètres!$A$1:$I$89,5,0)</f>
        <v>108.36287999999992</v>
      </c>
      <c r="EL85" s="14">
        <f t="shared" si="99"/>
        <v>28.944930362905506</v>
      </c>
      <c r="EM85" s="22">
        <f t="shared" si="73"/>
        <v>239.14443638206026</v>
      </c>
      <c r="EN85" s="62">
        <f t="shared" si="74"/>
        <v>532.47776971539361</v>
      </c>
      <c r="EO85" s="62">
        <f ca="1">AVERAGE(OFFSET($EN$3,0,0,'Données projet'!$E$15+1,1))-AVERAGE(OFFSET($H$3,0,0,'Données projet'!$E$15+1,1))</f>
        <v>118.01099353898547</v>
      </c>
      <c r="EP85" s="62">
        <f t="shared" si="100"/>
        <v>103.17146760845947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5.6</v>
      </c>
      <c r="FE85" s="13">
        <f>IF('Données projet'!$A$218&gt;35,FE84+FD85-FM84,IF(A85&lt;'Données projet'!$A$218,$FB$205^A85,IF(A85='Données projet'!$A$218,'Données projet'!$B$218,FE84+FD85-FM84)))</f>
        <v>251.1999999999999</v>
      </c>
      <c r="FF85" s="18">
        <f>FE85*VLOOKUP('Données projet'!$B$16,Paramètres!$A$1:$I$89,3,0)*VLOOKUP('Données projet'!$B$16,Paramètres!$A$1:$I$89,5,0)</f>
        <v>250.79807999999991</v>
      </c>
      <c r="FG85" s="14">
        <f t="shared" si="101"/>
        <v>60.756805958939864</v>
      </c>
      <c r="FH85" s="22">
        <f t="shared" si="76"/>
        <v>542.62475971182016</v>
      </c>
      <c r="FI85" s="62">
        <f t="shared" si="77"/>
        <v>835.95809304515342</v>
      </c>
      <c r="FJ85" s="62">
        <f ca="1">AVERAGE(OFFSET($FI$3,0,0,'Données projet'!$E$16+1,1))-AVERAGE(OFFSET($H$3,0,0,'Données projet'!$E$16+1,1))</f>
        <v>343.71044073996887</v>
      </c>
      <c r="FK85" s="62">
        <f t="shared" si="102"/>
        <v>193.51732627292375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256.7999999999999</v>
      </c>
      <c r="O86" s="14">
        <f>N86*VLOOKUP('Données projet'!$B$9,Paramètres!$A$1:$I$89,3,0)*VLOOKUP('Données projet'!$B$9,Paramètres!$A$1:$I$89,5,0)</f>
        <v>232.35263999999989</v>
      </c>
      <c r="P86" s="14">
        <f t="shared" si="87"/>
        <v>56.791075613550255</v>
      </c>
      <c r="Q86" s="22">
        <f t="shared" si="54"/>
        <v>503.59197136026643</v>
      </c>
      <c r="R86" s="62">
        <f t="shared" si="55"/>
        <v>796.92530469359974</v>
      </c>
      <c r="S86" s="62">
        <f ca="1">AVERAGE(OFFSET($R$3,0,0,'Données projet'!$E$9+1,1))-AVERAGE(OFFSET($H$3,0,0,'Données projet'!$E$9+1,1))</f>
        <v>303.73499739059076</v>
      </c>
      <c r="T86" s="62">
        <f t="shared" si="88"/>
        <v>172.32171001882188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-2.2737367544323206E-13</v>
      </c>
      <c r="AJ86" s="14">
        <f>AI86*VLOOKUP('Données projet'!$B$10,Paramètres!$A$1:$I$89,3,0)*VLOOKUP('Données projet'!$B$10,Paramètres!$A$1:$I$89,5,0)</f>
        <v>-1.6671037883497774E-13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215.66498680344858</v>
      </c>
      <c r="AO86" s="62">
        <f t="shared" si="90"/>
        <v>199.86715787211114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-5.6843418860808015E-14</v>
      </c>
      <c r="BE86" s="14">
        <f>BD86*VLOOKUP('Données projet'!$B$11,Paramètres!$A$1:$I$89,3,0)*VLOOKUP('Données projet'!$B$11,Paramètres!$A$1:$I$89,5,0)</f>
        <v>-3.3992364478763198E-14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155.11440101086782</v>
      </c>
      <c r="BJ86" s="62">
        <f t="shared" si="92"/>
        <v>239.53454701506638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4.7246605504142707</v>
      </c>
      <c r="BQ86" s="23">
        <f>EXP(-LN(2)/25)*BQ85+(1-EXP(-LN(2)/25))/(LN(2)/25)*Calculateur!BL86*Calculateur!BN86*VLOOKUP('Données projet'!$B$11,Paramètres!$A$1:$I$89,3,0)*0.475*44/12</f>
        <v>1.6660081578377179</v>
      </c>
      <c r="BR86" s="23">
        <f>EXP(-LN(2)/2)*BR85+(1-EXP(-LN(2)/2))/(LN(2)/2)*BL86*BO86*VLOOKUP('Données projet'!$B$11,Paramètres!$A$1:$I$89,3,0)*0.475*44/12</f>
        <v>3.1072164261551474E-8</v>
      </c>
      <c r="BS86" s="24">
        <f t="shared" si="63"/>
        <v>6.3906687393241528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-5.6843418860808015E-14</v>
      </c>
      <c r="BZ86" s="14">
        <f>BY86*VLOOKUP('Données projet'!$B$12,Paramètres!$A$1:$I$89,3,0)*VLOOKUP('Données projet'!$B$12,Paramètres!$A$1:$I$89,5,0)</f>
        <v>-3.3992364478763198E-14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155.11440101086782</v>
      </c>
      <c r="CE86" s="62">
        <f t="shared" si="94"/>
        <v>239.53454701506638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4.7246605504142707</v>
      </c>
      <c r="CL86" s="23">
        <f>EXP(-LN(2)/25)*CL85+(1-EXP(-LN(2)/25))/(LN(2)/25)*Calculateur!CG86*Calculateur!CI86*VLOOKUP('Données projet'!$B$12,Paramètres!$A$1:$I$89,3,0)*0.475*44/12</f>
        <v>1.6660081578377179</v>
      </c>
      <c r="CM86" s="23">
        <f>EXP(-LN(2)/2)*CM85+(1-EXP(-LN(2)/2))/(LN(2)/2)*CG86*CJ86*VLOOKUP('Données projet'!$B$12,Paramètres!$A$1:$I$89,3,0)*0.475*44/12</f>
        <v>3.1072164261551474E-8</v>
      </c>
      <c r="CN86" s="24">
        <f t="shared" si="66"/>
        <v>6.3906687393241528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-1.1368683772161603E-13</v>
      </c>
      <c r="CU86" s="18">
        <f>CT86*VLOOKUP('Données projet'!$B$13,Paramètres!$A$1:$I$89,3,0)*VLOOKUP('Données projet'!$B$13,Paramètres!$A$1:$I$89,5,0)</f>
        <v>-9.2222762759774927E-14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191.03017979797141</v>
      </c>
      <c r="CZ86" s="62">
        <f t="shared" si="96"/>
        <v>222.78252111624278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3.8461538461538454</v>
      </c>
      <c r="DO86" s="13">
        <f>IF('Données projet'!$A$166&gt;35,DO85+DN86-DW85,IF(A86&lt;'Données projet'!$A$166,$DL$205^A86,IF(A86='Données projet'!$A$166,'Données projet'!$B$166,DO85+DN86-DW85)))</f>
        <v>211.53846153846146</v>
      </c>
      <c r="DP86" s="18">
        <f>DO86*VLOOKUP('Données projet'!$B$14,Paramètres!$A$1:$I$89,3,0)*VLOOKUP('Données projet'!$B$14,Paramètres!$A$1:$I$89,5,0)</f>
        <v>201.29999999999993</v>
      </c>
      <c r="DQ86" s="14">
        <f t="shared" si="97"/>
        <v>50.029760558277118</v>
      </c>
      <c r="DR86" s="22">
        <f t="shared" si="70"/>
        <v>437.73266630566582</v>
      </c>
      <c r="DS86" s="62">
        <f t="shared" si="71"/>
        <v>731.06599963899907</v>
      </c>
      <c r="DT86" s="62">
        <f ca="1">AVERAGE(OFFSET($DS$3,0,0,'Données projet'!$E$14+1,1))-AVERAGE(OFFSET($H$3,0,0,'Données projet'!$E$14+1,1))</f>
        <v>260.93525280373063</v>
      </c>
      <c r="DU86" s="62">
        <f t="shared" si="98"/>
        <v>206.83968452163816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1.5429166666666674</v>
      </c>
      <c r="EJ86" s="13">
        <f>IF('Données projet'!$A$192&gt;35,EJ85+EI86-ER85,IF(A86&lt;'Données projet'!$A$192,$EG$205^A86,IF(A86='Données projet'!$A$192,'Données projet'!$B$192,EJ85+EI86-ER85)))</f>
        <v>95.607916666666611</v>
      </c>
      <c r="EK86" s="18">
        <f>EJ86*VLOOKUP('Données projet'!$B$15,Paramètres!$A$1:$I$89,3,0)*VLOOKUP('Données projet'!$B$15,Paramètres!$A$1:$I$89,5,0)</f>
        <v>110.14031999999993</v>
      </c>
      <c r="EL86" s="14">
        <f t="shared" si="99"/>
        <v>29.364042605701115</v>
      </c>
      <c r="EM86" s="22">
        <f t="shared" si="73"/>
        <v>242.97009820492926</v>
      </c>
      <c r="EN86" s="62">
        <f t="shared" si="74"/>
        <v>536.30343153826254</v>
      </c>
      <c r="EO86" s="62">
        <f ca="1">AVERAGE(OFFSET($EN$3,0,0,'Données projet'!$E$15+1,1))-AVERAGE(OFFSET($H$3,0,0,'Données projet'!$E$15+1,1))</f>
        <v>118.01099353898547</v>
      </c>
      <c r="EP86" s="62">
        <f t="shared" si="100"/>
        <v>103.17146760845947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5.6</v>
      </c>
      <c r="FE86" s="13">
        <f>IF('Données projet'!$A$218&gt;35,FE85+FD86-FM85,IF(A86&lt;'Données projet'!$A$218,$FB$205^A86,IF(A86='Données projet'!$A$218,'Données projet'!$B$218,FE85+FD86-FM85)))</f>
        <v>256.7999999999999</v>
      </c>
      <c r="FF86" s="18">
        <f>FE86*VLOOKUP('Données projet'!$B$16,Paramètres!$A$1:$I$89,3,0)*VLOOKUP('Données projet'!$B$16,Paramètres!$A$1:$I$89,5,0)</f>
        <v>256.38911999999993</v>
      </c>
      <c r="FG86" s="14">
        <f t="shared" si="101"/>
        <v>61.952058890761386</v>
      </c>
      <c r="FH86" s="22">
        <f t="shared" si="76"/>
        <v>554.44421990140927</v>
      </c>
      <c r="FI86" s="62">
        <f t="shared" si="77"/>
        <v>847.77755323474253</v>
      </c>
      <c r="FJ86" s="62">
        <f ca="1">AVERAGE(OFFSET($FI$3,0,0,'Données projet'!$E$16+1,1))-AVERAGE(OFFSET($H$3,0,0,'Données projet'!$E$16+1,1))</f>
        <v>343.71044073996887</v>
      </c>
      <c r="FK86" s="62">
        <f t="shared" si="102"/>
        <v>193.51732627292375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262.39999999999992</v>
      </c>
      <c r="O87" s="14">
        <f>N87*VLOOKUP('Données projet'!$B$9,Paramètres!$A$1:$I$89,3,0)*VLOOKUP('Données projet'!$B$9,Paramètres!$A$1:$I$89,5,0)</f>
        <v>237.41951999999992</v>
      </c>
      <c r="P87" s="14">
        <f t="shared" si="87"/>
        <v>57.883978814320919</v>
      </c>
      <c r="Q87" s="22">
        <f t="shared" si="54"/>
        <v>514.32026043494204</v>
      </c>
      <c r="R87" s="62">
        <f t="shared" si="55"/>
        <v>807.65359376827541</v>
      </c>
      <c r="S87" s="62">
        <f ca="1">AVERAGE(OFFSET($R$3,0,0,'Données projet'!$E$9+1,1))-AVERAGE(OFFSET($H$3,0,0,'Données projet'!$E$9+1,1))</f>
        <v>303.73499739059076</v>
      </c>
      <c r="T87" s="62">
        <f t="shared" si="88"/>
        <v>172.32171001882188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-2.2737367544323206E-13</v>
      </c>
      <c r="AJ87" s="14">
        <f>AI87*VLOOKUP('Données projet'!$B$10,Paramètres!$A$1:$I$89,3,0)*VLOOKUP('Données projet'!$B$10,Paramètres!$A$1:$I$89,5,0)</f>
        <v>-1.6671037883497774E-13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215.66498680344858</v>
      </c>
      <c r="AO87" s="62">
        <f t="shared" si="90"/>
        <v>199.86715787211114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-5.6843418860808015E-14</v>
      </c>
      <c r="BE87" s="14">
        <f>BD87*VLOOKUP('Données projet'!$B$11,Paramètres!$A$1:$I$89,3,0)*VLOOKUP('Données projet'!$B$11,Paramètres!$A$1:$I$89,5,0)</f>
        <v>-3.3992364478763198E-14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155.11440101086782</v>
      </c>
      <c r="BJ87" s="62">
        <f t="shared" si="92"/>
        <v>239.53454701506638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4.6320128387790325</v>
      </c>
      <c r="BQ87" s="23">
        <f>EXP(-LN(2)/25)*BQ86+(1-EXP(-LN(2)/25))/(LN(2)/25)*Calculateur!BL87*Calculateur!BN87*VLOOKUP('Données projet'!$B$11,Paramètres!$A$1:$I$89,3,0)*0.475*44/12</f>
        <v>1.6204510771500842</v>
      </c>
      <c r="BR87" s="23">
        <f>EXP(-LN(2)/2)*BR86+(1-EXP(-LN(2)/2))/(LN(2)/2)*BL87*BO87*VLOOKUP('Données projet'!$B$11,Paramètres!$A$1:$I$89,3,0)*0.475*44/12</f>
        <v>2.197133805548534E-8</v>
      </c>
      <c r="BS87" s="24">
        <f t="shared" si="63"/>
        <v>6.2524639379004538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-5.6843418860808015E-14</v>
      </c>
      <c r="BZ87" s="14">
        <f>BY87*VLOOKUP('Données projet'!$B$12,Paramètres!$A$1:$I$89,3,0)*VLOOKUP('Données projet'!$B$12,Paramètres!$A$1:$I$89,5,0)</f>
        <v>-3.3992364478763198E-14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155.11440101086782</v>
      </c>
      <c r="CE87" s="62">
        <f t="shared" si="94"/>
        <v>239.53454701506638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4.6320128387790325</v>
      </c>
      <c r="CL87" s="23">
        <f>EXP(-LN(2)/25)*CL86+(1-EXP(-LN(2)/25))/(LN(2)/25)*Calculateur!CG87*Calculateur!CI87*VLOOKUP('Données projet'!$B$12,Paramètres!$A$1:$I$89,3,0)*0.475*44/12</f>
        <v>1.6204510771500842</v>
      </c>
      <c r="CM87" s="23">
        <f>EXP(-LN(2)/2)*CM86+(1-EXP(-LN(2)/2))/(LN(2)/2)*CG87*CJ87*VLOOKUP('Données projet'!$B$12,Paramètres!$A$1:$I$89,3,0)*0.475*44/12</f>
        <v>2.197133805548534E-8</v>
      </c>
      <c r="CN87" s="24">
        <f t="shared" si="66"/>
        <v>6.2524639379004538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-1.1368683772161603E-13</v>
      </c>
      <c r="CU87" s="18">
        <f>CT87*VLOOKUP('Données projet'!$B$13,Paramètres!$A$1:$I$89,3,0)*VLOOKUP('Données projet'!$B$13,Paramètres!$A$1:$I$89,5,0)</f>
        <v>-9.2222762759774927E-14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191.03017979797141</v>
      </c>
      <c r="CZ87" s="62">
        <f t="shared" si="96"/>
        <v>222.78252111624278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3.8461538461538454</v>
      </c>
      <c r="DO87" s="13">
        <f>IF('Données projet'!$A$166&gt;35,DO86+DN87-DW86,IF(A87&lt;'Données projet'!$A$166,$DL$205^A87,IF(A87='Données projet'!$A$166,'Données projet'!$B$166,DO86+DN87-DW86)))</f>
        <v>215.3846153846153</v>
      </c>
      <c r="DP87" s="18">
        <f>DO87*VLOOKUP('Données projet'!$B$14,Paramètres!$A$1:$I$89,3,0)*VLOOKUP('Données projet'!$B$14,Paramètres!$A$1:$I$89,5,0)</f>
        <v>204.95999999999992</v>
      </c>
      <c r="DQ87" s="14">
        <f t="shared" si="97"/>
        <v>50.832666587809335</v>
      </c>
      <c r="DR87" s="22">
        <f t="shared" si="70"/>
        <v>445.50556097376779</v>
      </c>
      <c r="DS87" s="62">
        <f t="shared" si="71"/>
        <v>738.8388943071011</v>
      </c>
      <c r="DT87" s="62">
        <f ca="1">AVERAGE(OFFSET($DS$3,0,0,'Données projet'!$E$14+1,1))-AVERAGE(OFFSET($H$3,0,0,'Données projet'!$E$14+1,1))</f>
        <v>260.93525280373063</v>
      </c>
      <c r="DU87" s="62">
        <f t="shared" si="98"/>
        <v>206.83968452163816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1.5429166666666674</v>
      </c>
      <c r="EJ87" s="13">
        <f>IF('Données projet'!$A$192&gt;35,EJ86+EI87-ER86,IF(A87&lt;'Données projet'!$A$192,$EG$205^A87,IF(A87='Données projet'!$A$192,'Données projet'!$B$192,EJ86+EI87-ER86)))</f>
        <v>97.150833333333281</v>
      </c>
      <c r="EK87" s="18">
        <f>EJ87*VLOOKUP('Données projet'!$B$15,Paramètres!$A$1:$I$89,3,0)*VLOOKUP('Données projet'!$B$15,Paramètres!$A$1:$I$89,5,0)</f>
        <v>111.91775999999994</v>
      </c>
      <c r="EL87" s="14">
        <f t="shared" si="99"/>
        <v>29.782368266438901</v>
      </c>
      <c r="EM87" s="22">
        <f t="shared" si="73"/>
        <v>246.79439006404766</v>
      </c>
      <c r="EN87" s="62">
        <f t="shared" si="74"/>
        <v>540.12772339738103</v>
      </c>
      <c r="EO87" s="62">
        <f ca="1">AVERAGE(OFFSET($EN$3,0,0,'Données projet'!$E$15+1,1))-AVERAGE(OFFSET($H$3,0,0,'Données projet'!$E$15+1,1))</f>
        <v>118.01099353898547</v>
      </c>
      <c r="EP87" s="62">
        <f t="shared" si="100"/>
        <v>103.17146760845947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5.6</v>
      </c>
      <c r="FE87" s="13">
        <f>IF('Données projet'!$A$218&gt;35,FE86+FD87-FM86,IF(A87&lt;'Données projet'!$A$218,$FB$205^A87,IF(A87='Données projet'!$A$218,'Données projet'!$B$218,FE86+FD87-FM86)))</f>
        <v>262.39999999999992</v>
      </c>
      <c r="FF87" s="18">
        <f>FE87*VLOOKUP('Données projet'!$B$16,Paramètres!$A$1:$I$89,3,0)*VLOOKUP('Données projet'!$B$16,Paramètres!$A$1:$I$89,5,0)</f>
        <v>261.98015999999996</v>
      </c>
      <c r="FG87" s="14">
        <f t="shared" si="101"/>
        <v>63.144281484268511</v>
      </c>
      <c r="FH87" s="22">
        <f t="shared" si="76"/>
        <v>566.25840225176751</v>
      </c>
      <c r="FI87" s="62">
        <f t="shared" si="77"/>
        <v>859.59173558510088</v>
      </c>
      <c r="FJ87" s="62">
        <f ca="1">AVERAGE(OFFSET($FI$3,0,0,'Données projet'!$E$16+1,1))-AVERAGE(OFFSET($H$3,0,0,'Données projet'!$E$16+1,1))</f>
        <v>343.71044073996887</v>
      </c>
      <c r="FK87" s="62">
        <f t="shared" si="102"/>
        <v>193.51732627292375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267.99999999999994</v>
      </c>
      <c r="O88" s="14">
        <f>N88*VLOOKUP('Données projet'!$B$9,Paramètres!$A$1:$I$89,3,0)*VLOOKUP('Données projet'!$B$9,Paramètres!$A$1:$I$89,5,0)</f>
        <v>242.48639999999995</v>
      </c>
      <c r="P88" s="14">
        <f t="shared" si="87"/>
        <v>58.974170235372419</v>
      </c>
      <c r="Q88" s="22">
        <f t="shared" si="54"/>
        <v>525.04382649327351</v>
      </c>
      <c r="R88" s="62">
        <f t="shared" si="55"/>
        <v>818.37715982660688</v>
      </c>
      <c r="S88" s="62">
        <f ca="1">AVERAGE(OFFSET($R$3,0,0,'Données projet'!$E$9+1,1))-AVERAGE(OFFSET($H$3,0,0,'Données projet'!$E$9+1,1))</f>
        <v>303.73499739059076</v>
      </c>
      <c r="T88" s="62">
        <f t="shared" si="88"/>
        <v>172.32171001882188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-2.2737367544323206E-13</v>
      </c>
      <c r="AJ88" s="14">
        <f>AI88*VLOOKUP('Données projet'!$B$10,Paramètres!$A$1:$I$89,3,0)*VLOOKUP('Données projet'!$B$10,Paramètres!$A$1:$I$89,5,0)</f>
        <v>-1.6671037883497774E-13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215.66498680344858</v>
      </c>
      <c r="AO88" s="62">
        <f t="shared" si="90"/>
        <v>199.86715787211114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-5.6843418860808015E-14</v>
      </c>
      <c r="BE88" s="14">
        <f>BD88*VLOOKUP('Données projet'!$B$11,Paramètres!$A$1:$I$89,3,0)*VLOOKUP('Données projet'!$B$11,Paramètres!$A$1:$I$89,5,0)</f>
        <v>-3.3992364478763198E-14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155.11440101086782</v>
      </c>
      <c r="BJ88" s="62">
        <f t="shared" si="92"/>
        <v>239.53454701506638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4.5411818922594369</v>
      </c>
      <c r="BQ88" s="23">
        <f>EXP(-LN(2)/25)*BQ87+(1-EXP(-LN(2)/25))/(LN(2)/25)*Calculateur!BL88*Calculateur!BN88*VLOOKUP('Données projet'!$B$11,Paramètres!$A$1:$I$89,3,0)*0.475*44/12</f>
        <v>1.5761397572295965</v>
      </c>
      <c r="BR88" s="23">
        <f>EXP(-LN(2)/2)*BR87+(1-EXP(-LN(2)/2))/(LN(2)/2)*BL88*BO88*VLOOKUP('Données projet'!$B$11,Paramètres!$A$1:$I$89,3,0)*0.475*44/12</f>
        <v>1.5536082130775737E-8</v>
      </c>
      <c r="BS88" s="24">
        <f t="shared" si="63"/>
        <v>6.1173216650251154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-5.6843418860808015E-14</v>
      </c>
      <c r="BZ88" s="14">
        <f>BY88*VLOOKUP('Données projet'!$B$12,Paramètres!$A$1:$I$89,3,0)*VLOOKUP('Données projet'!$B$12,Paramètres!$A$1:$I$89,5,0)</f>
        <v>-3.3992364478763198E-14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155.11440101086782</v>
      </c>
      <c r="CE88" s="62">
        <f t="shared" si="94"/>
        <v>239.53454701506638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4.5411818922594369</v>
      </c>
      <c r="CL88" s="23">
        <f>EXP(-LN(2)/25)*CL87+(1-EXP(-LN(2)/25))/(LN(2)/25)*Calculateur!CG88*Calculateur!CI88*VLOOKUP('Données projet'!$B$12,Paramètres!$A$1:$I$89,3,0)*0.475*44/12</f>
        <v>1.5761397572295965</v>
      </c>
      <c r="CM88" s="23">
        <f>EXP(-LN(2)/2)*CM87+(1-EXP(-LN(2)/2))/(LN(2)/2)*CG88*CJ88*VLOOKUP('Données projet'!$B$12,Paramètres!$A$1:$I$89,3,0)*0.475*44/12</f>
        <v>1.5536082130775737E-8</v>
      </c>
      <c r="CN88" s="24">
        <f t="shared" si="66"/>
        <v>6.1173216650251154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-1.1368683772161603E-13</v>
      </c>
      <c r="CU88" s="18">
        <f>CT88*VLOOKUP('Données projet'!$B$13,Paramètres!$A$1:$I$89,3,0)*VLOOKUP('Données projet'!$B$13,Paramètres!$A$1:$I$89,5,0)</f>
        <v>-9.2222762759774927E-14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191.03017979797141</v>
      </c>
      <c r="CZ88" s="62">
        <f t="shared" si="96"/>
        <v>222.78252111624278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219.23076923076923</v>
      </c>
      <c r="DM88" s="13">
        <f>VLOOKUP(A88,'Données projet'!$A$165:$I$185,9,0)</f>
        <v>3.8461538461538454</v>
      </c>
      <c r="DN88" s="13">
        <f t="array" ref="DN88">INDEX(DM:DM,MIN(IF(ISNUMBER(DM88:DM284),ROW(DM88:DM284),"")))</f>
        <v>3.8461538461538454</v>
      </c>
      <c r="DO88" s="13">
        <f>IF('Données projet'!$A$166&gt;35,DO87+DN88-DW87,IF(A88&lt;'Données projet'!$A$166,$DL$205^A88,IF(A88='Données projet'!$A$166,'Données projet'!$B$166,DO87+DN88-DW87)))</f>
        <v>219.23076923076914</v>
      </c>
      <c r="DP88" s="18">
        <f>DO88*VLOOKUP('Données projet'!$B$14,Paramètres!$A$1:$I$89,3,0)*VLOOKUP('Données projet'!$B$14,Paramètres!$A$1:$I$89,5,0)</f>
        <v>208.61999999999992</v>
      </c>
      <c r="DQ88" s="14">
        <f t="shared" si="97"/>
        <v>51.63390535939368</v>
      </c>
      <c r="DR88" s="22">
        <f t="shared" si="70"/>
        <v>453.27555183427711</v>
      </c>
      <c r="DS88" s="62">
        <f t="shared" si="71"/>
        <v>746.60888516761042</v>
      </c>
      <c r="DT88" s="62">
        <f ca="1">AVERAGE(OFFSET($DS$3,0,0,'Données projet'!$E$14+1,1))-AVERAGE(OFFSET($H$3,0,0,'Données projet'!$E$14+1,1))</f>
        <v>260.93525280373063</v>
      </c>
      <c r="DU88" s="62">
        <f t="shared" si="98"/>
        <v>206.83968452163816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1.5429166666666674</v>
      </c>
      <c r="EJ88" s="13">
        <f>IF('Données projet'!$A$192&gt;35,EJ87+EI88-ER87,IF(A88&lt;'Données projet'!$A$192,$EG$205^A88,IF(A88='Données projet'!$A$192,'Données projet'!$B$192,EJ87+EI88-ER87)))</f>
        <v>98.693749999999952</v>
      </c>
      <c r="EK88" s="18">
        <f>EJ88*VLOOKUP('Données projet'!$B$15,Paramètres!$A$1:$I$89,3,0)*VLOOKUP('Données projet'!$B$15,Paramètres!$A$1:$I$89,5,0)</f>
        <v>113.69519999999994</v>
      </c>
      <c r="EL88" s="14">
        <f t="shared" si="99"/>
        <v>30.199921279741705</v>
      </c>
      <c r="EM88" s="22">
        <f t="shared" si="73"/>
        <v>250.61733622888337</v>
      </c>
      <c r="EN88" s="62">
        <f t="shared" si="74"/>
        <v>543.95066956221672</v>
      </c>
      <c r="EO88" s="62">
        <f ca="1">AVERAGE(OFFSET($EN$3,0,0,'Données projet'!$E$15+1,1))-AVERAGE(OFFSET($H$3,0,0,'Données projet'!$E$15+1,1))</f>
        <v>118.01099353898547</v>
      </c>
      <c r="EP88" s="62">
        <f t="shared" si="100"/>
        <v>103.17146760845947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5.6</v>
      </c>
      <c r="FE88" s="13">
        <f>IF('Données projet'!$A$218&gt;35,FE87+FD88-FM87,IF(A88&lt;'Données projet'!$A$218,$FB$205^A88,IF(A88='Données projet'!$A$218,'Données projet'!$B$218,FE87+FD88-FM87)))</f>
        <v>267.99999999999994</v>
      </c>
      <c r="FF88" s="18">
        <f>FE88*VLOOKUP('Données projet'!$B$16,Paramètres!$A$1:$I$89,3,0)*VLOOKUP('Données projet'!$B$16,Paramètres!$A$1:$I$89,5,0)</f>
        <v>267.57119999999992</v>
      </c>
      <c r="FG88" s="14">
        <f t="shared" si="101"/>
        <v>64.333545860572514</v>
      </c>
      <c r="FH88" s="22">
        <f t="shared" si="76"/>
        <v>578.06743237383034</v>
      </c>
      <c r="FI88" s="62">
        <f t="shared" si="77"/>
        <v>871.4007657071636</v>
      </c>
      <c r="FJ88" s="62">
        <f ca="1">AVERAGE(OFFSET($FI$3,0,0,'Données projet'!$E$16+1,1))-AVERAGE(OFFSET($H$3,0,0,'Données projet'!$E$16+1,1))</f>
        <v>343.71044073996887</v>
      </c>
      <c r="FK88" s="62">
        <f t="shared" si="102"/>
        <v>193.51732627292375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5.6</v>
      </c>
      <c r="N89" s="14">
        <f>IF('Données projet'!$A$36&gt;35,N88+M89-V88,IF(A89&lt;'Données projet'!$A$36,$K$205^A89,IF(A89='Données projet'!$A$36,'Données projet'!$B$36,N88+M89-V88)))</f>
        <v>273.59999999999997</v>
      </c>
      <c r="O89" s="14">
        <f>N89*VLOOKUP('Données projet'!$B$9,Paramètres!$A$1:$I$89,3,0)*VLOOKUP('Données projet'!$B$9,Paramètres!$A$1:$I$89,5,0)</f>
        <v>247.55327999999994</v>
      </c>
      <c r="P89" s="14">
        <f t="shared" si="87"/>
        <v>60.061713068870255</v>
      </c>
      <c r="Q89" s="22">
        <f t="shared" si="54"/>
        <v>535.76277959494894</v>
      </c>
      <c r="R89" s="62">
        <f t="shared" si="55"/>
        <v>829.09611292828231</v>
      </c>
      <c r="S89" s="62">
        <f ca="1">AVERAGE(OFFSET($R$3,0,0,'Données projet'!$E$9+1,1))-AVERAGE(OFFSET($H$3,0,0,'Données projet'!$E$9+1,1))</f>
        <v>303.73499739059076</v>
      </c>
      <c r="T89" s="62">
        <f t="shared" si="88"/>
        <v>172.32171001882188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-2.2737367544323206E-13</v>
      </c>
      <c r="AJ89" s="14">
        <f>AI89*VLOOKUP('Données projet'!$B$10,Paramètres!$A$1:$I$89,3,0)*VLOOKUP('Données projet'!$B$10,Paramètres!$A$1:$I$89,5,0)</f>
        <v>-1.6671037883497774E-13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215.66498680344858</v>
      </c>
      <c r="AO89" s="62">
        <f t="shared" si="90"/>
        <v>199.86715787211114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-5.6843418860808015E-14</v>
      </c>
      <c r="BE89" s="14">
        <f>BD89*VLOOKUP('Données projet'!$B$11,Paramètres!$A$1:$I$89,3,0)*VLOOKUP('Données projet'!$B$11,Paramètres!$A$1:$I$89,5,0)</f>
        <v>-3.3992364478763198E-14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155.11440101086782</v>
      </c>
      <c r="BJ89" s="62">
        <f t="shared" si="92"/>
        <v>239.53454701506638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4.4521320851996835</v>
      </c>
      <c r="BQ89" s="23">
        <f>EXP(-LN(2)/25)*BQ88+(1-EXP(-LN(2)/25))/(LN(2)/25)*Calculateur!BL89*Calculateur!BN89*VLOOKUP('Données projet'!$B$11,Paramètres!$A$1:$I$89,3,0)*0.475*44/12</f>
        <v>1.5330401326825658</v>
      </c>
      <c r="BR89" s="23">
        <f>EXP(-LN(2)/2)*BR88+(1-EXP(-LN(2)/2))/(LN(2)/2)*BL89*BO89*VLOOKUP('Données projet'!$B$11,Paramètres!$A$1:$I$89,3,0)*0.475*44/12</f>
        <v>1.098566902774267E-8</v>
      </c>
      <c r="BS89" s="24">
        <f t="shared" si="63"/>
        <v>5.9851722288679188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-5.6843418860808015E-14</v>
      </c>
      <c r="BZ89" s="14">
        <f>BY89*VLOOKUP('Données projet'!$B$12,Paramètres!$A$1:$I$89,3,0)*VLOOKUP('Données projet'!$B$12,Paramètres!$A$1:$I$89,5,0)</f>
        <v>-3.3992364478763198E-14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155.11440101086782</v>
      </c>
      <c r="CE89" s="62">
        <f t="shared" si="94"/>
        <v>239.53454701506638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4.4521320851996835</v>
      </c>
      <c r="CL89" s="23">
        <f>EXP(-LN(2)/25)*CL88+(1-EXP(-LN(2)/25))/(LN(2)/25)*Calculateur!CG89*Calculateur!CI89*VLOOKUP('Données projet'!$B$12,Paramètres!$A$1:$I$89,3,0)*0.475*44/12</f>
        <v>1.5330401326825658</v>
      </c>
      <c r="CM89" s="23">
        <f>EXP(-LN(2)/2)*CM88+(1-EXP(-LN(2)/2))/(LN(2)/2)*CG89*CJ89*VLOOKUP('Données projet'!$B$12,Paramètres!$A$1:$I$89,3,0)*0.475*44/12</f>
        <v>1.098566902774267E-8</v>
      </c>
      <c r="CN89" s="24">
        <f t="shared" si="66"/>
        <v>5.9851722288679188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-1.1368683772161603E-13</v>
      </c>
      <c r="CU89" s="18">
        <f>CT89*VLOOKUP('Données projet'!$B$13,Paramètres!$A$1:$I$89,3,0)*VLOOKUP('Données projet'!$B$13,Paramètres!$A$1:$I$89,5,0)</f>
        <v>-9.2222762759774927E-14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191.03017979797141</v>
      </c>
      <c r="CZ89" s="62">
        <f t="shared" si="96"/>
        <v>222.78252111624278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3.5897435897435912</v>
      </c>
      <c r="DO89" s="13">
        <f>IF('Données projet'!$A$166&gt;35,DO88+DN89-DW88,IF(A89&lt;'Données projet'!$A$166,$DL$205^A89,IF(A89='Données projet'!$A$166,'Données projet'!$B$166,DO88+DN89-DW88)))</f>
        <v>222.82051282051273</v>
      </c>
      <c r="DP89" s="18">
        <f>DO89*VLOOKUP('Données projet'!$B$14,Paramètres!$A$1:$I$89,3,0)*VLOOKUP('Données projet'!$B$14,Paramètres!$A$1:$I$89,5,0)</f>
        <v>212.03599999999992</v>
      </c>
      <c r="DQ89" s="14">
        <f t="shared" si="97"/>
        <v>52.380252774201118</v>
      </c>
      <c r="DR89" s="22">
        <f t="shared" si="70"/>
        <v>460.52497358173349</v>
      </c>
      <c r="DS89" s="62">
        <f t="shared" si="71"/>
        <v>753.85830691506681</v>
      </c>
      <c r="DT89" s="62">
        <f ca="1">AVERAGE(OFFSET($DS$3,0,0,'Données projet'!$E$14+1,1))-AVERAGE(OFFSET($H$3,0,0,'Données projet'!$E$14+1,1))</f>
        <v>260.93525280373063</v>
      </c>
      <c r="DU89" s="62">
        <f t="shared" si="98"/>
        <v>206.83968452163816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1.5429166666666674</v>
      </c>
      <c r="EJ89" s="13">
        <f>IF('Données projet'!$A$192&gt;35,EJ88+EI89-ER88,IF(A89&lt;'Données projet'!$A$192,$EG$205^A89,IF(A89='Données projet'!$A$192,'Données projet'!$B$192,EJ88+EI89-ER88)))</f>
        <v>100.23666666666662</v>
      </c>
      <c r="EK89" s="18">
        <f>EJ89*VLOOKUP('Données projet'!$B$15,Paramètres!$A$1:$I$89,3,0)*VLOOKUP('Données projet'!$B$15,Paramètres!$A$1:$I$89,5,0)</f>
        <v>115.47263999999994</v>
      </c>
      <c r="EL89" s="14">
        <f t="shared" si="99"/>
        <v>30.616715119547948</v>
      </c>
      <c r="EM89" s="22">
        <f t="shared" si="73"/>
        <v>254.43896016654585</v>
      </c>
      <c r="EN89" s="62">
        <f t="shared" si="74"/>
        <v>547.7722934998792</v>
      </c>
      <c r="EO89" s="62">
        <f ca="1">AVERAGE(OFFSET($EN$3,0,0,'Données projet'!$E$15+1,1))-AVERAGE(OFFSET($H$3,0,0,'Données projet'!$E$15+1,1))</f>
        <v>118.01099353898547</v>
      </c>
      <c r="EP89" s="62">
        <f t="shared" si="100"/>
        <v>103.17146760845947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5.6</v>
      </c>
      <c r="FE89" s="13">
        <f>IF('Données projet'!$A$218&gt;35,FE88+FD89-FM88,IF(A89&lt;'Données projet'!$A$218,$FB$205^A89,IF(A89='Données projet'!$A$218,'Données projet'!$B$218,FE88+FD89-FM88)))</f>
        <v>273.59999999999997</v>
      </c>
      <c r="FF89" s="18">
        <f>FE89*VLOOKUP('Données projet'!$B$16,Paramètres!$A$1:$I$89,3,0)*VLOOKUP('Données projet'!$B$16,Paramètres!$A$1:$I$89,5,0)</f>
        <v>273.16224</v>
      </c>
      <c r="FG89" s="14">
        <f t="shared" si="101"/>
        <v>65.519920954531997</v>
      </c>
      <c r="FH89" s="22">
        <f t="shared" si="76"/>
        <v>589.87143032914321</v>
      </c>
      <c r="FI89" s="62">
        <f t="shared" si="77"/>
        <v>883.20476366247658</v>
      </c>
      <c r="FJ89" s="62">
        <f ca="1">AVERAGE(OFFSET($FI$3,0,0,'Données projet'!$E$16+1,1))-AVERAGE(OFFSET($H$3,0,0,'Données projet'!$E$16+1,1))</f>
        <v>343.71044073996887</v>
      </c>
      <c r="FK89" s="62">
        <f t="shared" si="102"/>
        <v>193.51732627292375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5.6</v>
      </c>
      <c r="N90" s="14">
        <f>IF('Données projet'!$A$36&gt;35,N89+M90-V89,IF(A90&lt;'Données projet'!$A$36,$K$205^A90,IF(A90='Données projet'!$A$36,'Données projet'!$B$36,N89+M90-V89)))</f>
        <v>279.2</v>
      </c>
      <c r="O90" s="14">
        <f>N90*VLOOKUP('Données projet'!$B$9,Paramètres!$A$1:$I$89,3,0)*VLOOKUP('Données projet'!$B$9,Paramètres!$A$1:$I$89,5,0)</f>
        <v>252.62015999999997</v>
      </c>
      <c r="P90" s="14">
        <f t="shared" si="87"/>
        <v>61.14666777229877</v>
      </c>
      <c r="Q90" s="22">
        <f t="shared" si="54"/>
        <v>546.47722503675357</v>
      </c>
      <c r="R90" s="62">
        <f t="shared" si="55"/>
        <v>839.81055837008694</v>
      </c>
      <c r="S90" s="62">
        <f ca="1">AVERAGE(OFFSET($R$3,0,0,'Données projet'!$E$9+1,1))-AVERAGE(OFFSET($H$3,0,0,'Données projet'!$E$9+1,1))</f>
        <v>303.73499739059076</v>
      </c>
      <c r="T90" s="62">
        <f t="shared" si="88"/>
        <v>172.32171001882188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-2.2737367544323206E-13</v>
      </c>
      <c r="AJ90" s="14">
        <f>AI90*VLOOKUP('Données projet'!$B$10,Paramètres!$A$1:$I$89,3,0)*VLOOKUP('Données projet'!$B$10,Paramètres!$A$1:$I$89,5,0)</f>
        <v>-1.6671037883497774E-13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215.66498680344858</v>
      </c>
      <c r="AO90" s="62">
        <f t="shared" si="90"/>
        <v>199.86715787211114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-5.6843418860808015E-14</v>
      </c>
      <c r="BE90" s="14">
        <f>BD90*VLOOKUP('Données projet'!$B$11,Paramètres!$A$1:$I$89,3,0)*VLOOKUP('Données projet'!$B$11,Paramètres!$A$1:$I$89,5,0)</f>
        <v>-3.3992364478763198E-14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155.11440101086782</v>
      </c>
      <c r="BJ90" s="62">
        <f t="shared" si="92"/>
        <v>239.53454701506638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4.3648284905413535</v>
      </c>
      <c r="BQ90" s="23">
        <f>EXP(-LN(2)/25)*BQ89+(1-EXP(-LN(2)/25))/(LN(2)/25)*Calculateur!BL90*Calculateur!BN90*VLOOKUP('Données projet'!$B$11,Paramètres!$A$1:$I$89,3,0)*0.475*44/12</f>
        <v>1.4911190696352843</v>
      </c>
      <c r="BR90" s="23">
        <f>EXP(-LN(2)/2)*BR89+(1-EXP(-LN(2)/2))/(LN(2)/2)*BL90*BO90*VLOOKUP('Données projet'!$B$11,Paramètres!$A$1:$I$89,3,0)*0.475*44/12</f>
        <v>7.7680410653878684E-9</v>
      </c>
      <c r="BS90" s="24">
        <f t="shared" si="63"/>
        <v>5.8559475679446793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-5.6843418860808015E-14</v>
      </c>
      <c r="BZ90" s="14">
        <f>BY90*VLOOKUP('Données projet'!$B$12,Paramètres!$A$1:$I$89,3,0)*VLOOKUP('Données projet'!$B$12,Paramètres!$A$1:$I$89,5,0)</f>
        <v>-3.3992364478763198E-14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155.11440101086782</v>
      </c>
      <c r="CE90" s="62">
        <f t="shared" si="94"/>
        <v>239.53454701506638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4.3648284905413535</v>
      </c>
      <c r="CL90" s="23">
        <f>EXP(-LN(2)/25)*CL89+(1-EXP(-LN(2)/25))/(LN(2)/25)*Calculateur!CG90*Calculateur!CI90*VLOOKUP('Données projet'!$B$12,Paramètres!$A$1:$I$89,3,0)*0.475*44/12</f>
        <v>1.4911190696352843</v>
      </c>
      <c r="CM90" s="23">
        <f>EXP(-LN(2)/2)*CM89+(1-EXP(-LN(2)/2))/(LN(2)/2)*CG90*CJ90*VLOOKUP('Données projet'!$B$12,Paramètres!$A$1:$I$89,3,0)*0.475*44/12</f>
        <v>7.7680410653878684E-9</v>
      </c>
      <c r="CN90" s="24">
        <f t="shared" si="66"/>
        <v>5.8559475679446793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-1.1368683772161603E-13</v>
      </c>
      <c r="CU90" s="18">
        <f>CT90*VLOOKUP('Données projet'!$B$13,Paramètres!$A$1:$I$89,3,0)*VLOOKUP('Données projet'!$B$13,Paramètres!$A$1:$I$89,5,0)</f>
        <v>-9.2222762759774927E-14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191.03017979797141</v>
      </c>
      <c r="CZ90" s="62">
        <f t="shared" si="96"/>
        <v>222.78252111624278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3.5897435897435912</v>
      </c>
      <c r="DO90" s="13">
        <f>IF('Données projet'!$A$166&gt;35,DO89+DN90-DW89,IF(A90&lt;'Données projet'!$A$166,$DL$205^A90,IF(A90='Données projet'!$A$166,'Données projet'!$B$166,DO89+DN90-DW89)))</f>
        <v>226.41025641025632</v>
      </c>
      <c r="DP90" s="18">
        <f>DO90*VLOOKUP('Données projet'!$B$14,Paramètres!$A$1:$I$89,3,0)*VLOOKUP('Données projet'!$B$14,Paramètres!$A$1:$I$89,5,0)</f>
        <v>215.45199999999988</v>
      </c>
      <c r="DQ90" s="14">
        <f t="shared" si="97"/>
        <v>53.125201841889961</v>
      </c>
      <c r="DR90" s="22">
        <f t="shared" si="70"/>
        <v>467.77195987462483</v>
      </c>
      <c r="DS90" s="62">
        <f t="shared" si="71"/>
        <v>761.10529320795808</v>
      </c>
      <c r="DT90" s="62">
        <f ca="1">AVERAGE(OFFSET($DS$3,0,0,'Données projet'!$E$14+1,1))-AVERAGE(OFFSET($H$3,0,0,'Données projet'!$E$14+1,1))</f>
        <v>260.93525280373063</v>
      </c>
      <c r="DU90" s="62">
        <f t="shared" si="98"/>
        <v>206.83968452163816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1.5429166666666674</v>
      </c>
      <c r="EJ90" s="13">
        <f>IF('Données projet'!$A$192&gt;35,EJ89+EI90-ER89,IF(A90&lt;'Données projet'!$A$192,$EG$205^A90,IF(A90='Données projet'!$A$192,'Données projet'!$B$192,EJ89+EI90-ER89)))</f>
        <v>101.77958333333329</v>
      </c>
      <c r="EK90" s="18">
        <f>EJ90*VLOOKUP('Données projet'!$B$15,Paramètres!$A$1:$I$89,3,0)*VLOOKUP('Données projet'!$B$15,Paramètres!$A$1:$I$89,5,0)</f>
        <v>117.25007999999994</v>
      </c>
      <c r="EL90" s="14">
        <f t="shared" si="99"/>
        <v>31.032762821194346</v>
      </c>
      <c r="EM90" s="22">
        <f t="shared" si="73"/>
        <v>258.25928458024669</v>
      </c>
      <c r="EN90" s="62">
        <f t="shared" si="74"/>
        <v>551.59261791357994</v>
      </c>
      <c r="EO90" s="62">
        <f ca="1">AVERAGE(OFFSET($EN$3,0,0,'Données projet'!$E$15+1,1))-AVERAGE(OFFSET($H$3,0,0,'Données projet'!$E$15+1,1))</f>
        <v>118.01099353898547</v>
      </c>
      <c r="EP90" s="62">
        <f t="shared" si="100"/>
        <v>103.17146760845947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5.6</v>
      </c>
      <c r="FE90" s="13">
        <f>IF('Données projet'!$A$218&gt;35,FE89+FD90-FM89,IF(A90&lt;'Données projet'!$A$218,$FB$205^A90,IF(A90='Données projet'!$A$218,'Données projet'!$B$218,FE89+FD90-FM89)))</f>
        <v>279.2</v>
      </c>
      <c r="FF90" s="18">
        <f>FE90*VLOOKUP('Données projet'!$B$16,Paramètres!$A$1:$I$89,3,0)*VLOOKUP('Données projet'!$B$16,Paramètres!$A$1:$I$89,5,0)</f>
        <v>278.75328000000002</v>
      </c>
      <c r="FG90" s="14">
        <f t="shared" si="101"/>
        <v>66.703472717805496</v>
      </c>
      <c r="FH90" s="22">
        <f t="shared" si="76"/>
        <v>601.67051098351124</v>
      </c>
      <c r="FI90" s="62">
        <f t="shared" si="77"/>
        <v>895.00384431684461</v>
      </c>
      <c r="FJ90" s="62">
        <f ca="1">AVERAGE(OFFSET($FI$3,0,0,'Données projet'!$E$16+1,1))-AVERAGE(OFFSET($H$3,0,0,'Données projet'!$E$16+1,1))</f>
        <v>343.71044073996887</v>
      </c>
      <c r="FK90" s="62">
        <f t="shared" si="102"/>
        <v>193.51732627292375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5.6</v>
      </c>
      <c r="N91" s="14">
        <f>IF('Données projet'!$A$36&gt;35,N90+M91-V90,IF(A91&lt;'Données projet'!$A$36,$K$205^A91,IF(A91='Données projet'!$A$36,'Données projet'!$B$36,N90+M91-V90)))</f>
        <v>284.8</v>
      </c>
      <c r="O91" s="14">
        <f>N91*VLOOKUP('Données projet'!$B$9,Paramètres!$A$1:$I$89,3,0)*VLOOKUP('Données projet'!$B$9,Paramètres!$A$1:$I$89,5,0)</f>
        <v>257.68704000000002</v>
      </c>
      <c r="P91" s="14">
        <f t="shared" si="87"/>
        <v>62.229092239243343</v>
      </c>
      <c r="Q91" s="22">
        <f t="shared" si="54"/>
        <v>557.18726365001555</v>
      </c>
      <c r="R91" s="62">
        <f t="shared" si="55"/>
        <v>850.52059698334892</v>
      </c>
      <c r="S91" s="62">
        <f ca="1">AVERAGE(OFFSET($R$3,0,0,'Données projet'!$E$9+1,1))-AVERAGE(OFFSET($H$3,0,0,'Données projet'!$E$9+1,1))</f>
        <v>303.73499739059076</v>
      </c>
      <c r="T91" s="62">
        <f t="shared" si="88"/>
        <v>172.32171001882188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-2.2737367544323206E-13</v>
      </c>
      <c r="AJ91" s="14">
        <f>AI91*VLOOKUP('Données projet'!$B$10,Paramètres!$A$1:$I$89,3,0)*VLOOKUP('Données projet'!$B$10,Paramètres!$A$1:$I$89,5,0)</f>
        <v>-1.6671037883497774E-13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215.66498680344858</v>
      </c>
      <c r="AO91" s="62">
        <f t="shared" si="90"/>
        <v>199.86715787211114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-5.6843418860808015E-14</v>
      </c>
      <c r="BE91" s="14">
        <f>BD91*VLOOKUP('Données projet'!$B$11,Paramètres!$A$1:$I$89,3,0)*VLOOKUP('Données projet'!$B$11,Paramètres!$A$1:$I$89,5,0)</f>
        <v>-3.3992364478763198E-14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155.11440101086782</v>
      </c>
      <c r="BJ91" s="62">
        <f t="shared" si="92"/>
        <v>239.53454701506638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4.2792368661243385</v>
      </c>
      <c r="BQ91" s="23">
        <f>EXP(-LN(2)/25)*BQ90+(1-EXP(-LN(2)/25))/(LN(2)/25)*Calculateur!BL91*Calculateur!BN91*VLOOKUP('Données projet'!$B$11,Paramètres!$A$1:$I$89,3,0)*0.475*44/12</f>
        <v>1.4503443402615637</v>
      </c>
      <c r="BR91" s="23">
        <f>EXP(-LN(2)/2)*BR90+(1-EXP(-LN(2)/2))/(LN(2)/2)*BL91*BO91*VLOOKUP('Données projet'!$B$11,Paramètres!$A$1:$I$89,3,0)*0.475*44/12</f>
        <v>5.4928345138713351E-9</v>
      </c>
      <c r="BS91" s="24">
        <f t="shared" si="63"/>
        <v>5.7295812118787364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-5.6843418860808015E-14</v>
      </c>
      <c r="BZ91" s="14">
        <f>BY91*VLOOKUP('Données projet'!$B$12,Paramètres!$A$1:$I$89,3,0)*VLOOKUP('Données projet'!$B$12,Paramètres!$A$1:$I$89,5,0)</f>
        <v>-3.3992364478763198E-14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155.11440101086782</v>
      </c>
      <c r="CE91" s="62">
        <f t="shared" si="94"/>
        <v>239.53454701506638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4.2792368661243385</v>
      </c>
      <c r="CL91" s="23">
        <f>EXP(-LN(2)/25)*CL90+(1-EXP(-LN(2)/25))/(LN(2)/25)*Calculateur!CG91*Calculateur!CI91*VLOOKUP('Données projet'!$B$12,Paramètres!$A$1:$I$89,3,0)*0.475*44/12</f>
        <v>1.4503443402615637</v>
      </c>
      <c r="CM91" s="23">
        <f>EXP(-LN(2)/2)*CM90+(1-EXP(-LN(2)/2))/(LN(2)/2)*CG91*CJ91*VLOOKUP('Données projet'!$B$12,Paramètres!$A$1:$I$89,3,0)*0.475*44/12</f>
        <v>5.4928345138713351E-9</v>
      </c>
      <c r="CN91" s="24">
        <f t="shared" si="66"/>
        <v>5.7295812118787364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-1.1368683772161603E-13</v>
      </c>
      <c r="CU91" s="18">
        <f>CT91*VLOOKUP('Données projet'!$B$13,Paramètres!$A$1:$I$89,3,0)*VLOOKUP('Données projet'!$B$13,Paramètres!$A$1:$I$89,5,0)</f>
        <v>-9.2222762759774927E-14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191.03017979797141</v>
      </c>
      <c r="CZ91" s="62">
        <f t="shared" si="96"/>
        <v>222.78252111624278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3.5897435897435912</v>
      </c>
      <c r="DO91" s="13">
        <f>IF('Données projet'!$A$166&gt;35,DO90+DN91-DW90,IF(A91&lt;'Données projet'!$A$166,$DL$205^A91,IF(A91='Données projet'!$A$166,'Données projet'!$B$166,DO90+DN91-DW90)))</f>
        <v>229.99999999999991</v>
      </c>
      <c r="DP91" s="18">
        <f>DO91*VLOOKUP('Données projet'!$B$14,Paramètres!$A$1:$I$89,3,0)*VLOOKUP('Données projet'!$B$14,Paramètres!$A$1:$I$89,5,0)</f>
        <v>218.86799999999994</v>
      </c>
      <c r="DQ91" s="14">
        <f t="shared" si="97"/>
        <v>53.868777293257502</v>
      </c>
      <c r="DR91" s="22">
        <f t="shared" si="70"/>
        <v>475.01655378575668</v>
      </c>
      <c r="DS91" s="62">
        <f t="shared" si="71"/>
        <v>768.34988711909</v>
      </c>
      <c r="DT91" s="62">
        <f ca="1">AVERAGE(OFFSET($DS$3,0,0,'Données projet'!$E$14+1,1))-AVERAGE(OFFSET($H$3,0,0,'Données projet'!$E$14+1,1))</f>
        <v>260.93525280373063</v>
      </c>
      <c r="DU91" s="62">
        <f t="shared" si="98"/>
        <v>206.83968452163816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1.5429166666666674</v>
      </c>
      <c r="EJ91" s="13">
        <f>IF('Données projet'!$A$192&gt;35,EJ90+EI91-ER90,IF(A91&lt;'Données projet'!$A$192,$EG$205^A91,IF(A91='Données projet'!$A$192,'Données projet'!$B$192,EJ90+EI91-ER90)))</f>
        <v>103.32249999999996</v>
      </c>
      <c r="EK91" s="18">
        <f>EJ91*VLOOKUP('Données projet'!$B$15,Paramètres!$A$1:$I$89,3,0)*VLOOKUP('Données projet'!$B$15,Paramètres!$A$1:$I$89,5,0)</f>
        <v>119.02751999999994</v>
      </c>
      <c r="EL91" s="14">
        <f t="shared" si="99"/>
        <v>31.448077002121423</v>
      </c>
      <c r="EM91" s="22">
        <f t="shared" si="73"/>
        <v>262.07833144536136</v>
      </c>
      <c r="EN91" s="62">
        <f t="shared" si="74"/>
        <v>555.41166477869467</v>
      </c>
      <c r="EO91" s="62">
        <f ca="1">AVERAGE(OFFSET($EN$3,0,0,'Données projet'!$E$15+1,1))-AVERAGE(OFFSET($H$3,0,0,'Données projet'!$E$15+1,1))</f>
        <v>118.01099353898547</v>
      </c>
      <c r="EP91" s="62">
        <f t="shared" si="100"/>
        <v>103.17146760845947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5.6</v>
      </c>
      <c r="FE91" s="13">
        <f>IF('Données projet'!$A$218&gt;35,FE90+FD91-FM90,IF(A91&lt;'Données projet'!$A$218,$FB$205^A91,IF(A91='Données projet'!$A$218,'Données projet'!$B$218,FE90+FD91-FM90)))</f>
        <v>284.8</v>
      </c>
      <c r="FF91" s="18">
        <f>FE91*VLOOKUP('Données projet'!$B$16,Paramètres!$A$1:$I$89,3,0)*VLOOKUP('Données projet'!$B$16,Paramètres!$A$1:$I$89,5,0)</f>
        <v>284.34432000000004</v>
      </c>
      <c r="FG91" s="14">
        <f t="shared" si="101"/>
        <v>67.884264305153849</v>
      </c>
      <c r="FH91" s="22">
        <f t="shared" si="76"/>
        <v>613.46478433147638</v>
      </c>
      <c r="FI91" s="62">
        <f t="shared" si="77"/>
        <v>906.79811766480975</v>
      </c>
      <c r="FJ91" s="62">
        <f ca="1">AVERAGE(OFFSET($FI$3,0,0,'Données projet'!$E$16+1,1))-AVERAGE(OFFSET($H$3,0,0,'Données projet'!$E$16+1,1))</f>
        <v>343.71044073996887</v>
      </c>
      <c r="FK91" s="62">
        <f t="shared" si="102"/>
        <v>193.51732627292375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5.6</v>
      </c>
      <c r="N92" s="14">
        <f>IF('Données projet'!$A$36&gt;35,N91+M92-V91,IF(A92&lt;'Données projet'!$A$36,$K$205^A92,IF(A92='Données projet'!$A$36,'Données projet'!$B$36,N91+M92-V91)))</f>
        <v>290.40000000000003</v>
      </c>
      <c r="O92" s="14">
        <f>N92*VLOOKUP('Données projet'!$B$9,Paramètres!$A$1:$I$89,3,0)*VLOOKUP('Données projet'!$B$9,Paramètres!$A$1:$I$89,5,0)</f>
        <v>262.75392000000005</v>
      </c>
      <c r="P92" s="14">
        <f t="shared" si="87"/>
        <v>63.309041956360382</v>
      </c>
      <c r="Q92" s="22">
        <f t="shared" si="54"/>
        <v>567.89299207399438</v>
      </c>
      <c r="R92" s="62">
        <f t="shared" si="55"/>
        <v>861.22632540732775</v>
      </c>
      <c r="S92" s="62">
        <f ca="1">AVERAGE(OFFSET($R$3,0,0,'Données projet'!$E$9+1,1))-AVERAGE(OFFSET($H$3,0,0,'Données projet'!$E$9+1,1))</f>
        <v>303.73499739059076</v>
      </c>
      <c r="T92" s="62">
        <f t="shared" si="88"/>
        <v>172.32171001882188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-2.2737367544323206E-13</v>
      </c>
      <c r="AJ92" s="14">
        <f>AI92*VLOOKUP('Données projet'!$B$10,Paramètres!$A$1:$I$89,3,0)*VLOOKUP('Données projet'!$B$10,Paramètres!$A$1:$I$89,5,0)</f>
        <v>-1.6671037883497774E-13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215.66498680344858</v>
      </c>
      <c r="AO92" s="62">
        <f t="shared" si="90"/>
        <v>199.86715787211114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-5.6843418860808015E-14</v>
      </c>
      <c r="BE92" s="14">
        <f>BD92*VLOOKUP('Données projet'!$B$11,Paramètres!$A$1:$I$89,3,0)*VLOOKUP('Données projet'!$B$11,Paramètres!$A$1:$I$89,5,0)</f>
        <v>-3.3992364478763198E-14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155.11440101086782</v>
      </c>
      <c r="BJ92" s="62">
        <f t="shared" si="92"/>
        <v>239.53454701506638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4.1953236412564046</v>
      </c>
      <c r="BQ92" s="23">
        <f>EXP(-LN(2)/25)*BQ91+(1-EXP(-LN(2)/25))/(LN(2)/25)*Calculateur!BL92*Calculateur!BN92*VLOOKUP('Données projet'!$B$11,Paramètres!$A$1:$I$89,3,0)*0.475*44/12</f>
        <v>1.4106845980068172</v>
      </c>
      <c r="BR92" s="23">
        <f>EXP(-LN(2)/2)*BR91+(1-EXP(-LN(2)/2))/(LN(2)/2)*BL92*BO92*VLOOKUP('Données projet'!$B$11,Paramètres!$A$1:$I$89,3,0)*0.475*44/12</f>
        <v>3.8840205326939342E-9</v>
      </c>
      <c r="BS92" s="24">
        <f t="shared" si="63"/>
        <v>5.606008243147242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-5.6843418860808015E-14</v>
      </c>
      <c r="BZ92" s="14">
        <f>BY92*VLOOKUP('Données projet'!$B$12,Paramètres!$A$1:$I$89,3,0)*VLOOKUP('Données projet'!$B$12,Paramètres!$A$1:$I$89,5,0)</f>
        <v>-3.3992364478763198E-14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155.11440101086782</v>
      </c>
      <c r="CE92" s="62">
        <f t="shared" si="94"/>
        <v>239.53454701506638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4.1953236412564046</v>
      </c>
      <c r="CL92" s="23">
        <f>EXP(-LN(2)/25)*CL91+(1-EXP(-LN(2)/25))/(LN(2)/25)*Calculateur!CG92*Calculateur!CI92*VLOOKUP('Données projet'!$B$12,Paramètres!$A$1:$I$89,3,0)*0.475*44/12</f>
        <v>1.4106845980068172</v>
      </c>
      <c r="CM92" s="23">
        <f>EXP(-LN(2)/2)*CM91+(1-EXP(-LN(2)/2))/(LN(2)/2)*CG92*CJ92*VLOOKUP('Données projet'!$B$12,Paramètres!$A$1:$I$89,3,0)*0.475*44/12</f>
        <v>3.8840205326939342E-9</v>
      </c>
      <c r="CN92" s="24">
        <f t="shared" si="66"/>
        <v>5.606008243147242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-1.1368683772161603E-13</v>
      </c>
      <c r="CU92" s="18">
        <f>CT92*VLOOKUP('Données projet'!$B$13,Paramètres!$A$1:$I$89,3,0)*VLOOKUP('Données projet'!$B$13,Paramètres!$A$1:$I$89,5,0)</f>
        <v>-9.2222762759774927E-14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191.03017979797141</v>
      </c>
      <c r="CZ92" s="62">
        <f t="shared" si="96"/>
        <v>222.78252111624278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3.5897435897435912</v>
      </c>
      <c r="DO92" s="13">
        <f>IF('Données projet'!$A$166&gt;35,DO91+DN92-DW91,IF(A92&lt;'Données projet'!$A$166,$DL$205^A92,IF(A92='Données projet'!$A$166,'Données projet'!$B$166,DO91+DN92-DW91)))</f>
        <v>233.58974358974351</v>
      </c>
      <c r="DP92" s="18">
        <f>DO92*VLOOKUP('Données projet'!$B$14,Paramètres!$A$1:$I$89,3,0)*VLOOKUP('Données projet'!$B$14,Paramètres!$A$1:$I$89,5,0)</f>
        <v>222.28399999999993</v>
      </c>
      <c r="DQ92" s="14">
        <f t="shared" si="97"/>
        <v>54.611003042838703</v>
      </c>
      <c r="DR92" s="22">
        <f t="shared" si="70"/>
        <v>482.25879696627726</v>
      </c>
      <c r="DS92" s="62">
        <f t="shared" si="71"/>
        <v>775.59213029961052</v>
      </c>
      <c r="DT92" s="62">
        <f ca="1">AVERAGE(OFFSET($DS$3,0,0,'Données projet'!$E$14+1,1))-AVERAGE(OFFSET($H$3,0,0,'Données projet'!$E$14+1,1))</f>
        <v>260.93525280373063</v>
      </c>
      <c r="DU92" s="62">
        <f t="shared" si="98"/>
        <v>206.83968452163816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1.5429166666666674</v>
      </c>
      <c r="EJ92" s="13">
        <f>IF('Données projet'!$A$192&gt;35,EJ91+EI92-ER91,IF(A92&lt;'Données projet'!$A$192,$EG$205^A92,IF(A92='Données projet'!$A$192,'Données projet'!$B$192,EJ91+EI92-ER91)))</f>
        <v>104.86541666666663</v>
      </c>
      <c r="EK92" s="18">
        <f>EJ92*VLOOKUP('Données projet'!$B$15,Paramètres!$A$1:$I$89,3,0)*VLOOKUP('Données projet'!$B$15,Paramètres!$A$1:$I$89,5,0)</f>
        <v>120.80495999999994</v>
      </c>
      <c r="EL92" s="14">
        <f t="shared" si="99"/>
        <v>31.862669881307355</v>
      </c>
      <c r="EM92" s="22">
        <f t="shared" si="73"/>
        <v>265.89612204327688</v>
      </c>
      <c r="EN92" s="62">
        <f t="shared" si="74"/>
        <v>559.22945537661019</v>
      </c>
      <c r="EO92" s="62">
        <f ca="1">AVERAGE(OFFSET($EN$3,0,0,'Données projet'!$E$15+1,1))-AVERAGE(OFFSET($H$3,0,0,'Données projet'!$E$15+1,1))</f>
        <v>118.01099353898547</v>
      </c>
      <c r="EP92" s="62">
        <f t="shared" si="100"/>
        <v>103.17146760845947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5.6</v>
      </c>
      <c r="FE92" s="13">
        <f>IF('Données projet'!$A$218&gt;35,FE91+FD92-FM91,IF(A92&lt;'Données projet'!$A$218,$FB$205^A92,IF(A92='Données projet'!$A$218,'Données projet'!$B$218,FE91+FD92-FM91)))</f>
        <v>290.40000000000003</v>
      </c>
      <c r="FF92" s="18">
        <f>FE92*VLOOKUP('Données projet'!$B$16,Paramètres!$A$1:$I$89,3,0)*VLOOKUP('Données projet'!$B$16,Paramètres!$A$1:$I$89,5,0)</f>
        <v>289.93536000000006</v>
      </c>
      <c r="FG92" s="14">
        <f t="shared" si="101"/>
        <v>69.062356245675787</v>
      </c>
      <c r="FH92" s="22">
        <f t="shared" si="76"/>
        <v>625.25435579455211</v>
      </c>
      <c r="FI92" s="62">
        <f t="shared" si="77"/>
        <v>918.58768912788537</v>
      </c>
      <c r="FJ92" s="62">
        <f ca="1">AVERAGE(OFFSET($FI$3,0,0,'Données projet'!$E$16+1,1))-AVERAGE(OFFSET($H$3,0,0,'Données projet'!$E$16+1,1))</f>
        <v>343.71044073996887</v>
      </c>
      <c r="FK92" s="62">
        <f t="shared" si="102"/>
        <v>193.51732627292375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5.6</v>
      </c>
      <c r="M93" s="13">
        <f t="array" ref="M93">INDEX(L:L,MIN(IF(ISNUMBER(L93:L289),ROW(L93:L289),"")))</f>
        <v>5.6</v>
      </c>
      <c r="N93" s="14">
        <f>IF('Données projet'!$A$36&gt;35,N92+M93-V92,IF(A93&lt;'Données projet'!$A$36,$K$205^A93,IF(A93='Données projet'!$A$36,'Données projet'!$B$36,N92+M93-V92)))</f>
        <v>296.00000000000006</v>
      </c>
      <c r="O93" s="14">
        <f>N93*VLOOKUP('Données projet'!$B$9,Paramètres!$A$1:$I$89,3,0)*VLOOKUP('Données projet'!$B$9,Paramètres!$A$1:$I$89,5,0)</f>
        <v>267.82080000000008</v>
      </c>
      <c r="P93" s="14">
        <f t="shared" si="87"/>
        <v>64.386570147897373</v>
      </c>
      <c r="Q93" s="22">
        <f t="shared" si="54"/>
        <v>578.59450300758806</v>
      </c>
      <c r="R93" s="62">
        <f t="shared" si="55"/>
        <v>871.92783634092143</v>
      </c>
      <c r="S93" s="62">
        <f ca="1">AVERAGE(OFFSET($R$3,0,0,'Données projet'!$E$9+1,1))-AVERAGE(OFFSET($H$3,0,0,'Données projet'!$E$9+1,1))</f>
        <v>303.73499739059076</v>
      </c>
      <c r="T93" s="62">
        <f t="shared" si="88"/>
        <v>172.32171001882188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42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-2.2737367544323206E-13</v>
      </c>
      <c r="AJ93" s="14">
        <f>AI93*VLOOKUP('Données projet'!$B$10,Paramètres!$A$1:$I$89,3,0)*VLOOKUP('Données projet'!$B$10,Paramètres!$A$1:$I$89,5,0)</f>
        <v>-1.6671037883497774E-13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215.66498680344858</v>
      </c>
      <c r="AO93" s="62">
        <f t="shared" si="90"/>
        <v>199.86715787211114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-5.6843418860808015E-14</v>
      </c>
      <c r="BE93" s="14">
        <f>BD93*VLOOKUP('Données projet'!$B$11,Paramètres!$A$1:$I$89,3,0)*VLOOKUP('Données projet'!$B$11,Paramètres!$A$1:$I$89,5,0)</f>
        <v>-3.3992364478763198E-14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155.11440101086782</v>
      </c>
      <c r="BJ93" s="62">
        <f t="shared" si="92"/>
        <v>239.53454701506638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4.1130559035461181</v>
      </c>
      <c r="BQ93" s="23">
        <f>EXP(-LN(2)/25)*BQ92+(1-EXP(-LN(2)/25))/(LN(2)/25)*Calculateur!BL93*Calculateur!BN93*VLOOKUP('Données projet'!$B$11,Paramètres!$A$1:$I$89,3,0)*0.475*44/12</f>
        <v>1.372109353489642</v>
      </c>
      <c r="BR93" s="23">
        <f>EXP(-LN(2)/2)*BR92+(1-EXP(-LN(2)/2))/(LN(2)/2)*BL93*BO93*VLOOKUP('Données projet'!$B$11,Paramètres!$A$1:$I$89,3,0)*0.475*44/12</f>
        <v>2.7464172569356676E-9</v>
      </c>
      <c r="BS93" s="24">
        <f t="shared" si="63"/>
        <v>5.4851652597821774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-5.6843418860808015E-14</v>
      </c>
      <c r="BZ93" s="14">
        <f>BY93*VLOOKUP('Données projet'!$B$12,Paramètres!$A$1:$I$89,3,0)*VLOOKUP('Données projet'!$B$12,Paramètres!$A$1:$I$89,5,0)</f>
        <v>-3.3992364478763198E-14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155.11440101086782</v>
      </c>
      <c r="CE93" s="62">
        <f t="shared" si="94"/>
        <v>239.53454701506638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4.1130559035461181</v>
      </c>
      <c r="CL93" s="23">
        <f>EXP(-LN(2)/25)*CL92+(1-EXP(-LN(2)/25))/(LN(2)/25)*Calculateur!CG93*Calculateur!CI93*VLOOKUP('Données projet'!$B$12,Paramètres!$A$1:$I$89,3,0)*0.475*44/12</f>
        <v>1.372109353489642</v>
      </c>
      <c r="CM93" s="23">
        <f>EXP(-LN(2)/2)*CM92+(1-EXP(-LN(2)/2))/(LN(2)/2)*CG93*CJ93*VLOOKUP('Données projet'!$B$12,Paramètres!$A$1:$I$89,3,0)*0.475*44/12</f>
        <v>2.7464172569356676E-9</v>
      </c>
      <c r="CN93" s="24">
        <f t="shared" si="66"/>
        <v>5.4851652597821774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-1.1368683772161603E-13</v>
      </c>
      <c r="CU93" s="18">
        <f>CT93*VLOOKUP('Données projet'!$B$13,Paramètres!$A$1:$I$89,3,0)*VLOOKUP('Données projet'!$B$13,Paramètres!$A$1:$I$89,5,0)</f>
        <v>-9.2222762759774927E-14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191.03017979797141</v>
      </c>
      <c r="CZ93" s="62">
        <f t="shared" si="96"/>
        <v>222.78252111624278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237.17948717948718</v>
      </c>
      <c r="DM93" s="13">
        <f>VLOOKUP(A93,'Données projet'!$A$165:$I$185,9,0)</f>
        <v>3.5897435897435912</v>
      </c>
      <c r="DN93" s="13">
        <f t="array" ref="DN93">INDEX(DM:DM,MIN(IF(ISNUMBER(DM93:DM289),ROW(DM93:DM289),"")))</f>
        <v>3.5897435897435912</v>
      </c>
      <c r="DO93" s="13">
        <f>IF('Données projet'!$A$166&gt;35,DO92+DN93-DW92,IF(A93&lt;'Données projet'!$A$166,$DL$205^A93,IF(A93='Données projet'!$A$166,'Données projet'!$B$166,DO92+DN93-DW92)))</f>
        <v>237.1794871794871</v>
      </c>
      <c r="DP93" s="18">
        <f>DO93*VLOOKUP('Données projet'!$B$14,Paramètres!$A$1:$I$89,3,0)*VLOOKUP('Données projet'!$B$14,Paramètres!$A$1:$I$89,5,0)</f>
        <v>225.69999999999993</v>
      </c>
      <c r="DQ93" s="14">
        <f t="shared" si="97"/>
        <v>55.351902227969966</v>
      </c>
      <c r="DR93" s="22">
        <f t="shared" si="70"/>
        <v>489.49872971371423</v>
      </c>
      <c r="DS93" s="62">
        <f t="shared" si="71"/>
        <v>782.83206304704754</v>
      </c>
      <c r="DT93" s="62">
        <f ca="1">AVERAGE(OFFSET($DS$3,0,0,'Données projet'!$E$14+1,1))-AVERAGE(OFFSET($H$3,0,0,'Données projet'!$E$14+1,1))</f>
        <v>260.93525280373063</v>
      </c>
      <c r="DU93" s="62">
        <f t="shared" si="98"/>
        <v>206.83968452163816</v>
      </c>
      <c r="DV93" s="16">
        <f>IF(ISNA(VLOOKUP(A93,'Données projet'!$A$165:$I$185,3,0)),0,VLOOKUP(A93,'Données projet'!$A$165:$I$185,3,0))</f>
        <v>8</v>
      </c>
      <c r="DW93" s="16">
        <f>IF(ISNA(VLOOKUP(A93,'Données projet'!$A$165:$I$185,4,0)),0,VLOOKUP(A93,'Données projet'!$A$165:$I$185,4,0))</f>
        <v>25.641025641025639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106.40833333333333</v>
      </c>
      <c r="EH93" s="13">
        <f>VLOOKUP(A93,'Données projet'!$A$191:$I$211,9,0)</f>
        <v>1.5429166666666674</v>
      </c>
      <c r="EI93" s="13">
        <f t="array" ref="EI93">INDEX(EH:EH,MIN(IF(ISNUMBER(EH93:EH289),ROW(EH93:EH289),"")))</f>
        <v>1.5429166666666674</v>
      </c>
      <c r="EJ93" s="13">
        <f>IF('Données projet'!$A$192&gt;35,EJ92+EI93-ER92,IF(A93&lt;'Données projet'!$A$192,$EG$205^A93,IF(A93='Données projet'!$A$192,'Données projet'!$B$192,EJ92+EI93-ER92)))</f>
        <v>106.4083333333333</v>
      </c>
      <c r="EK93" s="18">
        <f>EJ93*VLOOKUP('Données projet'!$B$15,Paramètres!$A$1:$I$89,3,0)*VLOOKUP('Données projet'!$B$15,Paramètres!$A$1:$I$89,5,0)</f>
        <v>122.58239999999996</v>
      </c>
      <c r="EL93" s="14">
        <f t="shared" si="99"/>
        <v>32.276553297525268</v>
      </c>
      <c r="EM93" s="22">
        <f t="shared" si="73"/>
        <v>269.7126769931898</v>
      </c>
      <c r="EN93" s="62">
        <f t="shared" si="74"/>
        <v>563.04601032652317</v>
      </c>
      <c r="EO93" s="62">
        <f ca="1">AVERAGE(OFFSET($EN$3,0,0,'Données projet'!$E$15+1,1))-AVERAGE(OFFSET($H$3,0,0,'Données projet'!$E$15+1,1))</f>
        <v>118.01099353898547</v>
      </c>
      <c r="EP93" s="62">
        <f t="shared" si="100"/>
        <v>103.17146760845947</v>
      </c>
      <c r="EQ93" s="16">
        <f>IF(ISNA(VLOOKUP(A93,'Données projet'!$A$191:$I$211,3,0)),0,VLOOKUP(A93,'Données projet'!$A$191:$I$211,3,0))</f>
        <v>7</v>
      </c>
      <c r="ER93" s="16">
        <f>IF(ISNA(VLOOKUP(A93,'Données projet'!$A$191:$I$211,4,0)),0,VLOOKUP(A93,'Données projet'!$A$191:$I$211,4,0))</f>
        <v>9.1666666666666679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296</v>
      </c>
      <c r="FC93" s="13">
        <f>VLOOKUP(A93,'Données projet'!$A$217:$I$237,9,0)</f>
        <v>5.6</v>
      </c>
      <c r="FD93" s="13">
        <f t="array" ref="FD93">INDEX(FC:FC,MIN(IF(ISNUMBER(FC93:FC289),ROW(FC93:FC289),"")))</f>
        <v>5.6</v>
      </c>
      <c r="FE93" s="13">
        <f>IF('Données projet'!$A$218&gt;35,FE92+FD93-FM92,IF(A93&lt;'Données projet'!$A$218,$FB$205^A93,IF(A93='Données projet'!$A$218,'Données projet'!$B$218,FE92+FD93-FM92)))</f>
        <v>296.00000000000006</v>
      </c>
      <c r="FF93" s="18">
        <f>FE93*VLOOKUP('Données projet'!$B$16,Paramètres!$A$1:$I$89,3,0)*VLOOKUP('Données projet'!$B$16,Paramètres!$A$1:$I$89,5,0)</f>
        <v>295.52640000000002</v>
      </c>
      <c r="FG93" s="14">
        <f t="shared" si="101"/>
        <v>70.237806600460601</v>
      </c>
      <c r="FH93" s="22">
        <f t="shared" si="76"/>
        <v>637.03932649580224</v>
      </c>
      <c r="FI93" s="62">
        <f t="shared" si="77"/>
        <v>930.3726598291355</v>
      </c>
      <c r="FJ93" s="62">
        <f ca="1">AVERAGE(OFFSET($FI$3,0,0,'Données projet'!$E$16+1,1))-AVERAGE(OFFSET($H$3,0,0,'Données projet'!$E$16+1,1))</f>
        <v>343.71044073996887</v>
      </c>
      <c r="FK93" s="62">
        <f t="shared" si="102"/>
        <v>193.51732627292375</v>
      </c>
      <c r="FL93" s="16">
        <f>IF(ISNA(VLOOKUP(A93,'Données projet'!$A$217:$I$237,3,0)),0,VLOOKUP(A93,'Données projet'!$A$217:$I$237,3,0))</f>
        <v>7</v>
      </c>
      <c r="FM93" s="16">
        <f>IF(ISNA(VLOOKUP(A93,'Données projet'!$A$217:$I$237,4,0)),0,VLOOKUP(A93,'Données projet'!$A$217:$I$237,4,0))</f>
        <v>42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4.9000000000000004</v>
      </c>
      <c r="N94" s="14">
        <f>IF('Données projet'!$A$36&gt;35,N93+M94-V93,IF(A94&lt;'Données projet'!$A$36,$K$205^A94,IF(A94='Données projet'!$A$36,'Données projet'!$B$36,N93+M94-V93)))</f>
        <v>258.90000000000003</v>
      </c>
      <c r="O94" s="14">
        <f>N94*VLOOKUP('Données projet'!$B$9,Paramètres!$A$1:$I$89,3,0)*VLOOKUP('Données projet'!$B$9,Paramètres!$A$1:$I$89,5,0)</f>
        <v>234.25272000000001</v>
      </c>
      <c r="P94" s="14">
        <f t="shared" si="87"/>
        <v>57.201236231171301</v>
      </c>
      <c r="Q94" s="22">
        <f t="shared" si="54"/>
        <v>507.61564043595672</v>
      </c>
      <c r="R94" s="62">
        <f t="shared" si="55"/>
        <v>800.94897376928998</v>
      </c>
      <c r="S94" s="62">
        <f ca="1">AVERAGE(OFFSET($R$3,0,0,'Données projet'!$E$9+1,1))-AVERAGE(OFFSET($H$3,0,0,'Données projet'!$E$9+1,1))</f>
        <v>303.73499739059076</v>
      </c>
      <c r="T94" s="62">
        <f t="shared" si="88"/>
        <v>172.32171001882188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-2.2737367544323206E-13</v>
      </c>
      <c r="AJ94" s="14">
        <f>AI94*VLOOKUP('Données projet'!$B$10,Paramètres!$A$1:$I$89,3,0)*VLOOKUP('Données projet'!$B$10,Paramètres!$A$1:$I$89,5,0)</f>
        <v>-1.6671037883497774E-13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215.66498680344858</v>
      </c>
      <c r="AO94" s="62">
        <f t="shared" si="90"/>
        <v>199.86715787211114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-5.6843418860808015E-14</v>
      </c>
      <c r="BE94" s="14">
        <f>BD94*VLOOKUP('Données projet'!$B$11,Paramètres!$A$1:$I$89,3,0)*VLOOKUP('Données projet'!$B$11,Paramètres!$A$1:$I$89,5,0)</f>
        <v>-3.3992364478763198E-14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155.11440101086782</v>
      </c>
      <c r="BJ94" s="62">
        <f t="shared" si="92"/>
        <v>239.53454701506638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4.0324013859939649</v>
      </c>
      <c r="BQ94" s="23">
        <f>EXP(-LN(2)/25)*BQ93+(1-EXP(-LN(2)/25))/(LN(2)/25)*Calculateur!BL94*Calculateur!BN94*VLOOKUP('Données projet'!$B$11,Paramètres!$A$1:$I$89,3,0)*0.475*44/12</f>
        <v>1.334588951062373</v>
      </c>
      <c r="BR94" s="23">
        <f>EXP(-LN(2)/2)*BR93+(1-EXP(-LN(2)/2))/(LN(2)/2)*BL94*BO94*VLOOKUP('Données projet'!$B$11,Paramètres!$A$1:$I$89,3,0)*0.475*44/12</f>
        <v>1.9420102663469671E-9</v>
      </c>
      <c r="BS94" s="24">
        <f t="shared" si="63"/>
        <v>5.366990338998348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-5.6843418860808015E-14</v>
      </c>
      <c r="BZ94" s="14">
        <f>BY94*VLOOKUP('Données projet'!$B$12,Paramètres!$A$1:$I$89,3,0)*VLOOKUP('Données projet'!$B$12,Paramètres!$A$1:$I$89,5,0)</f>
        <v>-3.3992364478763198E-14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155.11440101086782</v>
      </c>
      <c r="CE94" s="62">
        <f t="shared" si="94"/>
        <v>239.53454701506638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4.0324013859939649</v>
      </c>
      <c r="CL94" s="23">
        <f>EXP(-LN(2)/25)*CL93+(1-EXP(-LN(2)/25))/(LN(2)/25)*Calculateur!CG94*Calculateur!CI94*VLOOKUP('Données projet'!$B$12,Paramètres!$A$1:$I$89,3,0)*0.475*44/12</f>
        <v>1.334588951062373</v>
      </c>
      <c r="CM94" s="23">
        <f>EXP(-LN(2)/2)*CM93+(1-EXP(-LN(2)/2))/(LN(2)/2)*CG94*CJ94*VLOOKUP('Données projet'!$B$12,Paramètres!$A$1:$I$89,3,0)*0.475*44/12</f>
        <v>1.9420102663469671E-9</v>
      </c>
      <c r="CN94" s="24">
        <f t="shared" si="66"/>
        <v>5.366990338998348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-1.1368683772161603E-13</v>
      </c>
      <c r="CU94" s="18">
        <f>CT94*VLOOKUP('Données projet'!$B$13,Paramètres!$A$1:$I$89,3,0)*VLOOKUP('Données projet'!$B$13,Paramètres!$A$1:$I$89,5,0)</f>
        <v>-9.2222762759774927E-14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191.03017979797141</v>
      </c>
      <c r="CZ94" s="62">
        <f t="shared" si="96"/>
        <v>222.78252111624278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3.5897435897435854</v>
      </c>
      <c r="DO94" s="13">
        <f>IF('Données projet'!$A$166&gt;35,DO93+DN94-DW93,IF(A94&lt;'Données projet'!$A$166,$DL$205^A94,IF(A94='Données projet'!$A$166,'Données projet'!$B$166,DO93+DN94-DW93)))</f>
        <v>215.12820512820505</v>
      </c>
      <c r="DP94" s="18">
        <f>DO94*VLOOKUP('Données projet'!$B$14,Paramètres!$A$1:$I$89,3,0)*VLOOKUP('Données projet'!$B$14,Paramètres!$A$1:$I$89,5,0)</f>
        <v>204.71599999999992</v>
      </c>
      <c r="DQ94" s="14">
        <f t="shared" si="97"/>
        <v>50.779191757337983</v>
      </c>
      <c r="DR94" s="22">
        <f t="shared" si="70"/>
        <v>444.98745897736353</v>
      </c>
      <c r="DS94" s="62">
        <f t="shared" si="71"/>
        <v>738.32079231069679</v>
      </c>
      <c r="DT94" s="62">
        <f ca="1">AVERAGE(OFFSET($DS$3,0,0,'Données projet'!$E$14+1,1))-AVERAGE(OFFSET($H$3,0,0,'Données projet'!$E$14+1,1))</f>
        <v>260.93525280373063</v>
      </c>
      <c r="DU94" s="62">
        <f t="shared" si="98"/>
        <v>206.83968452163816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1.4583333333333344</v>
      </c>
      <c r="EJ94" s="13">
        <f>IF('Données projet'!$A$192&gt;35,EJ93+EI94-ER93,IF(A94&lt;'Données projet'!$A$192,$EG$205^A94,IF(A94='Données projet'!$A$192,'Données projet'!$B$192,EJ93+EI94-ER93)))</f>
        <v>98.69999999999996</v>
      </c>
      <c r="EK94" s="18">
        <f>EJ94*VLOOKUP('Données projet'!$B$15,Paramètres!$A$1:$I$89,3,0)*VLOOKUP('Données projet'!$B$15,Paramètres!$A$1:$I$89,5,0)</f>
        <v>113.70239999999994</v>
      </c>
      <c r="EL94" s="14">
        <f t="shared" si="99"/>
        <v>30.20161113802142</v>
      </c>
      <c r="EM94" s="22">
        <f t="shared" si="73"/>
        <v>250.6328193987205</v>
      </c>
      <c r="EN94" s="62">
        <f t="shared" si="74"/>
        <v>543.96615273205384</v>
      </c>
      <c r="EO94" s="62">
        <f ca="1">AVERAGE(OFFSET($EN$3,0,0,'Données projet'!$E$15+1,1))-AVERAGE(OFFSET($H$3,0,0,'Données projet'!$E$15+1,1))</f>
        <v>118.01099353898547</v>
      </c>
      <c r="EP94" s="62">
        <f t="shared" si="100"/>
        <v>103.17146760845947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4.9000000000000004</v>
      </c>
      <c r="FE94" s="13">
        <f>IF('Données projet'!$A$218&gt;35,FE93+FD94-FM93,IF(A94&lt;'Données projet'!$A$218,$FB$205^A94,IF(A94='Données projet'!$A$218,'Données projet'!$B$218,FE93+FD94-FM93)))</f>
        <v>258.90000000000003</v>
      </c>
      <c r="FF94" s="18">
        <f>FE94*VLOOKUP('Données projet'!$B$16,Paramètres!$A$1:$I$89,3,0)*VLOOKUP('Données projet'!$B$16,Paramètres!$A$1:$I$89,5,0)</f>
        <v>258.48576000000003</v>
      </c>
      <c r="FG94" s="14">
        <f t="shared" si="101"/>
        <v>62.39949353543058</v>
      </c>
      <c r="FH94" s="22">
        <f t="shared" si="76"/>
        <v>558.87514990754164</v>
      </c>
      <c r="FI94" s="62">
        <f t="shared" si="77"/>
        <v>852.20848324087501</v>
      </c>
      <c r="FJ94" s="62">
        <f ca="1">AVERAGE(OFFSET($FI$3,0,0,'Données projet'!$E$16+1,1))-AVERAGE(OFFSET($H$3,0,0,'Données projet'!$E$16+1,1))</f>
        <v>343.71044073996887</v>
      </c>
      <c r="FK94" s="62">
        <f t="shared" si="102"/>
        <v>193.51732627292375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4.9000000000000004</v>
      </c>
      <c r="N95" s="14">
        <f>IF('Données projet'!$A$36&gt;35,N94+M95-V94,IF(A95&lt;'Données projet'!$A$36,$K$205^A95,IF(A95='Données projet'!$A$36,'Données projet'!$B$36,N94+M95-V94)))</f>
        <v>263.8</v>
      </c>
      <c r="O95" s="14">
        <f>N95*VLOOKUP('Données projet'!$B$9,Paramètres!$A$1:$I$89,3,0)*VLOOKUP('Données projet'!$B$9,Paramètres!$A$1:$I$89,5,0)</f>
        <v>238.68624</v>
      </c>
      <c r="P95" s="14">
        <f t="shared" si="87"/>
        <v>58.156778382060871</v>
      </c>
      <c r="Q95" s="22">
        <f t="shared" si="54"/>
        <v>517.00159034875594</v>
      </c>
      <c r="R95" s="62">
        <f t="shared" si="55"/>
        <v>810.33492368208931</v>
      </c>
      <c r="S95" s="62">
        <f ca="1">AVERAGE(OFFSET($R$3,0,0,'Données projet'!$E$9+1,1))-AVERAGE(OFFSET($H$3,0,0,'Données projet'!$E$9+1,1))</f>
        <v>303.73499739059076</v>
      </c>
      <c r="T95" s="62">
        <f t="shared" si="88"/>
        <v>172.32171001882188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-2.2737367544323206E-13</v>
      </c>
      <c r="AJ95" s="14">
        <f>AI95*VLOOKUP('Données projet'!$B$10,Paramètres!$A$1:$I$89,3,0)*VLOOKUP('Données projet'!$B$10,Paramètres!$A$1:$I$89,5,0)</f>
        <v>-1.6671037883497774E-13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215.66498680344858</v>
      </c>
      <c r="AO95" s="62">
        <f t="shared" si="90"/>
        <v>199.86715787211114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-5.6843418860808015E-14</v>
      </c>
      <c r="BE95" s="14">
        <f>BD95*VLOOKUP('Données projet'!$B$11,Paramètres!$A$1:$I$89,3,0)*VLOOKUP('Données projet'!$B$11,Paramètres!$A$1:$I$89,5,0)</f>
        <v>-3.3992364478763198E-14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155.11440101086782</v>
      </c>
      <c r="BJ95" s="62">
        <f t="shared" si="92"/>
        <v>239.53454701506638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3.953328454336611</v>
      </c>
      <c r="BQ95" s="23">
        <f>EXP(-LN(2)/25)*BQ94+(1-EXP(-LN(2)/25))/(LN(2)/25)*Calculateur!BL95*Calculateur!BN95*VLOOKUP('Données projet'!$B$11,Paramètres!$A$1:$I$89,3,0)*0.475*44/12</f>
        <v>1.2980945460125897</v>
      </c>
      <c r="BR95" s="23">
        <f>EXP(-LN(2)/2)*BR94+(1-EXP(-LN(2)/2))/(LN(2)/2)*BL95*BO95*VLOOKUP('Données projet'!$B$11,Paramètres!$A$1:$I$89,3,0)*0.475*44/12</f>
        <v>1.3732086284678338E-9</v>
      </c>
      <c r="BS95" s="24">
        <f t="shared" si="63"/>
        <v>5.2514230017224088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-5.6843418860808015E-14</v>
      </c>
      <c r="BZ95" s="14">
        <f>BY95*VLOOKUP('Données projet'!$B$12,Paramètres!$A$1:$I$89,3,0)*VLOOKUP('Données projet'!$B$12,Paramètres!$A$1:$I$89,5,0)</f>
        <v>-3.3992364478763198E-14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155.11440101086782</v>
      </c>
      <c r="CE95" s="62">
        <f t="shared" si="94"/>
        <v>239.53454701506638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3.953328454336611</v>
      </c>
      <c r="CL95" s="23">
        <f>EXP(-LN(2)/25)*CL94+(1-EXP(-LN(2)/25))/(LN(2)/25)*Calculateur!CG95*Calculateur!CI95*VLOOKUP('Données projet'!$B$12,Paramètres!$A$1:$I$89,3,0)*0.475*44/12</f>
        <v>1.2980945460125897</v>
      </c>
      <c r="CM95" s="23">
        <f>EXP(-LN(2)/2)*CM94+(1-EXP(-LN(2)/2))/(LN(2)/2)*CG95*CJ95*VLOOKUP('Données projet'!$B$12,Paramètres!$A$1:$I$89,3,0)*0.475*44/12</f>
        <v>1.3732086284678338E-9</v>
      </c>
      <c r="CN95" s="24">
        <f t="shared" si="66"/>
        <v>5.2514230017224088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-1.1368683772161603E-13</v>
      </c>
      <c r="CU95" s="18">
        <f>CT95*VLOOKUP('Données projet'!$B$13,Paramètres!$A$1:$I$89,3,0)*VLOOKUP('Données projet'!$B$13,Paramètres!$A$1:$I$89,5,0)</f>
        <v>-9.2222762759774927E-14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191.03017979797141</v>
      </c>
      <c r="CZ95" s="62">
        <f t="shared" si="96"/>
        <v>222.78252111624278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3.5897435897435854</v>
      </c>
      <c r="DO95" s="13">
        <f>IF('Données projet'!$A$166&gt;35,DO94+DN95-DW94,IF(A95&lt;'Données projet'!$A$166,$DL$205^A95,IF(A95='Données projet'!$A$166,'Données projet'!$B$166,DO94+DN95-DW94)))</f>
        <v>218.71794871794864</v>
      </c>
      <c r="DP95" s="18">
        <f>DO95*VLOOKUP('Données projet'!$B$14,Paramètres!$A$1:$I$89,3,0)*VLOOKUP('Données projet'!$B$14,Paramètres!$A$1:$I$89,5,0)</f>
        <v>208.13199999999992</v>
      </c>
      <c r="DQ95" s="14">
        <f t="shared" si="97"/>
        <v>51.527168668357106</v>
      </c>
      <c r="DR95" s="22">
        <f t="shared" si="70"/>
        <v>452.23971876405511</v>
      </c>
      <c r="DS95" s="62">
        <f t="shared" si="71"/>
        <v>745.57305209738843</v>
      </c>
      <c r="DT95" s="62">
        <f ca="1">AVERAGE(OFFSET($DS$3,0,0,'Données projet'!$E$14+1,1))-AVERAGE(OFFSET($H$3,0,0,'Données projet'!$E$14+1,1))</f>
        <v>260.93525280373063</v>
      </c>
      <c r="DU95" s="62">
        <f t="shared" si="98"/>
        <v>206.83968452163816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1.4583333333333344</v>
      </c>
      <c r="EJ95" s="13">
        <f>IF('Données projet'!$A$192&gt;35,EJ94+EI95-ER94,IF(A95&lt;'Données projet'!$A$192,$EG$205^A95,IF(A95='Données projet'!$A$192,'Données projet'!$B$192,EJ94+EI95-ER94)))</f>
        <v>100.15833333333329</v>
      </c>
      <c r="EK95" s="18">
        <f>EJ95*VLOOKUP('Données projet'!$B$15,Paramètres!$A$1:$I$89,3,0)*VLOOKUP('Données projet'!$B$15,Paramètres!$A$1:$I$89,5,0)</f>
        <v>115.38239999999995</v>
      </c>
      <c r="EL95" s="14">
        <f t="shared" si="99"/>
        <v>30.59557273099043</v>
      </c>
      <c r="EM95" s="22">
        <f t="shared" si="73"/>
        <v>254.24496917314158</v>
      </c>
      <c r="EN95" s="62">
        <f t="shared" si="74"/>
        <v>547.57830250647487</v>
      </c>
      <c r="EO95" s="62">
        <f ca="1">AVERAGE(OFFSET($EN$3,0,0,'Données projet'!$E$15+1,1))-AVERAGE(OFFSET($H$3,0,0,'Données projet'!$E$15+1,1))</f>
        <v>118.01099353898547</v>
      </c>
      <c r="EP95" s="62">
        <f t="shared" si="100"/>
        <v>103.17146760845947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4.9000000000000004</v>
      </c>
      <c r="FE95" s="13">
        <f>IF('Données projet'!$A$218&gt;35,FE94+FD95-FM94,IF(A95&lt;'Données projet'!$A$218,$FB$205^A95,IF(A95='Données projet'!$A$218,'Données projet'!$B$218,FE94+FD95-FM94)))</f>
        <v>263.8</v>
      </c>
      <c r="FF95" s="18">
        <f>FE95*VLOOKUP('Données projet'!$B$16,Paramètres!$A$1:$I$89,3,0)*VLOOKUP('Données projet'!$B$16,Paramètres!$A$1:$I$89,5,0)</f>
        <v>263.37792000000002</v>
      </c>
      <c r="FG95" s="14">
        <f t="shared" si="101"/>
        <v>63.441872165610889</v>
      </c>
      <c r="FH95" s="22">
        <f t="shared" si="76"/>
        <v>569.2111380217724</v>
      </c>
      <c r="FI95" s="62">
        <f t="shared" si="77"/>
        <v>862.54447135510577</v>
      </c>
      <c r="FJ95" s="62">
        <f ca="1">AVERAGE(OFFSET($FI$3,0,0,'Données projet'!$E$16+1,1))-AVERAGE(OFFSET($H$3,0,0,'Données projet'!$E$16+1,1))</f>
        <v>343.71044073996887</v>
      </c>
      <c r="FK95" s="62">
        <f t="shared" si="102"/>
        <v>193.51732627292375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4.9000000000000004</v>
      </c>
      <c r="N96" s="14">
        <f>IF('Données projet'!$A$36&gt;35,N95+M96-V95,IF(A96&lt;'Données projet'!$A$36,$K$205^A96,IF(A96='Données projet'!$A$36,'Données projet'!$B$36,N95+M96-V95)))</f>
        <v>268.7</v>
      </c>
      <c r="O96" s="14">
        <f>N96*VLOOKUP('Données projet'!$B$9,Paramètres!$A$1:$I$89,3,0)*VLOOKUP('Données projet'!$B$9,Paramètres!$A$1:$I$89,5,0)</f>
        <v>243.11975999999996</v>
      </c>
      <c r="P96" s="14">
        <f t="shared" si="87"/>
        <v>59.110256668778533</v>
      </c>
      <c r="Q96" s="22">
        <f t="shared" si="54"/>
        <v>526.3839456981226</v>
      </c>
      <c r="R96" s="62">
        <f t="shared" si="55"/>
        <v>819.71727903145597</v>
      </c>
      <c r="S96" s="62">
        <f ca="1">AVERAGE(OFFSET($R$3,0,0,'Données projet'!$E$9+1,1))-AVERAGE(OFFSET($H$3,0,0,'Données projet'!$E$9+1,1))</f>
        <v>303.73499739059076</v>
      </c>
      <c r="T96" s="62">
        <f t="shared" si="88"/>
        <v>172.32171001882188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-2.2737367544323206E-13</v>
      </c>
      <c r="AJ96" s="14">
        <f>AI96*VLOOKUP('Données projet'!$B$10,Paramètres!$A$1:$I$89,3,0)*VLOOKUP('Données projet'!$B$10,Paramètres!$A$1:$I$89,5,0)</f>
        <v>-1.6671037883497774E-13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215.66498680344858</v>
      </c>
      <c r="AO96" s="62">
        <f t="shared" si="90"/>
        <v>199.86715787211114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-5.6843418860808015E-14</v>
      </c>
      <c r="BE96" s="14">
        <f>BD96*VLOOKUP('Données projet'!$B$11,Paramètres!$A$1:$I$89,3,0)*VLOOKUP('Données projet'!$B$11,Paramètres!$A$1:$I$89,5,0)</f>
        <v>-3.3992364478763198E-14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155.11440101086782</v>
      </c>
      <c r="BJ96" s="62">
        <f t="shared" si="92"/>
        <v>239.53454701506638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3.8758060946393318</v>
      </c>
      <c r="BQ96" s="23">
        <f>EXP(-LN(2)/25)*BQ95+(1-EXP(-LN(2)/25))/(LN(2)/25)*Calculateur!BL96*Calculateur!BN96*VLOOKUP('Données projet'!$B$11,Paramètres!$A$1:$I$89,3,0)*0.475*44/12</f>
        <v>1.26259808238805</v>
      </c>
      <c r="BR96" s="23">
        <f>EXP(-LN(2)/2)*BR95+(1-EXP(-LN(2)/2))/(LN(2)/2)*BL96*BO96*VLOOKUP('Données projet'!$B$11,Paramètres!$A$1:$I$89,3,0)*0.475*44/12</f>
        <v>9.7100513317348355E-10</v>
      </c>
      <c r="BS96" s="24">
        <f t="shared" si="63"/>
        <v>5.1384041779983871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-5.6843418860808015E-14</v>
      </c>
      <c r="BZ96" s="14">
        <f>BY96*VLOOKUP('Données projet'!$B$12,Paramètres!$A$1:$I$89,3,0)*VLOOKUP('Données projet'!$B$12,Paramètres!$A$1:$I$89,5,0)</f>
        <v>-3.3992364478763198E-14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155.11440101086782</v>
      </c>
      <c r="CE96" s="62">
        <f t="shared" si="94"/>
        <v>239.53454701506638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3.8758060946393318</v>
      </c>
      <c r="CL96" s="23">
        <f>EXP(-LN(2)/25)*CL95+(1-EXP(-LN(2)/25))/(LN(2)/25)*Calculateur!CG96*Calculateur!CI96*VLOOKUP('Données projet'!$B$12,Paramètres!$A$1:$I$89,3,0)*0.475*44/12</f>
        <v>1.26259808238805</v>
      </c>
      <c r="CM96" s="23">
        <f>EXP(-LN(2)/2)*CM95+(1-EXP(-LN(2)/2))/(LN(2)/2)*CG96*CJ96*VLOOKUP('Données projet'!$B$12,Paramètres!$A$1:$I$89,3,0)*0.475*44/12</f>
        <v>9.7100513317348355E-10</v>
      </c>
      <c r="CN96" s="24">
        <f t="shared" si="66"/>
        <v>5.1384041779983871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-1.1368683772161603E-13</v>
      </c>
      <c r="CU96" s="18">
        <f>CT96*VLOOKUP('Données projet'!$B$13,Paramètres!$A$1:$I$89,3,0)*VLOOKUP('Données projet'!$B$13,Paramètres!$A$1:$I$89,5,0)</f>
        <v>-9.2222762759774927E-14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191.03017979797141</v>
      </c>
      <c r="CZ96" s="62">
        <f t="shared" si="96"/>
        <v>222.78252111624278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3.5897435897435854</v>
      </c>
      <c r="DO96" s="13">
        <f>IF('Données projet'!$A$166&gt;35,DO95+DN96-DW95,IF(A96&lt;'Données projet'!$A$166,$DL$205^A96,IF(A96='Données projet'!$A$166,'Données projet'!$B$166,DO95+DN96-DW95)))</f>
        <v>222.30769230769224</v>
      </c>
      <c r="DP96" s="18">
        <f>DO96*VLOOKUP('Données projet'!$B$14,Paramètres!$A$1:$I$89,3,0)*VLOOKUP('Données projet'!$B$14,Paramètres!$A$1:$I$89,5,0)</f>
        <v>211.54799999999992</v>
      </c>
      <c r="DQ96" s="14">
        <f t="shared" si="97"/>
        <v>52.273717915363171</v>
      </c>
      <c r="DR96" s="22">
        <f t="shared" si="70"/>
        <v>459.489492035924</v>
      </c>
      <c r="DS96" s="62">
        <f t="shared" si="71"/>
        <v>752.82282536925732</v>
      </c>
      <c r="DT96" s="62">
        <f ca="1">AVERAGE(OFFSET($DS$3,0,0,'Données projet'!$E$14+1,1))-AVERAGE(OFFSET($H$3,0,0,'Données projet'!$E$14+1,1))</f>
        <v>260.93525280373063</v>
      </c>
      <c r="DU96" s="62">
        <f t="shared" si="98"/>
        <v>206.83968452163816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1.4583333333333344</v>
      </c>
      <c r="EJ96" s="13">
        <f>IF('Données projet'!$A$192&gt;35,EJ95+EI96-ER95,IF(A96&lt;'Données projet'!$A$192,$EG$205^A96,IF(A96='Données projet'!$A$192,'Données projet'!$B$192,EJ95+EI96-ER95)))</f>
        <v>101.61666666666662</v>
      </c>
      <c r="EK96" s="18">
        <f>EJ96*VLOOKUP('Données projet'!$B$15,Paramètres!$A$1:$I$89,3,0)*VLOOKUP('Données projet'!$B$15,Paramètres!$A$1:$I$89,5,0)</f>
        <v>117.06239999999994</v>
      </c>
      <c r="EL96" s="14">
        <f t="shared" si="99"/>
        <v>30.988867171899123</v>
      </c>
      <c r="EM96" s="22">
        <f t="shared" si="73"/>
        <v>257.85595699105755</v>
      </c>
      <c r="EN96" s="62">
        <f t="shared" si="74"/>
        <v>551.18929032439087</v>
      </c>
      <c r="EO96" s="62">
        <f ca="1">AVERAGE(OFFSET($EN$3,0,0,'Données projet'!$E$15+1,1))-AVERAGE(OFFSET($H$3,0,0,'Données projet'!$E$15+1,1))</f>
        <v>118.01099353898547</v>
      </c>
      <c r="EP96" s="62">
        <f t="shared" si="100"/>
        <v>103.17146760845947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4.9000000000000004</v>
      </c>
      <c r="FE96" s="13">
        <f>IF('Données projet'!$A$218&gt;35,FE95+FD96-FM95,IF(A96&lt;'Données projet'!$A$218,$FB$205^A96,IF(A96='Données projet'!$A$218,'Données projet'!$B$218,FE95+FD96-FM95)))</f>
        <v>268.7</v>
      </c>
      <c r="FF96" s="18">
        <f>FE96*VLOOKUP('Données projet'!$B$16,Paramètres!$A$1:$I$89,3,0)*VLOOKUP('Données projet'!$B$16,Paramètres!$A$1:$I$89,5,0)</f>
        <v>268.27008000000001</v>
      </c>
      <c r="FG96" s="14">
        <f t="shared" si="101"/>
        <v>64.481999374536201</v>
      </c>
      <c r="FH96" s="22">
        <f t="shared" si="76"/>
        <v>579.54320491065062</v>
      </c>
      <c r="FI96" s="62">
        <f t="shared" si="77"/>
        <v>872.87653824398399</v>
      </c>
      <c r="FJ96" s="62">
        <f ca="1">AVERAGE(OFFSET($FI$3,0,0,'Données projet'!$E$16+1,1))-AVERAGE(OFFSET($H$3,0,0,'Données projet'!$E$16+1,1))</f>
        <v>343.71044073996887</v>
      </c>
      <c r="FK96" s="62">
        <f t="shared" si="102"/>
        <v>193.51732627292375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4.9000000000000004</v>
      </c>
      <c r="N97" s="14">
        <f>IF('Données projet'!$A$36&gt;35,N96+M97-V96,IF(A97&lt;'Données projet'!$A$36,$K$205^A97,IF(A97='Données projet'!$A$36,'Données projet'!$B$36,N96+M97-V96)))</f>
        <v>273.59999999999997</v>
      </c>
      <c r="O97" s="14">
        <f>N97*VLOOKUP('Données projet'!$B$9,Paramètres!$A$1:$I$89,3,0)*VLOOKUP('Données projet'!$B$9,Paramètres!$A$1:$I$89,5,0)</f>
        <v>247.55327999999994</v>
      </c>
      <c r="P97" s="14">
        <f t="shared" si="87"/>
        <v>60.061713068870255</v>
      </c>
      <c r="Q97" s="22">
        <f t="shared" si="54"/>
        <v>535.76277959494894</v>
      </c>
      <c r="R97" s="62">
        <f t="shared" si="55"/>
        <v>829.09611292828231</v>
      </c>
      <c r="S97" s="62">
        <f ca="1">AVERAGE(OFFSET($R$3,0,0,'Données projet'!$E$9+1,1))-AVERAGE(OFFSET($H$3,0,0,'Données projet'!$E$9+1,1))</f>
        <v>303.73499739059076</v>
      </c>
      <c r="T97" s="62">
        <f t="shared" si="88"/>
        <v>172.32171001882188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-2.2737367544323206E-13</v>
      </c>
      <c r="AJ97" s="14">
        <f>AI97*VLOOKUP('Données projet'!$B$10,Paramètres!$A$1:$I$89,3,0)*VLOOKUP('Données projet'!$B$10,Paramètres!$A$1:$I$89,5,0)</f>
        <v>-1.6671037883497774E-13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215.66498680344858</v>
      </c>
      <c r="AO97" s="62">
        <f t="shared" si="90"/>
        <v>199.86715787211114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-5.6843418860808015E-14</v>
      </c>
      <c r="BE97" s="14">
        <f>BD97*VLOOKUP('Données projet'!$B$11,Paramètres!$A$1:$I$89,3,0)*VLOOKUP('Données projet'!$B$11,Paramètres!$A$1:$I$89,5,0)</f>
        <v>-3.3992364478763198E-14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155.11440101086782</v>
      </c>
      <c r="BJ97" s="62">
        <f t="shared" si="92"/>
        <v>239.53454701506638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3.7998039011317459</v>
      </c>
      <c r="BQ97" s="23">
        <f>EXP(-LN(2)/25)*BQ96+(1-EXP(-LN(2)/25))/(LN(2)/25)*Calculateur!BL97*Calculateur!BN97*VLOOKUP('Données projet'!$B$11,Paramètres!$A$1:$I$89,3,0)*0.475*44/12</f>
        <v>1.2280722714280015</v>
      </c>
      <c r="BR97" s="23">
        <f>EXP(-LN(2)/2)*BR96+(1-EXP(-LN(2)/2))/(LN(2)/2)*BL97*BO97*VLOOKUP('Données projet'!$B$11,Paramètres!$A$1:$I$89,3,0)*0.475*44/12</f>
        <v>6.8660431423391689E-10</v>
      </c>
      <c r="BS97" s="24">
        <f t="shared" si="63"/>
        <v>5.0278761732463515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-5.6843418860808015E-14</v>
      </c>
      <c r="BZ97" s="14">
        <f>BY97*VLOOKUP('Données projet'!$B$12,Paramètres!$A$1:$I$89,3,0)*VLOOKUP('Données projet'!$B$12,Paramètres!$A$1:$I$89,5,0)</f>
        <v>-3.3992364478763198E-14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155.11440101086782</v>
      </c>
      <c r="CE97" s="62">
        <f t="shared" si="94"/>
        <v>239.53454701506638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3.7998039011317459</v>
      </c>
      <c r="CL97" s="23">
        <f>EXP(-LN(2)/25)*CL96+(1-EXP(-LN(2)/25))/(LN(2)/25)*Calculateur!CG97*Calculateur!CI97*VLOOKUP('Données projet'!$B$12,Paramètres!$A$1:$I$89,3,0)*0.475*44/12</f>
        <v>1.2280722714280015</v>
      </c>
      <c r="CM97" s="23">
        <f>EXP(-LN(2)/2)*CM96+(1-EXP(-LN(2)/2))/(LN(2)/2)*CG97*CJ97*VLOOKUP('Données projet'!$B$12,Paramètres!$A$1:$I$89,3,0)*0.475*44/12</f>
        <v>6.8660431423391689E-10</v>
      </c>
      <c r="CN97" s="24">
        <f t="shared" si="66"/>
        <v>5.0278761732463515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-1.1368683772161603E-13</v>
      </c>
      <c r="CU97" s="18">
        <f>CT97*VLOOKUP('Données projet'!$B$13,Paramètres!$A$1:$I$89,3,0)*VLOOKUP('Données projet'!$B$13,Paramètres!$A$1:$I$89,5,0)</f>
        <v>-9.2222762759774927E-14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191.03017979797141</v>
      </c>
      <c r="CZ97" s="62">
        <f t="shared" si="96"/>
        <v>222.78252111624278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3.5897435897435854</v>
      </c>
      <c r="DO97" s="13">
        <f>IF('Données projet'!$A$166&gt;35,DO96+DN97-DW96,IF(A97&lt;'Données projet'!$A$166,$DL$205^A97,IF(A97='Données projet'!$A$166,'Données projet'!$B$166,DO96+DN97-DW96)))</f>
        <v>225.89743589743583</v>
      </c>
      <c r="DP97" s="18">
        <f>DO97*VLOOKUP('Données projet'!$B$14,Paramètres!$A$1:$I$89,3,0)*VLOOKUP('Données projet'!$B$14,Paramètres!$A$1:$I$89,5,0)</f>
        <v>214.96399999999994</v>
      </c>
      <c r="DQ97" s="14">
        <f t="shared" si="97"/>
        <v>53.018865213249249</v>
      </c>
      <c r="DR97" s="22">
        <f t="shared" si="70"/>
        <v>466.73682357974229</v>
      </c>
      <c r="DS97" s="62">
        <f t="shared" si="71"/>
        <v>760.07015691307561</v>
      </c>
      <c r="DT97" s="62">
        <f ca="1">AVERAGE(OFFSET($DS$3,0,0,'Données projet'!$E$14+1,1))-AVERAGE(OFFSET($H$3,0,0,'Données projet'!$E$14+1,1))</f>
        <v>260.93525280373063</v>
      </c>
      <c r="DU97" s="62">
        <f t="shared" si="98"/>
        <v>206.83968452163816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1.4583333333333344</v>
      </c>
      <c r="EJ97" s="13">
        <f>IF('Données projet'!$A$192&gt;35,EJ96+EI97-ER96,IF(A97&lt;'Données projet'!$A$192,$EG$205^A97,IF(A97='Données projet'!$A$192,'Données projet'!$B$192,EJ96+EI97-ER96)))</f>
        <v>103.07499999999995</v>
      </c>
      <c r="EK97" s="18">
        <f>EJ97*VLOOKUP('Données projet'!$B$15,Paramètres!$A$1:$I$89,3,0)*VLOOKUP('Données projet'!$B$15,Paramètres!$A$1:$I$89,5,0)</f>
        <v>118.74239999999992</v>
      </c>
      <c r="EL97" s="14">
        <f t="shared" si="99"/>
        <v>31.38150514154874</v>
      </c>
      <c r="EM97" s="22">
        <f t="shared" si="73"/>
        <v>261.46580145486388</v>
      </c>
      <c r="EN97" s="62">
        <f t="shared" si="74"/>
        <v>554.79913478819719</v>
      </c>
      <c r="EO97" s="62">
        <f ca="1">AVERAGE(OFFSET($EN$3,0,0,'Données projet'!$E$15+1,1))-AVERAGE(OFFSET($H$3,0,0,'Données projet'!$E$15+1,1))</f>
        <v>118.01099353898547</v>
      </c>
      <c r="EP97" s="62">
        <f t="shared" si="100"/>
        <v>103.17146760845947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4.9000000000000004</v>
      </c>
      <c r="FE97" s="13">
        <f>IF('Données projet'!$A$218&gt;35,FE96+FD97-FM96,IF(A97&lt;'Données projet'!$A$218,$FB$205^A97,IF(A97='Données projet'!$A$218,'Données projet'!$B$218,FE96+FD97-FM96)))</f>
        <v>273.59999999999997</v>
      </c>
      <c r="FF97" s="18">
        <f>FE97*VLOOKUP('Données projet'!$B$16,Paramètres!$A$1:$I$89,3,0)*VLOOKUP('Données projet'!$B$16,Paramètres!$A$1:$I$89,5,0)</f>
        <v>273.16224</v>
      </c>
      <c r="FG97" s="14">
        <f t="shared" si="101"/>
        <v>65.519920954531997</v>
      </c>
      <c r="FH97" s="22">
        <f t="shared" si="76"/>
        <v>589.87143032914321</v>
      </c>
      <c r="FI97" s="62">
        <f t="shared" si="77"/>
        <v>883.20476366247658</v>
      </c>
      <c r="FJ97" s="62">
        <f ca="1">AVERAGE(OFFSET($FI$3,0,0,'Données projet'!$E$16+1,1))-AVERAGE(OFFSET($H$3,0,0,'Données projet'!$E$16+1,1))</f>
        <v>343.71044073996887</v>
      </c>
      <c r="FK97" s="62">
        <f t="shared" si="102"/>
        <v>193.51732627292375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4.9000000000000004</v>
      </c>
      <c r="N98" s="14">
        <f>IF('Données projet'!$A$36&gt;35,N97+M98-V97,IF(A98&lt;'Données projet'!$A$36,$K$205^A98,IF(A98='Données projet'!$A$36,'Données projet'!$B$36,N97+M98-V97)))</f>
        <v>278.49999999999994</v>
      </c>
      <c r="O98" s="14">
        <f>N98*VLOOKUP('Données projet'!$B$9,Paramètres!$A$1:$I$89,3,0)*VLOOKUP('Données projet'!$B$9,Paramètres!$A$1:$I$89,5,0)</f>
        <v>251.98679999999993</v>
      </c>
      <c r="P98" s="14">
        <f t="shared" si="87"/>
        <v>61.011187970195053</v>
      </c>
      <c r="Q98" s="22">
        <f t="shared" si="54"/>
        <v>545.13816238142283</v>
      </c>
      <c r="R98" s="62">
        <f t="shared" si="55"/>
        <v>838.4714957147562</v>
      </c>
      <c r="S98" s="62">
        <f ca="1">AVERAGE(OFFSET($R$3,0,0,'Données projet'!$E$9+1,1))-AVERAGE(OFFSET($H$3,0,0,'Données projet'!$E$9+1,1))</f>
        <v>303.73499739059076</v>
      </c>
      <c r="T98" s="62">
        <f t="shared" si="88"/>
        <v>172.32171001882188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-2.2737367544323206E-13</v>
      </c>
      <c r="AJ98" s="14">
        <f>AI98*VLOOKUP('Données projet'!$B$10,Paramètres!$A$1:$I$89,3,0)*VLOOKUP('Données projet'!$B$10,Paramètres!$A$1:$I$89,5,0)</f>
        <v>-1.6671037883497774E-13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215.66498680344858</v>
      </c>
      <c r="AO98" s="62">
        <f t="shared" si="90"/>
        <v>199.86715787211114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-5.6843418860808015E-14</v>
      </c>
      <c r="BE98" s="14">
        <f>BD98*VLOOKUP('Données projet'!$B$11,Paramètres!$A$1:$I$89,3,0)*VLOOKUP('Données projet'!$B$11,Paramètres!$A$1:$I$89,5,0)</f>
        <v>-3.3992364478763198E-14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155.11440101086782</v>
      </c>
      <c r="BJ98" s="62">
        <f t="shared" si="92"/>
        <v>239.53454701506638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3.7252920642820828</v>
      </c>
      <c r="BQ98" s="23">
        <f>EXP(-LN(2)/25)*BQ97+(1-EXP(-LN(2)/25))/(LN(2)/25)*Calculateur!BL98*Calculateur!BN98*VLOOKUP('Données projet'!$B$11,Paramètres!$A$1:$I$89,3,0)*0.475*44/12</f>
        <v>1.1944905705842888</v>
      </c>
      <c r="BR98" s="23">
        <f>EXP(-LN(2)/2)*BR97+(1-EXP(-LN(2)/2))/(LN(2)/2)*BL98*BO98*VLOOKUP('Données projet'!$B$11,Paramètres!$A$1:$I$89,3,0)*0.475*44/12</f>
        <v>4.8550256658674177E-10</v>
      </c>
      <c r="BS98" s="24">
        <f t="shared" si="63"/>
        <v>4.9197826353518739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-5.6843418860808015E-14</v>
      </c>
      <c r="BZ98" s="14">
        <f>BY98*VLOOKUP('Données projet'!$B$12,Paramètres!$A$1:$I$89,3,0)*VLOOKUP('Données projet'!$B$12,Paramètres!$A$1:$I$89,5,0)</f>
        <v>-3.3992364478763198E-14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155.11440101086782</v>
      </c>
      <c r="CE98" s="62">
        <f t="shared" si="94"/>
        <v>239.53454701506638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3.7252920642820828</v>
      </c>
      <c r="CL98" s="23">
        <f>EXP(-LN(2)/25)*CL97+(1-EXP(-LN(2)/25))/(LN(2)/25)*Calculateur!CG98*Calculateur!CI98*VLOOKUP('Données projet'!$B$12,Paramètres!$A$1:$I$89,3,0)*0.475*44/12</f>
        <v>1.1944905705842888</v>
      </c>
      <c r="CM98" s="23">
        <f>EXP(-LN(2)/2)*CM97+(1-EXP(-LN(2)/2))/(LN(2)/2)*CG98*CJ98*VLOOKUP('Données projet'!$B$12,Paramètres!$A$1:$I$89,3,0)*0.475*44/12</f>
        <v>4.8550256658674177E-10</v>
      </c>
      <c r="CN98" s="24">
        <f t="shared" si="66"/>
        <v>4.9197826353518739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-1.1368683772161603E-13</v>
      </c>
      <c r="CU98" s="18">
        <f>CT98*VLOOKUP('Données projet'!$B$13,Paramètres!$A$1:$I$89,3,0)*VLOOKUP('Données projet'!$B$13,Paramètres!$A$1:$I$89,5,0)</f>
        <v>-9.2222762759774927E-14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191.03017979797141</v>
      </c>
      <c r="CZ98" s="62">
        <f t="shared" si="96"/>
        <v>222.78252111624278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229.48717948717947</v>
      </c>
      <c r="DM98" s="13">
        <f>VLOOKUP(A98,'Données projet'!$A$165:$I$185,9,0)</f>
        <v>3.5897435897435854</v>
      </c>
      <c r="DN98" s="13">
        <f t="array" ref="DN98">INDEX(DM:DM,MIN(IF(ISNUMBER(DM98:DM294),ROW(DM98:DM294),"")))</f>
        <v>3.5897435897435854</v>
      </c>
      <c r="DO98" s="13">
        <f>IF('Données projet'!$A$166&gt;35,DO97+DN98-DW97,IF(A98&lt;'Données projet'!$A$166,$DL$205^A98,IF(A98='Données projet'!$A$166,'Données projet'!$B$166,DO97+DN98-DW97)))</f>
        <v>229.48717948717942</v>
      </c>
      <c r="DP98" s="18">
        <f>DO98*VLOOKUP('Données projet'!$B$14,Paramètres!$A$1:$I$89,3,0)*VLOOKUP('Données projet'!$B$14,Paramètres!$A$1:$I$89,5,0)</f>
        <v>218.37999999999994</v>
      </c>
      <c r="DQ98" s="14">
        <f t="shared" si="97"/>
        <v>53.762635412761199</v>
      </c>
      <c r="DR98" s="22">
        <f t="shared" si="70"/>
        <v>473.98175667722558</v>
      </c>
      <c r="DS98" s="62">
        <f t="shared" si="71"/>
        <v>767.31509001055883</v>
      </c>
      <c r="DT98" s="62">
        <f ca="1">AVERAGE(OFFSET($DS$3,0,0,'Données projet'!$E$14+1,1))-AVERAGE(OFFSET($H$3,0,0,'Données projet'!$E$14+1,1))</f>
        <v>260.93525280373063</v>
      </c>
      <c r="DU98" s="62">
        <f t="shared" si="98"/>
        <v>206.83968452163816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1.4583333333333344</v>
      </c>
      <c r="EJ98" s="13">
        <f>IF('Données projet'!$A$192&gt;35,EJ97+EI98-ER97,IF(A98&lt;'Données projet'!$A$192,$EG$205^A98,IF(A98='Données projet'!$A$192,'Données projet'!$B$192,EJ97+EI98-ER97)))</f>
        <v>104.53333333333327</v>
      </c>
      <c r="EK98" s="18">
        <f>EJ98*VLOOKUP('Données projet'!$B$15,Paramètres!$A$1:$I$89,3,0)*VLOOKUP('Données projet'!$B$15,Paramètres!$A$1:$I$89,5,0)</f>
        <v>120.42239999999991</v>
      </c>
      <c r="EL98" s="14">
        <f t="shared" si="99"/>
        <v>31.773497001152442</v>
      </c>
      <c r="EM98" s="22">
        <f t="shared" si="73"/>
        <v>265.07452061034036</v>
      </c>
      <c r="EN98" s="62">
        <f t="shared" si="74"/>
        <v>558.40785394367367</v>
      </c>
      <c r="EO98" s="62">
        <f ca="1">AVERAGE(OFFSET($EN$3,0,0,'Données projet'!$E$15+1,1))-AVERAGE(OFFSET($H$3,0,0,'Données projet'!$E$15+1,1))</f>
        <v>118.01099353898547</v>
      </c>
      <c r="EP98" s="62">
        <f t="shared" si="100"/>
        <v>103.17146760845947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4.9000000000000004</v>
      </c>
      <c r="FE98" s="13">
        <f>IF('Données projet'!$A$218&gt;35,FE97+FD98-FM97,IF(A98&lt;'Données projet'!$A$218,$FB$205^A98,IF(A98='Données projet'!$A$218,'Données projet'!$B$218,FE97+FD98-FM97)))</f>
        <v>278.49999999999994</v>
      </c>
      <c r="FF98" s="18">
        <f>FE98*VLOOKUP('Données projet'!$B$16,Paramètres!$A$1:$I$89,3,0)*VLOOKUP('Données projet'!$B$16,Paramètres!$A$1:$I$89,5,0)</f>
        <v>278.05439999999999</v>
      </c>
      <c r="FG98" s="14">
        <f t="shared" si="101"/>
        <v>66.555680963770769</v>
      </c>
      <c r="FH98" s="22">
        <f t="shared" si="76"/>
        <v>600.1958910119007</v>
      </c>
      <c r="FI98" s="62">
        <f t="shared" si="77"/>
        <v>893.52922434523407</v>
      </c>
      <c r="FJ98" s="62">
        <f ca="1">AVERAGE(OFFSET($FI$3,0,0,'Données projet'!$E$16+1,1))-AVERAGE(OFFSET($H$3,0,0,'Données projet'!$E$16+1,1))</f>
        <v>343.71044073996887</v>
      </c>
      <c r="FK98" s="62">
        <f t="shared" si="102"/>
        <v>193.51732627292375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4.9000000000000004</v>
      </c>
      <c r="N99" s="14">
        <f>IF('Données projet'!$A$36&gt;35,N98+M99-V98,IF(A99&lt;'Données projet'!$A$36,$K$205^A99,IF(A99='Données projet'!$A$36,'Données projet'!$B$36,N98+M99-V98)))</f>
        <v>283.39999999999992</v>
      </c>
      <c r="O99" s="14">
        <f>N99*VLOOKUP('Données projet'!$B$9,Paramètres!$A$1:$I$89,3,0)*VLOOKUP('Données projet'!$B$9,Paramètres!$A$1:$I$89,5,0)</f>
        <v>256.42031999999989</v>
      </c>
      <c r="P99" s="14">
        <f t="shared" si="87"/>
        <v>61.958720258016918</v>
      </c>
      <c r="Q99" s="22">
        <f t="shared" ref="Q99:Q130" si="107">(O99+P99)*0.475*44/12</f>
        <v>554.51016178271254</v>
      </c>
      <c r="R99" s="62">
        <f t="shared" si="55"/>
        <v>847.84349511604591</v>
      </c>
      <c r="S99" s="62">
        <f ca="1">AVERAGE(OFFSET($R$3,0,0,'Données projet'!$E$9+1,1))-AVERAGE(OFFSET($H$3,0,0,'Données projet'!$E$9+1,1))</f>
        <v>303.73499739059076</v>
      </c>
      <c r="T99" s="62">
        <f t="shared" si="88"/>
        <v>172.32171001882188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-2.2737367544323206E-13</v>
      </c>
      <c r="AJ99" s="14">
        <f>AI99*VLOOKUP('Données projet'!$B$10,Paramètres!$A$1:$I$89,3,0)*VLOOKUP('Données projet'!$B$10,Paramètres!$A$1:$I$89,5,0)</f>
        <v>-1.6671037883497774E-13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215.66498680344858</v>
      </c>
      <c r="AO99" s="62">
        <f t="shared" si="90"/>
        <v>199.86715787211114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-5.6843418860808015E-14</v>
      </c>
      <c r="BE99" s="14">
        <f>BD99*VLOOKUP('Données projet'!$B$11,Paramètres!$A$1:$I$89,3,0)*VLOOKUP('Données projet'!$B$11,Paramètres!$A$1:$I$89,5,0)</f>
        <v>-3.3992364478763198E-14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155.11440101086782</v>
      </c>
      <c r="BJ99" s="62">
        <f t="shared" si="92"/>
        <v>239.53454701506638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3.6522413591053091</v>
      </c>
      <c r="BQ99" s="23">
        <f>EXP(-LN(2)/25)*BQ98+(1-EXP(-LN(2)/25))/(LN(2)/25)*Calculateur!BL99*Calculateur!BN99*VLOOKUP('Données projet'!$B$11,Paramètres!$A$1:$I$89,3,0)*0.475*44/12</f>
        <v>1.1618271631161323</v>
      </c>
      <c r="BR99" s="23">
        <f>EXP(-LN(2)/2)*BR98+(1-EXP(-LN(2)/2))/(LN(2)/2)*BL99*BO99*VLOOKUP('Données projet'!$B$11,Paramètres!$A$1:$I$89,3,0)*0.475*44/12</f>
        <v>3.4330215711695844E-10</v>
      </c>
      <c r="BS99" s="24">
        <f t="shared" si="63"/>
        <v>4.8140685225647442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-5.6843418860808015E-14</v>
      </c>
      <c r="BZ99" s="14">
        <f>BY99*VLOOKUP('Données projet'!$B$12,Paramètres!$A$1:$I$89,3,0)*VLOOKUP('Données projet'!$B$12,Paramètres!$A$1:$I$89,5,0)</f>
        <v>-3.3992364478763198E-14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155.11440101086782</v>
      </c>
      <c r="CE99" s="62">
        <f t="shared" si="94"/>
        <v>239.53454701506638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3.6522413591053091</v>
      </c>
      <c r="CL99" s="23">
        <f>EXP(-LN(2)/25)*CL98+(1-EXP(-LN(2)/25))/(LN(2)/25)*Calculateur!CG99*Calculateur!CI99*VLOOKUP('Données projet'!$B$12,Paramètres!$A$1:$I$89,3,0)*0.475*44/12</f>
        <v>1.1618271631161323</v>
      </c>
      <c r="CM99" s="23">
        <f>EXP(-LN(2)/2)*CM98+(1-EXP(-LN(2)/2))/(LN(2)/2)*CG99*CJ99*VLOOKUP('Données projet'!$B$12,Paramètres!$A$1:$I$89,3,0)*0.475*44/12</f>
        <v>3.4330215711695844E-10</v>
      </c>
      <c r="CN99" s="24">
        <f t="shared" si="66"/>
        <v>4.8140685225647442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-1.1368683772161603E-13</v>
      </c>
      <c r="CU99" s="18">
        <f>CT99*VLOOKUP('Données projet'!$B$13,Paramètres!$A$1:$I$89,3,0)*VLOOKUP('Données projet'!$B$13,Paramètres!$A$1:$I$89,5,0)</f>
        <v>-9.2222762759774927E-14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191.03017979797141</v>
      </c>
      <c r="CZ99" s="62">
        <f t="shared" si="96"/>
        <v>222.78252111624278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3.3333333333333313</v>
      </c>
      <c r="DO99" s="13">
        <f>IF('Données projet'!$A$166&gt;35,DO98+DN99-DW98,IF(A99&lt;'Données projet'!$A$166,$DL$205^A99,IF(A99='Données projet'!$A$166,'Données projet'!$B$166,DO98+DN99-DW98)))</f>
        <v>232.82051282051276</v>
      </c>
      <c r="DP99" s="18">
        <f>DO99*VLOOKUP('Données projet'!$B$14,Paramètres!$A$1:$I$89,3,0)*VLOOKUP('Données projet'!$B$14,Paramètres!$A$1:$I$89,5,0)</f>
        <v>221.55199999999994</v>
      </c>
      <c r="DQ99" s="14">
        <f t="shared" si="97"/>
        <v>54.452067119881683</v>
      </c>
      <c r="DR99" s="22">
        <f t="shared" si="70"/>
        <v>480.70708356712709</v>
      </c>
      <c r="DS99" s="62">
        <f t="shared" si="71"/>
        <v>774.0404169004604</v>
      </c>
      <c r="DT99" s="62">
        <f ca="1">AVERAGE(OFFSET($DS$3,0,0,'Données projet'!$E$14+1,1))-AVERAGE(OFFSET($H$3,0,0,'Données projet'!$E$14+1,1))</f>
        <v>260.93525280373063</v>
      </c>
      <c r="DU99" s="62">
        <f t="shared" si="98"/>
        <v>206.83968452163816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1.4583333333333344</v>
      </c>
      <c r="EJ99" s="13">
        <f>IF('Données projet'!$A$192&gt;35,EJ98+EI99-ER98,IF(A99&lt;'Données projet'!$A$192,$EG$205^A99,IF(A99='Données projet'!$A$192,'Données projet'!$B$192,EJ98+EI99-ER98)))</f>
        <v>105.9916666666666</v>
      </c>
      <c r="EK99" s="18">
        <f>EJ99*VLOOKUP('Données projet'!$B$15,Paramètres!$A$1:$I$89,3,0)*VLOOKUP('Données projet'!$B$15,Paramètres!$A$1:$I$89,5,0)</f>
        <v>122.10239999999992</v>
      </c>
      <c r="EL99" s="14">
        <f t="shared" si="99"/>
        <v>32.164852806220239</v>
      </c>
      <c r="EM99" s="22">
        <f t="shared" si="73"/>
        <v>268.68213197083338</v>
      </c>
      <c r="EN99" s="62">
        <f t="shared" si="74"/>
        <v>562.0154653041667</v>
      </c>
      <c r="EO99" s="62">
        <f ca="1">AVERAGE(OFFSET($EN$3,0,0,'Données projet'!$E$15+1,1))-AVERAGE(OFFSET($H$3,0,0,'Données projet'!$E$15+1,1))</f>
        <v>118.01099353898547</v>
      </c>
      <c r="EP99" s="62">
        <f t="shared" si="100"/>
        <v>103.17146760845947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4.9000000000000004</v>
      </c>
      <c r="FE99" s="13">
        <f>IF('Données projet'!$A$218&gt;35,FE98+FD99-FM98,IF(A99&lt;'Données projet'!$A$218,$FB$205^A99,IF(A99='Données projet'!$A$218,'Données projet'!$B$218,FE98+FD99-FM98)))</f>
        <v>283.39999999999992</v>
      </c>
      <c r="FF99" s="18">
        <f>FE99*VLOOKUP('Données projet'!$B$16,Paramètres!$A$1:$I$89,3,0)*VLOOKUP('Données projet'!$B$16,Paramètres!$A$1:$I$89,5,0)</f>
        <v>282.94655999999992</v>
      </c>
      <c r="FG99" s="14">
        <f t="shared" si="101"/>
        <v>67.589321821279583</v>
      </c>
      <c r="FH99" s="22">
        <f t="shared" si="76"/>
        <v>610.5166608387284</v>
      </c>
      <c r="FI99" s="62">
        <f t="shared" si="77"/>
        <v>903.84999417206177</v>
      </c>
      <c r="FJ99" s="62">
        <f ca="1">AVERAGE(OFFSET($FI$3,0,0,'Données projet'!$E$16+1,1))-AVERAGE(OFFSET($H$3,0,0,'Données projet'!$E$16+1,1))</f>
        <v>343.71044073996887</v>
      </c>
      <c r="FK99" s="62">
        <f t="shared" si="102"/>
        <v>193.51732627292375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4.9000000000000004</v>
      </c>
      <c r="N100" s="14">
        <f>IF('Données projet'!$A$36&gt;35,N99+M100-V99,IF(A100&lt;'Données projet'!$A$36,$K$205^A100,IF(A100='Données projet'!$A$36,'Données projet'!$B$36,N99+M100-V99)))</f>
        <v>288.2999999999999</v>
      </c>
      <c r="O100" s="14">
        <f>N100*VLOOKUP('Données projet'!$B$9,Paramètres!$A$1:$I$89,3,0)*VLOOKUP('Données projet'!$B$9,Paramètres!$A$1:$I$89,5,0)</f>
        <v>260.85383999999993</v>
      </c>
      <c r="P100" s="14">
        <f t="shared" si="87"/>
        <v>62.904347395903763</v>
      </c>
      <c r="Q100" s="22">
        <f t="shared" si="107"/>
        <v>563.87884304786564</v>
      </c>
      <c r="R100" s="62">
        <f t="shared" si="55"/>
        <v>857.21217638119901</v>
      </c>
      <c r="S100" s="62">
        <f ca="1">AVERAGE(OFFSET($R$3,0,0,'Données projet'!$E$9+1,1))-AVERAGE(OFFSET($H$3,0,0,'Données projet'!$E$9+1,1))</f>
        <v>303.73499739059076</v>
      </c>
      <c r="T100" s="62">
        <f t="shared" si="88"/>
        <v>172.32171001882188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-2.2737367544323206E-13</v>
      </c>
      <c r="AJ100" s="14">
        <f>AI100*VLOOKUP('Données projet'!$B$10,Paramètres!$A$1:$I$89,3,0)*VLOOKUP('Données projet'!$B$10,Paramètres!$A$1:$I$89,5,0)</f>
        <v>-1.6671037883497774E-13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215.66498680344858</v>
      </c>
      <c r="AO100" s="62">
        <f t="shared" si="90"/>
        <v>199.86715787211114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-5.6843418860808015E-14</v>
      </c>
      <c r="BE100" s="14">
        <f>BD100*VLOOKUP('Données projet'!$B$11,Paramètres!$A$1:$I$89,3,0)*VLOOKUP('Données projet'!$B$11,Paramètres!$A$1:$I$89,5,0)</f>
        <v>-3.3992364478763198E-14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155.11440101086782</v>
      </c>
      <c r="BJ100" s="62">
        <f t="shared" si="92"/>
        <v>239.53454701506638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3.580623133700521</v>
      </c>
      <c r="BQ100" s="23">
        <f>EXP(-LN(2)/25)*BQ99+(1-EXP(-LN(2)/25))/(LN(2)/25)*Calculateur!BL100*Calculateur!BN100*VLOOKUP('Données projet'!$B$11,Paramètres!$A$1:$I$89,3,0)*0.475*44/12</f>
        <v>1.1300569382428867</v>
      </c>
      <c r="BR100" s="23">
        <f>EXP(-LN(2)/2)*BR99+(1-EXP(-LN(2)/2))/(LN(2)/2)*BL100*BO100*VLOOKUP('Données projet'!$B$11,Paramètres!$A$1:$I$89,3,0)*0.475*44/12</f>
        <v>2.4275128329337089E-10</v>
      </c>
      <c r="BS100" s="24">
        <f t="shared" si="63"/>
        <v>4.7106800721861593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-5.6843418860808015E-14</v>
      </c>
      <c r="BZ100" s="14">
        <f>BY100*VLOOKUP('Données projet'!$B$12,Paramètres!$A$1:$I$89,3,0)*VLOOKUP('Données projet'!$B$12,Paramètres!$A$1:$I$89,5,0)</f>
        <v>-3.3992364478763198E-14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155.11440101086782</v>
      </c>
      <c r="CE100" s="62">
        <f t="shared" si="94"/>
        <v>239.53454701506638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3.580623133700521</v>
      </c>
      <c r="CL100" s="23">
        <f>EXP(-LN(2)/25)*CL99+(1-EXP(-LN(2)/25))/(LN(2)/25)*Calculateur!CG100*Calculateur!CI100*VLOOKUP('Données projet'!$B$12,Paramètres!$A$1:$I$89,3,0)*0.475*44/12</f>
        <v>1.1300569382428867</v>
      </c>
      <c r="CM100" s="23">
        <f>EXP(-LN(2)/2)*CM99+(1-EXP(-LN(2)/2))/(LN(2)/2)*CG100*CJ100*VLOOKUP('Données projet'!$B$12,Paramètres!$A$1:$I$89,3,0)*0.475*44/12</f>
        <v>2.4275128329337089E-10</v>
      </c>
      <c r="CN100" s="24">
        <f t="shared" si="66"/>
        <v>4.7106800721861593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-1.1368683772161603E-13</v>
      </c>
      <c r="CU100" s="18">
        <f>CT100*VLOOKUP('Données projet'!$B$13,Paramètres!$A$1:$I$89,3,0)*VLOOKUP('Données projet'!$B$13,Paramètres!$A$1:$I$89,5,0)</f>
        <v>-9.2222762759774927E-14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191.03017979797141</v>
      </c>
      <c r="CZ100" s="62">
        <f t="shared" si="96"/>
        <v>222.78252111624278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3.3333333333333313</v>
      </c>
      <c r="DO100" s="13">
        <f>IF('Données projet'!$A$166&gt;35,DO99+DN100-DW99,IF(A100&lt;'Données projet'!$A$166,$DL$205^A100,IF(A100='Données projet'!$A$166,'Données projet'!$B$166,DO99+DN100-DW99)))</f>
        <v>236.1538461538461</v>
      </c>
      <c r="DP100" s="18">
        <f>DO100*VLOOKUP('Données projet'!$B$14,Paramètres!$A$1:$I$89,3,0)*VLOOKUP('Données projet'!$B$14,Paramètres!$A$1:$I$89,5,0)</f>
        <v>224.72399999999993</v>
      </c>
      <c r="DQ100" s="14">
        <f t="shared" si="97"/>
        <v>55.140350790767556</v>
      </c>
      <c r="DR100" s="22">
        <f t="shared" si="70"/>
        <v>487.4304109605867</v>
      </c>
      <c r="DS100" s="62">
        <f t="shared" si="71"/>
        <v>780.76374429392001</v>
      </c>
      <c r="DT100" s="62">
        <f ca="1">AVERAGE(OFFSET($DS$3,0,0,'Données projet'!$E$14+1,1))-AVERAGE(OFFSET($H$3,0,0,'Données projet'!$E$14+1,1))</f>
        <v>260.93525280373063</v>
      </c>
      <c r="DU100" s="62">
        <f t="shared" si="98"/>
        <v>206.83968452163816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1.4583333333333344</v>
      </c>
      <c r="EJ100" s="13">
        <f>IF('Données projet'!$A$192&gt;35,EJ99+EI100-ER99,IF(A100&lt;'Données projet'!$A$192,$EG$205^A100,IF(A100='Données projet'!$A$192,'Données projet'!$B$192,EJ99+EI100-ER99)))</f>
        <v>107.44999999999993</v>
      </c>
      <c r="EK100" s="18">
        <f>EJ100*VLOOKUP('Données projet'!$B$15,Paramètres!$A$1:$I$89,3,0)*VLOOKUP('Données projet'!$B$15,Paramètres!$A$1:$I$89,5,0)</f>
        <v>123.78239999999991</v>
      </c>
      <c r="EL100" s="14">
        <f t="shared" si="99"/>
        <v>32.555582319658349</v>
      </c>
      <c r="EM100" s="22">
        <f t="shared" si="73"/>
        <v>272.2886525400715</v>
      </c>
      <c r="EN100" s="62">
        <f t="shared" si="74"/>
        <v>565.62198587340481</v>
      </c>
      <c r="EO100" s="62">
        <f ca="1">AVERAGE(OFFSET($EN$3,0,0,'Données projet'!$E$15+1,1))-AVERAGE(OFFSET($H$3,0,0,'Données projet'!$E$15+1,1))</f>
        <v>118.01099353898547</v>
      </c>
      <c r="EP100" s="62">
        <f t="shared" si="100"/>
        <v>103.17146760845947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4.9000000000000004</v>
      </c>
      <c r="FE100" s="13">
        <f>IF('Données projet'!$A$218&gt;35,FE99+FD100-FM99,IF(A100&lt;'Données projet'!$A$218,$FB$205^A100,IF(A100='Données projet'!$A$218,'Données projet'!$B$218,FE99+FD100-FM99)))</f>
        <v>288.2999999999999</v>
      </c>
      <c r="FF100" s="18">
        <f>FE100*VLOOKUP('Données projet'!$B$16,Paramètres!$A$1:$I$89,3,0)*VLOOKUP('Données projet'!$B$16,Paramètres!$A$1:$I$89,5,0)</f>
        <v>287.83871999999991</v>
      </c>
      <c r="FG100" s="14">
        <f t="shared" si="101"/>
        <v>68.620884395190288</v>
      </c>
      <c r="FH100" s="22">
        <f t="shared" si="76"/>
        <v>620.83381098828954</v>
      </c>
      <c r="FI100" s="62">
        <f t="shared" si="77"/>
        <v>914.1671443216228</v>
      </c>
      <c r="FJ100" s="62">
        <f ca="1">AVERAGE(OFFSET($FI$3,0,0,'Données projet'!$E$16+1,1))-AVERAGE(OFFSET($H$3,0,0,'Données projet'!$E$16+1,1))</f>
        <v>343.71044073996887</v>
      </c>
      <c r="FK100" s="62">
        <f t="shared" si="102"/>
        <v>193.51732627292375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4.9000000000000004</v>
      </c>
      <c r="N101" s="14">
        <f>IF('Données projet'!$A$36&gt;35,N100+M101-V100,IF(A101&lt;'Données projet'!$A$36,$K$205^A101,IF(A101='Données projet'!$A$36,'Données projet'!$B$36,N100+M101-V100)))</f>
        <v>293.19999999999987</v>
      </c>
      <c r="O101" s="14">
        <f>N101*VLOOKUP('Données projet'!$B$9,Paramètres!$A$1:$I$89,3,0)*VLOOKUP('Données projet'!$B$9,Paramètres!$A$1:$I$89,5,0)</f>
        <v>265.28735999999992</v>
      </c>
      <c r="P101" s="14">
        <f t="shared" si="87"/>
        <v>63.84810550096995</v>
      </c>
      <c r="Q101" s="22">
        <f t="shared" si="107"/>
        <v>573.24426908085582</v>
      </c>
      <c r="R101" s="62">
        <f t="shared" si="55"/>
        <v>866.57760241418919</v>
      </c>
      <c r="S101" s="62">
        <f ca="1">AVERAGE(OFFSET($R$3,0,0,'Données projet'!$E$9+1,1))-AVERAGE(OFFSET($H$3,0,0,'Données projet'!$E$9+1,1))</f>
        <v>303.73499739059076</v>
      </c>
      <c r="T101" s="62">
        <f t="shared" si="88"/>
        <v>172.32171001882188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-2.2737367544323206E-13</v>
      </c>
      <c r="AJ101" s="14">
        <f>AI101*VLOOKUP('Données projet'!$B$10,Paramètres!$A$1:$I$89,3,0)*VLOOKUP('Données projet'!$B$10,Paramètres!$A$1:$I$89,5,0)</f>
        <v>-1.6671037883497774E-13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215.66498680344858</v>
      </c>
      <c r="AO101" s="62">
        <f t="shared" si="90"/>
        <v>199.86715787211114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-5.6843418860808015E-14</v>
      </c>
      <c r="BE101" s="14">
        <f>BD101*VLOOKUP('Données projet'!$B$11,Paramètres!$A$1:$I$89,3,0)*VLOOKUP('Données projet'!$B$11,Paramètres!$A$1:$I$89,5,0)</f>
        <v>-3.3992364478763198E-14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155.11440101086782</v>
      </c>
      <c r="BJ101" s="62">
        <f t="shared" si="92"/>
        <v>239.53454701506638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3.510409298013117</v>
      </c>
      <c r="BQ101" s="23">
        <f>EXP(-LN(2)/25)*BQ100+(1-EXP(-LN(2)/25))/(LN(2)/25)*Calculateur!BL101*Calculateur!BN101*VLOOKUP('Données projet'!$B$11,Paramètres!$A$1:$I$89,3,0)*0.475*44/12</f>
        <v>1.0991554718395233</v>
      </c>
      <c r="BR101" s="23">
        <f>EXP(-LN(2)/2)*BR100+(1-EXP(-LN(2)/2))/(LN(2)/2)*BL101*BO101*VLOOKUP('Données projet'!$B$11,Paramètres!$A$1:$I$89,3,0)*0.475*44/12</f>
        <v>1.7165107855847922E-10</v>
      </c>
      <c r="BS101" s="24">
        <f t="shared" si="63"/>
        <v>4.6095647700242912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-5.6843418860808015E-14</v>
      </c>
      <c r="BZ101" s="14">
        <f>BY101*VLOOKUP('Données projet'!$B$12,Paramètres!$A$1:$I$89,3,0)*VLOOKUP('Données projet'!$B$12,Paramètres!$A$1:$I$89,5,0)</f>
        <v>-3.3992364478763198E-14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155.11440101086782</v>
      </c>
      <c r="CE101" s="62">
        <f t="shared" si="94"/>
        <v>239.53454701506638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3.510409298013117</v>
      </c>
      <c r="CL101" s="23">
        <f>EXP(-LN(2)/25)*CL100+(1-EXP(-LN(2)/25))/(LN(2)/25)*Calculateur!CG101*Calculateur!CI101*VLOOKUP('Données projet'!$B$12,Paramètres!$A$1:$I$89,3,0)*0.475*44/12</f>
        <v>1.0991554718395233</v>
      </c>
      <c r="CM101" s="23">
        <f>EXP(-LN(2)/2)*CM100+(1-EXP(-LN(2)/2))/(LN(2)/2)*CG101*CJ101*VLOOKUP('Données projet'!$B$12,Paramètres!$A$1:$I$89,3,0)*0.475*44/12</f>
        <v>1.7165107855847922E-10</v>
      </c>
      <c r="CN101" s="24">
        <f t="shared" si="66"/>
        <v>4.6095647700242912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-1.1368683772161603E-13</v>
      </c>
      <c r="CU101" s="18">
        <f>CT101*VLOOKUP('Données projet'!$B$13,Paramètres!$A$1:$I$89,3,0)*VLOOKUP('Données projet'!$B$13,Paramètres!$A$1:$I$89,5,0)</f>
        <v>-9.2222762759774927E-14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191.03017979797141</v>
      </c>
      <c r="CZ101" s="62">
        <f t="shared" si="96"/>
        <v>222.78252111624278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3.3333333333333313</v>
      </c>
      <c r="DO101" s="13">
        <f>IF('Données projet'!$A$166&gt;35,DO100+DN101-DW100,IF(A101&lt;'Données projet'!$A$166,$DL$205^A101,IF(A101='Données projet'!$A$166,'Données projet'!$B$166,DO100+DN101-DW100)))</f>
        <v>239.48717948717945</v>
      </c>
      <c r="DP101" s="18">
        <f>DO101*VLOOKUP('Données projet'!$B$14,Paramètres!$A$1:$I$89,3,0)*VLOOKUP('Données projet'!$B$14,Paramètres!$A$1:$I$89,5,0)</f>
        <v>227.89599999999999</v>
      </c>
      <c r="DQ101" s="14">
        <f t="shared" si="97"/>
        <v>55.827504502630809</v>
      </c>
      <c r="DR101" s="22">
        <f t="shared" si="70"/>
        <v>494.15177034208205</v>
      </c>
      <c r="DS101" s="62">
        <f t="shared" si="71"/>
        <v>787.4851036754153</v>
      </c>
      <c r="DT101" s="62">
        <f ca="1">AVERAGE(OFFSET($DS$3,0,0,'Données projet'!$E$14+1,1))-AVERAGE(OFFSET($H$3,0,0,'Données projet'!$E$14+1,1))</f>
        <v>260.93525280373063</v>
      </c>
      <c r="DU101" s="62">
        <f t="shared" si="98"/>
        <v>206.83968452163816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1.4583333333333344</v>
      </c>
      <c r="EJ101" s="13">
        <f>IF('Données projet'!$A$192&gt;35,EJ100+EI101-ER100,IF(A101&lt;'Données projet'!$A$192,$EG$205^A101,IF(A101='Données projet'!$A$192,'Données projet'!$B$192,EJ100+EI101-ER100)))</f>
        <v>108.90833333333326</v>
      </c>
      <c r="EK101" s="18">
        <f>EJ101*VLOOKUP('Données projet'!$B$15,Paramètres!$A$1:$I$89,3,0)*VLOOKUP('Données projet'!$B$15,Paramètres!$A$1:$I$89,5,0)</f>
        <v>125.4623999999999</v>
      </c>
      <c r="EL101" s="14">
        <f t="shared" si="99"/>
        <v>32.945695024136818</v>
      </c>
      <c r="EM101" s="22">
        <f t="shared" si="73"/>
        <v>275.89409883370479</v>
      </c>
      <c r="EN101" s="62">
        <f t="shared" si="74"/>
        <v>569.22743216703816</v>
      </c>
      <c r="EO101" s="62">
        <f ca="1">AVERAGE(OFFSET($EN$3,0,0,'Données projet'!$E$15+1,1))-AVERAGE(OFFSET($H$3,0,0,'Données projet'!$E$15+1,1))</f>
        <v>118.01099353898547</v>
      </c>
      <c r="EP101" s="62">
        <f t="shared" si="100"/>
        <v>103.17146760845947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4.9000000000000004</v>
      </c>
      <c r="FE101" s="13">
        <f>IF('Données projet'!$A$218&gt;35,FE100+FD101-FM100,IF(A101&lt;'Données projet'!$A$218,$FB$205^A101,IF(A101='Données projet'!$A$218,'Données projet'!$B$218,FE100+FD101-FM100)))</f>
        <v>293.19999999999987</v>
      </c>
      <c r="FF101" s="18">
        <f>FE101*VLOOKUP('Données projet'!$B$16,Paramètres!$A$1:$I$89,3,0)*VLOOKUP('Données projet'!$B$16,Paramètres!$A$1:$I$89,5,0)</f>
        <v>292.73087999999984</v>
      </c>
      <c r="FG101" s="14">
        <f t="shared" si="101"/>
        <v>69.650408084819858</v>
      </c>
      <c r="FH101" s="22">
        <f t="shared" si="76"/>
        <v>631.14741008106091</v>
      </c>
      <c r="FI101" s="62">
        <f t="shared" si="77"/>
        <v>924.48074341439428</v>
      </c>
      <c r="FJ101" s="62">
        <f ca="1">AVERAGE(OFFSET($FI$3,0,0,'Données projet'!$E$16+1,1))-AVERAGE(OFFSET($H$3,0,0,'Données projet'!$E$16+1,1))</f>
        <v>343.71044073996887</v>
      </c>
      <c r="FK101" s="62">
        <f t="shared" si="102"/>
        <v>193.51732627292375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4.9000000000000004</v>
      </c>
      <c r="N102" s="14">
        <f>IF('Données projet'!$A$36&gt;35,N101+M102-V101,IF(A102&lt;'Données projet'!$A$36,$K$205^A102,IF(A102='Données projet'!$A$36,'Données projet'!$B$36,N101+M102-V101)))</f>
        <v>298.09999999999985</v>
      </c>
      <c r="O102" s="14">
        <f>N102*VLOOKUP('Données projet'!$B$9,Paramètres!$A$1:$I$89,3,0)*VLOOKUP('Données projet'!$B$9,Paramètres!$A$1:$I$89,5,0)</f>
        <v>269.72087999999985</v>
      </c>
      <c r="P102" s="14">
        <f t="shared" si="87"/>
        <v>64.790029413946939</v>
      </c>
      <c r="Q102" s="22">
        <f t="shared" si="107"/>
        <v>582.60650056262409</v>
      </c>
      <c r="R102" s="62">
        <f t="shared" si="55"/>
        <v>875.93983389595746</v>
      </c>
      <c r="S102" s="62">
        <f ca="1">AVERAGE(OFFSET($R$3,0,0,'Données projet'!$E$9+1,1))-AVERAGE(OFFSET($H$3,0,0,'Données projet'!$E$9+1,1))</f>
        <v>303.73499739059076</v>
      </c>
      <c r="T102" s="62">
        <f t="shared" si="88"/>
        <v>172.32171001882188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-2.2737367544323206E-13</v>
      </c>
      <c r="AJ102" s="14">
        <f>AI102*VLOOKUP('Données projet'!$B$10,Paramètres!$A$1:$I$89,3,0)*VLOOKUP('Données projet'!$B$10,Paramètres!$A$1:$I$89,5,0)</f>
        <v>-1.6671037883497774E-13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215.66498680344858</v>
      </c>
      <c r="AO102" s="62">
        <f t="shared" si="90"/>
        <v>199.86715787211114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-5.6843418860808015E-14</v>
      </c>
      <c r="BE102" s="14">
        <f>BD102*VLOOKUP('Données projet'!$B$11,Paramètres!$A$1:$I$89,3,0)*VLOOKUP('Données projet'!$B$11,Paramètres!$A$1:$I$89,5,0)</f>
        <v>-3.3992364478763198E-14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155.11440101086782</v>
      </c>
      <c r="BJ102" s="62">
        <f t="shared" si="92"/>
        <v>239.53454701506638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3.4415723128173319</v>
      </c>
      <c r="BQ102" s="23">
        <f>EXP(-LN(2)/25)*BQ101+(1-EXP(-LN(2)/25))/(LN(2)/25)*Calculateur!BL102*Calculateur!BN102*VLOOKUP('Données projet'!$B$11,Paramètres!$A$1:$I$89,3,0)*0.475*44/12</f>
        <v>1.0690990076599975</v>
      </c>
      <c r="BR102" s="23">
        <f>EXP(-LN(2)/2)*BR101+(1-EXP(-LN(2)/2))/(LN(2)/2)*BL102*BO102*VLOOKUP('Données projet'!$B$11,Paramètres!$A$1:$I$89,3,0)*0.475*44/12</f>
        <v>1.2137564164668544E-10</v>
      </c>
      <c r="BS102" s="24">
        <f t="shared" si="63"/>
        <v>4.5106713205987052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-5.6843418860808015E-14</v>
      </c>
      <c r="BZ102" s="14">
        <f>BY102*VLOOKUP('Données projet'!$B$12,Paramètres!$A$1:$I$89,3,0)*VLOOKUP('Données projet'!$B$12,Paramètres!$A$1:$I$89,5,0)</f>
        <v>-3.3992364478763198E-14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155.11440101086782</v>
      </c>
      <c r="CE102" s="62">
        <f t="shared" si="94"/>
        <v>239.53454701506638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3.4415723128173319</v>
      </c>
      <c r="CL102" s="23">
        <f>EXP(-LN(2)/25)*CL101+(1-EXP(-LN(2)/25))/(LN(2)/25)*Calculateur!CG102*Calculateur!CI102*VLOOKUP('Données projet'!$B$12,Paramètres!$A$1:$I$89,3,0)*0.475*44/12</f>
        <v>1.0690990076599975</v>
      </c>
      <c r="CM102" s="23">
        <f>EXP(-LN(2)/2)*CM101+(1-EXP(-LN(2)/2))/(LN(2)/2)*CG102*CJ102*VLOOKUP('Données projet'!$B$12,Paramètres!$A$1:$I$89,3,0)*0.475*44/12</f>
        <v>1.2137564164668544E-10</v>
      </c>
      <c r="CN102" s="24">
        <f t="shared" si="66"/>
        <v>4.5106713205987052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-1.1368683772161603E-13</v>
      </c>
      <c r="CU102" s="18">
        <f>CT102*VLOOKUP('Données projet'!$B$13,Paramètres!$A$1:$I$89,3,0)*VLOOKUP('Données projet'!$B$13,Paramètres!$A$1:$I$89,5,0)</f>
        <v>-9.2222762759774927E-14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191.03017979797141</v>
      </c>
      <c r="CZ102" s="62">
        <f t="shared" si="96"/>
        <v>222.78252111624278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3.3333333333333313</v>
      </c>
      <c r="DO102" s="13">
        <f>IF('Données projet'!$A$166&gt;35,DO101+DN102-DW101,IF(A102&lt;'Données projet'!$A$166,$DL$205^A102,IF(A102='Données projet'!$A$166,'Données projet'!$B$166,DO101+DN102-DW101)))</f>
        <v>242.82051282051279</v>
      </c>
      <c r="DP102" s="18">
        <f>DO102*VLOOKUP('Données projet'!$B$14,Paramètres!$A$1:$I$89,3,0)*VLOOKUP('Données projet'!$B$14,Paramètres!$A$1:$I$89,5,0)</f>
        <v>231.06799999999998</v>
      </c>
      <c r="DQ102" s="14">
        <f t="shared" si="97"/>
        <v>56.513545800555768</v>
      </c>
      <c r="DR102" s="22">
        <f t="shared" si="70"/>
        <v>500.87119226930128</v>
      </c>
      <c r="DS102" s="62">
        <f t="shared" si="71"/>
        <v>794.20452560263459</v>
      </c>
      <c r="DT102" s="62">
        <f ca="1">AVERAGE(OFFSET($DS$3,0,0,'Données projet'!$E$14+1,1))-AVERAGE(OFFSET($H$3,0,0,'Données projet'!$E$14+1,1))</f>
        <v>260.93525280373063</v>
      </c>
      <c r="DU102" s="62">
        <f t="shared" si="98"/>
        <v>206.83968452163816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1.4583333333333344</v>
      </c>
      <c r="EJ102" s="13">
        <f>IF('Données projet'!$A$192&gt;35,EJ101+EI102-ER101,IF(A102&lt;'Données projet'!$A$192,$EG$205^A102,IF(A102='Données projet'!$A$192,'Données projet'!$B$192,EJ101+EI102-ER101)))</f>
        <v>110.36666666666659</v>
      </c>
      <c r="EK102" s="18">
        <f>EJ102*VLOOKUP('Données projet'!$B$15,Paramètres!$A$1:$I$89,3,0)*VLOOKUP('Données projet'!$B$15,Paramètres!$A$1:$I$89,5,0)</f>
        <v>127.14239999999991</v>
      </c>
      <c r="EL102" s="14">
        <f t="shared" si="99"/>
        <v>33.335200133776368</v>
      </c>
      <c r="EM102" s="22">
        <f t="shared" si="73"/>
        <v>279.49848689966035</v>
      </c>
      <c r="EN102" s="62">
        <f t="shared" si="74"/>
        <v>572.83182023299366</v>
      </c>
      <c r="EO102" s="62">
        <f ca="1">AVERAGE(OFFSET($EN$3,0,0,'Données projet'!$E$15+1,1))-AVERAGE(OFFSET($H$3,0,0,'Données projet'!$E$15+1,1))</f>
        <v>118.01099353898547</v>
      </c>
      <c r="EP102" s="62">
        <f t="shared" si="100"/>
        <v>103.17146760845947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4.9000000000000004</v>
      </c>
      <c r="FE102" s="13">
        <f>IF('Données projet'!$A$218&gt;35,FE101+FD102-FM101,IF(A102&lt;'Données projet'!$A$218,$FB$205^A102,IF(A102='Données projet'!$A$218,'Données projet'!$B$218,FE101+FD102-FM101)))</f>
        <v>298.09999999999985</v>
      </c>
      <c r="FF102" s="18">
        <f>FE102*VLOOKUP('Données projet'!$B$16,Paramètres!$A$1:$I$89,3,0)*VLOOKUP('Données projet'!$B$16,Paramètres!$A$1:$I$89,5,0)</f>
        <v>297.62303999999989</v>
      </c>
      <c r="FG102" s="14">
        <f t="shared" si="101"/>
        <v>70.67793089710905</v>
      </c>
      <c r="FH102" s="22">
        <f t="shared" si="76"/>
        <v>641.45752431246467</v>
      </c>
      <c r="FI102" s="62">
        <f t="shared" si="77"/>
        <v>934.79085764579804</v>
      </c>
      <c r="FJ102" s="62">
        <f ca="1">AVERAGE(OFFSET($FI$3,0,0,'Données projet'!$E$16+1,1))-AVERAGE(OFFSET($H$3,0,0,'Données projet'!$E$16+1,1))</f>
        <v>343.71044073996887</v>
      </c>
      <c r="FK102" s="62">
        <f t="shared" si="102"/>
        <v>193.51732627292375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4.9000000000000004</v>
      </c>
      <c r="M103" s="13">
        <f t="array" ref="M103">INDEX(L:L,MIN(IF(ISNUMBER(L103:L299),ROW(L103:L299),"")))</f>
        <v>4.9000000000000004</v>
      </c>
      <c r="N103" s="14">
        <f>IF('Données projet'!$A$36&gt;35,N102+M103-V102,IF(A103&lt;'Données projet'!$A$36,$K$205^A103,IF(A103='Données projet'!$A$36,'Données projet'!$B$36,N102+M103-V102)))</f>
        <v>302.99999999999983</v>
      </c>
      <c r="O103" s="14">
        <f>N103*VLOOKUP('Données projet'!$B$9,Paramètres!$A$1:$I$89,3,0)*VLOOKUP('Données projet'!$B$9,Paramètres!$A$1:$I$89,5,0)</f>
        <v>274.15439999999984</v>
      </c>
      <c r="P103" s="14">
        <f t="shared" si="87"/>
        <v>65.730152764515779</v>
      </c>
      <c r="Q103" s="22">
        <f t="shared" si="107"/>
        <v>591.9655960648646</v>
      </c>
      <c r="R103" s="62">
        <f t="shared" si="55"/>
        <v>885.29892939819797</v>
      </c>
      <c r="S103" s="62">
        <f ca="1">AVERAGE(OFFSET($R$3,0,0,'Données projet'!$E$9+1,1))-AVERAGE(OFFSET($H$3,0,0,'Données projet'!$E$9+1,1))</f>
        <v>303.73499739059076</v>
      </c>
      <c r="T103" s="62">
        <f t="shared" si="88"/>
        <v>172.32171001882188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42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-2.2737367544323206E-13</v>
      </c>
      <c r="AJ103" s="14">
        <f>AI103*VLOOKUP('Données projet'!$B$10,Paramètres!$A$1:$I$89,3,0)*VLOOKUP('Données projet'!$B$10,Paramètres!$A$1:$I$89,5,0)</f>
        <v>-1.6671037883497774E-13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215.66498680344858</v>
      </c>
      <c r="AO103" s="62">
        <f t="shared" si="90"/>
        <v>199.86715787211114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-5.6843418860808015E-14</v>
      </c>
      <c r="BE103" s="14">
        <f>BD103*VLOOKUP('Données projet'!$B$11,Paramètres!$A$1:$I$89,3,0)*VLOOKUP('Données projet'!$B$11,Paramètres!$A$1:$I$89,5,0)</f>
        <v>-3.3992364478763198E-14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155.11440101086782</v>
      </c>
      <c r="BJ103" s="62">
        <f t="shared" si="92"/>
        <v>239.53454701506638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3.3740851789148207</v>
      </c>
      <c r="BQ103" s="23">
        <f>EXP(-LN(2)/25)*BQ102+(1-EXP(-LN(2)/25))/(LN(2)/25)*Calculateur!BL103*Calculateur!BN103*VLOOKUP('Données projet'!$B$11,Paramètres!$A$1:$I$89,3,0)*0.475*44/12</f>
        <v>1.0398644390740615</v>
      </c>
      <c r="BR103" s="23">
        <f>EXP(-LN(2)/2)*BR102+(1-EXP(-LN(2)/2))/(LN(2)/2)*BL103*BO103*VLOOKUP('Données projet'!$B$11,Paramètres!$A$1:$I$89,3,0)*0.475*44/12</f>
        <v>8.5825539279239611E-11</v>
      </c>
      <c r="BS103" s="24">
        <f t="shared" si="63"/>
        <v>4.4139496180747075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-5.6843418860808015E-14</v>
      </c>
      <c r="BZ103" s="14">
        <f>BY103*VLOOKUP('Données projet'!$B$12,Paramètres!$A$1:$I$89,3,0)*VLOOKUP('Données projet'!$B$12,Paramètres!$A$1:$I$89,5,0)</f>
        <v>-3.3992364478763198E-14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155.11440101086782</v>
      </c>
      <c r="CE103" s="62">
        <f t="shared" si="94"/>
        <v>239.53454701506638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3.3740851789148207</v>
      </c>
      <c r="CL103" s="23">
        <f>EXP(-LN(2)/25)*CL102+(1-EXP(-LN(2)/25))/(LN(2)/25)*Calculateur!CG103*Calculateur!CI103*VLOOKUP('Données projet'!$B$12,Paramètres!$A$1:$I$89,3,0)*0.475*44/12</f>
        <v>1.0398644390740615</v>
      </c>
      <c r="CM103" s="23">
        <f>EXP(-LN(2)/2)*CM102+(1-EXP(-LN(2)/2))/(LN(2)/2)*CG103*CJ103*VLOOKUP('Données projet'!$B$12,Paramètres!$A$1:$I$89,3,0)*0.475*44/12</f>
        <v>8.5825539279239611E-11</v>
      </c>
      <c r="CN103" s="24">
        <f t="shared" si="66"/>
        <v>4.4139496180747075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-1.1368683772161603E-13</v>
      </c>
      <c r="CU103" s="18">
        <f>CT103*VLOOKUP('Données projet'!$B$13,Paramètres!$A$1:$I$89,3,0)*VLOOKUP('Données projet'!$B$13,Paramètres!$A$1:$I$89,5,0)</f>
        <v>-9.2222762759774927E-14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191.03017979797141</v>
      </c>
      <c r="CZ103" s="62">
        <f t="shared" si="96"/>
        <v>222.78252111624278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246.15384615384613</v>
      </c>
      <c r="DM103" s="13">
        <f>VLOOKUP(A103,'Données projet'!$A$165:$I$185,9,0)</f>
        <v>3.3333333333333313</v>
      </c>
      <c r="DN103" s="13">
        <f t="array" ref="DN103">INDEX(DM:DM,MIN(IF(ISNUMBER(DM103:DM299),ROW(DM103:DM299),"")))</f>
        <v>3.3333333333333313</v>
      </c>
      <c r="DO103" s="13">
        <f>IF('Données projet'!$A$166&gt;35,DO102+DN103-DW102,IF(A103&lt;'Données projet'!$A$166,$DL$205^A103,IF(A103='Données projet'!$A$166,'Données projet'!$B$166,DO102+DN103-DW102)))</f>
        <v>246.15384615384613</v>
      </c>
      <c r="DP103" s="18">
        <f>DO103*VLOOKUP('Données projet'!$B$14,Paramètres!$A$1:$I$89,3,0)*VLOOKUP('Données projet'!$B$14,Paramètres!$A$1:$I$89,5,0)</f>
        <v>234.23999999999998</v>
      </c>
      <c r="DQ103" s="14">
        <f t="shared" si="97"/>
        <v>57.19849172024869</v>
      </c>
      <c r="DR103" s="22">
        <f t="shared" si="70"/>
        <v>507.58870641276644</v>
      </c>
      <c r="DS103" s="62">
        <f t="shared" si="71"/>
        <v>800.9220397460997</v>
      </c>
      <c r="DT103" s="62">
        <f ca="1">AVERAGE(OFFSET($DS$3,0,0,'Données projet'!$E$14+1,1))-AVERAGE(OFFSET($H$3,0,0,'Données projet'!$E$14+1,1))</f>
        <v>260.93525280373063</v>
      </c>
      <c r="DU103" s="62">
        <f t="shared" si="98"/>
        <v>206.83968452163816</v>
      </c>
      <c r="DV103" s="16">
        <f>IF(ISNA(VLOOKUP(A103,'Données projet'!$A$165:$I$185,3,0)),0,VLOOKUP(A103,'Données projet'!$A$165:$I$185,3,0))</f>
        <v>9</v>
      </c>
      <c r="DW103" s="16">
        <f>IF(ISNA(VLOOKUP(A103,'Données projet'!$A$165:$I$185,4,0)),0,VLOOKUP(A103,'Données projet'!$A$165:$I$185,4,0))</f>
        <v>23.717948717948715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111.825</v>
      </c>
      <c r="EH103" s="13">
        <f>VLOOKUP(A103,'Données projet'!$A$191:$I$211,9,0)</f>
        <v>1.4583333333333344</v>
      </c>
      <c r="EI103" s="13">
        <f t="array" ref="EI103">INDEX(EH:EH,MIN(IF(ISNUMBER(EH103:EH299),ROW(EH103:EH299),"")))</f>
        <v>1.4583333333333344</v>
      </c>
      <c r="EJ103" s="13">
        <f>IF('Données projet'!$A$192&gt;35,EJ102+EI103-ER102,IF(A103&lt;'Données projet'!$A$192,$EG$205^A103,IF(A103='Données projet'!$A$192,'Données projet'!$B$192,EJ102+EI103-ER102)))</f>
        <v>111.82499999999992</v>
      </c>
      <c r="EK103" s="18">
        <f>EJ103*VLOOKUP('Données projet'!$B$15,Paramètres!$A$1:$I$89,3,0)*VLOOKUP('Données projet'!$B$15,Paramètres!$A$1:$I$89,5,0)</f>
        <v>128.8223999999999</v>
      </c>
      <c r="EL103" s="14">
        <f t="shared" si="99"/>
        <v>33.72410660519936</v>
      </c>
      <c r="EM103" s="22">
        <f t="shared" si="73"/>
        <v>283.10183233738871</v>
      </c>
      <c r="EN103" s="62">
        <f t="shared" si="74"/>
        <v>576.43516567072197</v>
      </c>
      <c r="EO103" s="62">
        <f ca="1">AVERAGE(OFFSET($EN$3,0,0,'Données projet'!$E$15+1,1))-AVERAGE(OFFSET($H$3,0,0,'Données projet'!$E$15+1,1))</f>
        <v>118.01099353898547</v>
      </c>
      <c r="EP103" s="62">
        <f t="shared" si="100"/>
        <v>103.17146760845947</v>
      </c>
      <c r="EQ103" s="16">
        <f>IF(ISNA(VLOOKUP(A103,'Données projet'!$A$191:$I$211,3,0)),0,VLOOKUP(A103,'Données projet'!$A$191:$I$211,3,0))</f>
        <v>8</v>
      </c>
      <c r="ER103" s="16">
        <f>IF(ISNA(VLOOKUP(A103,'Données projet'!$A$191:$I$211,4,0)),0,VLOOKUP(A103,'Données projet'!$A$191:$I$211,4,0))</f>
        <v>9.125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303</v>
      </c>
      <c r="FC103" s="13">
        <f>VLOOKUP(A103,'Données projet'!$A$217:$I$237,9,0)</f>
        <v>4.9000000000000004</v>
      </c>
      <c r="FD103" s="13">
        <f t="array" ref="FD103">INDEX(FC:FC,MIN(IF(ISNUMBER(FC103:FC299),ROW(FC103:FC299),"")))</f>
        <v>4.9000000000000004</v>
      </c>
      <c r="FE103" s="13">
        <f>IF('Données projet'!$A$218&gt;35,FE102+FD103-FM102,IF(A103&lt;'Données projet'!$A$218,$FB$205^A103,IF(A103='Données projet'!$A$218,'Données projet'!$B$218,FE102+FD103-FM102)))</f>
        <v>302.99999999999983</v>
      </c>
      <c r="FF103" s="18">
        <f>FE103*VLOOKUP('Données projet'!$B$16,Paramètres!$A$1:$I$89,3,0)*VLOOKUP('Données projet'!$B$16,Paramètres!$A$1:$I$89,5,0)</f>
        <v>302.51519999999988</v>
      </c>
      <c r="FG103" s="14">
        <f t="shared" si="101"/>
        <v>71.703489517892194</v>
      </c>
      <c r="FH103" s="22">
        <f t="shared" si="76"/>
        <v>651.76421757699529</v>
      </c>
      <c r="FI103" s="62">
        <f t="shared" si="77"/>
        <v>945.09755091032866</v>
      </c>
      <c r="FJ103" s="62">
        <f ca="1">AVERAGE(OFFSET($FI$3,0,0,'Données projet'!$E$16+1,1))-AVERAGE(OFFSET($H$3,0,0,'Données projet'!$E$16+1,1))</f>
        <v>343.71044073996887</v>
      </c>
      <c r="FK103" s="62">
        <f t="shared" si="102"/>
        <v>193.51732627292375</v>
      </c>
      <c r="FL103" s="16">
        <f>IF(ISNA(VLOOKUP(A103,'Données projet'!$A$217:$I$237,3,0)),0,VLOOKUP(A103,'Données projet'!$A$217:$I$237,3,0))</f>
        <v>8</v>
      </c>
      <c r="FM103" s="16">
        <f>IF(ISNA(VLOOKUP(A103,'Données projet'!$A$217:$I$237,4,0)),0,VLOOKUP(A103,'Données projet'!$A$217:$I$237,4,0))</f>
        <v>42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265.39999999999981</v>
      </c>
      <c r="O104" s="14">
        <f>N104*VLOOKUP('Données projet'!$B$9,Paramètres!$A$1:$I$89,3,0)*VLOOKUP('Données projet'!$B$9,Paramètres!$A$1:$I$89,5,0)</f>
        <v>240.13391999999982</v>
      </c>
      <c r="P104" s="14">
        <f t="shared" si="87"/>
        <v>58.468343087048559</v>
      </c>
      <c r="Q104" s="22">
        <f t="shared" si="107"/>
        <v>520.06560820994252</v>
      </c>
      <c r="R104" s="62">
        <f t="shared" si="55"/>
        <v>813.3989415432759</v>
      </c>
      <c r="S104" s="62">
        <f ca="1">AVERAGE(OFFSET($R$3,0,0,'Données projet'!$E$9+1,1))-AVERAGE(OFFSET($H$3,0,0,'Données projet'!$E$9+1,1))</f>
        <v>303.73499739059076</v>
      </c>
      <c r="T104" s="62">
        <f t="shared" si="88"/>
        <v>172.32171001882188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-2.2737367544323206E-13</v>
      </c>
      <c r="AJ104" s="14">
        <f>AI104*VLOOKUP('Données projet'!$B$10,Paramètres!$A$1:$I$89,3,0)*VLOOKUP('Données projet'!$B$10,Paramètres!$A$1:$I$89,5,0)</f>
        <v>-1.6671037883497774E-13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215.66498680344858</v>
      </c>
      <c r="AO104" s="62">
        <f t="shared" si="90"/>
        <v>199.86715787211114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-5.6843418860808015E-14</v>
      </c>
      <c r="BE104" s="14">
        <f>BD104*VLOOKUP('Données projet'!$B$11,Paramètres!$A$1:$I$89,3,0)*VLOOKUP('Données projet'!$B$11,Paramètres!$A$1:$I$89,5,0)</f>
        <v>-3.3992364478763198E-14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155.11440101086782</v>
      </c>
      <c r="BJ104" s="62">
        <f t="shared" si="92"/>
        <v>239.53454701506638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3.3079214265450507</v>
      </c>
      <c r="BQ104" s="23">
        <f>EXP(-LN(2)/25)*BQ103+(1-EXP(-LN(2)/25))/(LN(2)/25)*Calculateur!BL104*Calculateur!BN104*VLOOKUP('Données projet'!$B$11,Paramètres!$A$1:$I$89,3,0)*0.475*44/12</f>
        <v>1.011429291303487</v>
      </c>
      <c r="BR104" s="23">
        <f>EXP(-LN(2)/2)*BR103+(1-EXP(-LN(2)/2))/(LN(2)/2)*BL104*BO104*VLOOKUP('Données projet'!$B$11,Paramètres!$A$1:$I$89,3,0)*0.475*44/12</f>
        <v>6.0687820823342722E-11</v>
      </c>
      <c r="BS104" s="24">
        <f t="shared" si="63"/>
        <v>4.3193507179092254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-5.6843418860808015E-14</v>
      </c>
      <c r="BZ104" s="14">
        <f>BY104*VLOOKUP('Données projet'!$B$12,Paramètres!$A$1:$I$89,3,0)*VLOOKUP('Données projet'!$B$12,Paramètres!$A$1:$I$89,5,0)</f>
        <v>-3.3992364478763198E-14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155.11440101086782</v>
      </c>
      <c r="CE104" s="62">
        <f t="shared" si="94"/>
        <v>239.53454701506638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3.3079214265450507</v>
      </c>
      <c r="CL104" s="23">
        <f>EXP(-LN(2)/25)*CL103+(1-EXP(-LN(2)/25))/(LN(2)/25)*Calculateur!CG104*Calculateur!CI104*VLOOKUP('Données projet'!$B$12,Paramètres!$A$1:$I$89,3,0)*0.475*44/12</f>
        <v>1.011429291303487</v>
      </c>
      <c r="CM104" s="23">
        <f>EXP(-LN(2)/2)*CM103+(1-EXP(-LN(2)/2))/(LN(2)/2)*CG104*CJ104*VLOOKUP('Données projet'!$B$12,Paramètres!$A$1:$I$89,3,0)*0.475*44/12</f>
        <v>6.0687820823342722E-11</v>
      </c>
      <c r="CN104" s="24">
        <f t="shared" si="66"/>
        <v>4.3193507179092254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-1.1368683772161603E-13</v>
      </c>
      <c r="CU104" s="18">
        <f>CT104*VLOOKUP('Données projet'!$B$13,Paramètres!$A$1:$I$89,3,0)*VLOOKUP('Données projet'!$B$13,Paramètres!$A$1:$I$89,5,0)</f>
        <v>-9.2222762759774927E-14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191.03017979797141</v>
      </c>
      <c r="CZ104" s="62">
        <f t="shared" si="96"/>
        <v>222.78252111624278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3.0769230769230802</v>
      </c>
      <c r="DO104" s="13">
        <f>IF('Données projet'!$A$166&gt;35,DO103+DN104-DW103,IF(A104&lt;'Données projet'!$A$166,$DL$205^A104,IF(A104='Données projet'!$A$166,'Données projet'!$B$166,DO103+DN104-DW103)))</f>
        <v>225.5128205128205</v>
      </c>
      <c r="DP104" s="18">
        <f>DO104*VLOOKUP('Données projet'!$B$14,Paramètres!$A$1:$I$89,3,0)*VLOOKUP('Données projet'!$B$14,Paramètres!$A$1:$I$89,5,0)</f>
        <v>214.59800000000001</v>
      </c>
      <c r="DQ104" s="14">
        <f t="shared" si="97"/>
        <v>52.939094303283817</v>
      </c>
      <c r="DR104" s="22">
        <f t="shared" si="70"/>
        <v>465.96043924488595</v>
      </c>
      <c r="DS104" s="62">
        <f t="shared" si="71"/>
        <v>759.2937725782192</v>
      </c>
      <c r="DT104" s="62">
        <f ca="1">AVERAGE(OFFSET($DS$3,0,0,'Données projet'!$E$14+1,1))-AVERAGE(OFFSET($H$3,0,0,'Données projet'!$E$14+1,1))</f>
        <v>260.93525280373063</v>
      </c>
      <c r="DU104" s="62">
        <f t="shared" si="98"/>
        <v>206.83968452163816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1.3833333333333342</v>
      </c>
      <c r="EJ104" s="13">
        <f>IF('Données projet'!$A$192&gt;35,EJ103+EI104-ER103,IF(A104&lt;'Données projet'!$A$192,$EG$205^A104,IF(A104='Données projet'!$A$192,'Données projet'!$B$192,EJ103+EI104-ER103)))</f>
        <v>104.08333333333326</v>
      </c>
      <c r="EK104" s="18">
        <f>EJ104*VLOOKUP('Données projet'!$B$15,Paramètres!$A$1:$I$89,3,0)*VLOOKUP('Données projet'!$B$15,Paramètres!$A$1:$I$89,5,0)</f>
        <v>119.90399999999991</v>
      </c>
      <c r="EL104" s="14">
        <f t="shared" si="99"/>
        <v>31.65260782781338</v>
      </c>
      <c r="EM104" s="22">
        <f t="shared" si="73"/>
        <v>263.96109196677475</v>
      </c>
      <c r="EN104" s="62">
        <f t="shared" si="74"/>
        <v>557.29442530010806</v>
      </c>
      <c r="EO104" s="62">
        <f ca="1">AVERAGE(OFFSET($EN$3,0,0,'Données projet'!$E$15+1,1))-AVERAGE(OFFSET($H$3,0,0,'Données projet'!$E$15+1,1))</f>
        <v>118.01099353898547</v>
      </c>
      <c r="EP104" s="62">
        <f t="shared" si="100"/>
        <v>103.17146760845947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4.4000000000000004</v>
      </c>
      <c r="FE104" s="13">
        <f>IF('Données projet'!$A$218&gt;35,FE103+FD104-FM103,IF(A104&lt;'Données projet'!$A$218,$FB$205^A104,IF(A104='Données projet'!$A$218,'Données projet'!$B$218,FE103+FD104-FM103)))</f>
        <v>265.39999999999981</v>
      </c>
      <c r="FF104" s="18">
        <f>FE104*VLOOKUP('Données projet'!$B$16,Paramètres!$A$1:$I$89,3,0)*VLOOKUP('Données projet'!$B$16,Paramètres!$A$1:$I$89,5,0)</f>
        <v>264.9753599999998</v>
      </c>
      <c r="FG104" s="14">
        <f t="shared" si="101"/>
        <v>63.781750830403567</v>
      </c>
      <c r="FH104" s="22">
        <f t="shared" si="76"/>
        <v>572.58530136295246</v>
      </c>
      <c r="FI104" s="62">
        <f t="shared" si="77"/>
        <v>865.91863469628584</v>
      </c>
      <c r="FJ104" s="62">
        <f ca="1">AVERAGE(OFFSET($FI$3,0,0,'Données projet'!$E$16+1,1))-AVERAGE(OFFSET($H$3,0,0,'Données projet'!$E$16+1,1))</f>
        <v>343.71044073996887</v>
      </c>
      <c r="FK104" s="62">
        <f t="shared" si="102"/>
        <v>193.51732627292375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269.79999999999978</v>
      </c>
      <c r="O105" s="14">
        <f>N105*VLOOKUP('Données projet'!$B$9,Paramètres!$A$1:$I$89,3,0)*VLOOKUP('Données projet'!$B$9,Paramètres!$A$1:$I$89,5,0)</f>
        <v>244.11503999999979</v>
      </c>
      <c r="P105" s="14">
        <f t="shared" si="87"/>
        <v>59.324023461759012</v>
      </c>
      <c r="Q105" s="22">
        <f t="shared" si="107"/>
        <v>528.48970219589648</v>
      </c>
      <c r="R105" s="62">
        <f t="shared" si="55"/>
        <v>821.82303552922986</v>
      </c>
      <c r="S105" s="62">
        <f ca="1">AVERAGE(OFFSET($R$3,0,0,'Données projet'!$E$9+1,1))-AVERAGE(OFFSET($H$3,0,0,'Données projet'!$E$9+1,1))</f>
        <v>303.73499739059076</v>
      </c>
      <c r="T105" s="62">
        <f t="shared" si="88"/>
        <v>172.32171001882188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-2.2737367544323206E-13</v>
      </c>
      <c r="AJ105" s="14">
        <f>AI105*VLOOKUP('Données projet'!$B$10,Paramètres!$A$1:$I$89,3,0)*VLOOKUP('Données projet'!$B$10,Paramètres!$A$1:$I$89,5,0)</f>
        <v>-1.6671037883497774E-13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215.66498680344858</v>
      </c>
      <c r="AO105" s="62">
        <f t="shared" si="90"/>
        <v>199.86715787211114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-5.6843418860808015E-14</v>
      </c>
      <c r="BE105" s="14">
        <f>BD105*VLOOKUP('Données projet'!$B$11,Paramètres!$A$1:$I$89,3,0)*VLOOKUP('Données projet'!$B$11,Paramètres!$A$1:$I$89,5,0)</f>
        <v>-3.3992364478763198E-14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155.11440101086782</v>
      </c>
      <c r="BJ105" s="62">
        <f t="shared" si="92"/>
        <v>239.53454701506638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3.2430551050033478</v>
      </c>
      <c r="BQ105" s="23">
        <f>EXP(-LN(2)/25)*BQ104+(1-EXP(-LN(2)/25))/(LN(2)/25)*Calculateur!BL105*Calculateur!BN105*VLOOKUP('Données projet'!$B$11,Paramètres!$A$1:$I$89,3,0)*0.475*44/12</f>
        <v>0.98377170414403836</v>
      </c>
      <c r="BR105" s="23">
        <f>EXP(-LN(2)/2)*BR104+(1-EXP(-LN(2)/2))/(LN(2)/2)*BL105*BO105*VLOOKUP('Données projet'!$B$11,Paramètres!$A$1:$I$89,3,0)*0.475*44/12</f>
        <v>4.2912769639619806E-11</v>
      </c>
      <c r="BS105" s="24">
        <f t="shared" si="63"/>
        <v>4.2268268091902987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-5.6843418860808015E-14</v>
      </c>
      <c r="BZ105" s="14">
        <f>BY105*VLOOKUP('Données projet'!$B$12,Paramètres!$A$1:$I$89,3,0)*VLOOKUP('Données projet'!$B$12,Paramètres!$A$1:$I$89,5,0)</f>
        <v>-3.3992364478763198E-14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155.11440101086782</v>
      </c>
      <c r="CE105" s="62">
        <f t="shared" si="94"/>
        <v>239.53454701506638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3.2430551050033478</v>
      </c>
      <c r="CL105" s="23">
        <f>EXP(-LN(2)/25)*CL104+(1-EXP(-LN(2)/25))/(LN(2)/25)*Calculateur!CG105*Calculateur!CI105*VLOOKUP('Données projet'!$B$12,Paramètres!$A$1:$I$89,3,0)*0.475*44/12</f>
        <v>0.98377170414403836</v>
      </c>
      <c r="CM105" s="23">
        <f>EXP(-LN(2)/2)*CM104+(1-EXP(-LN(2)/2))/(LN(2)/2)*CG105*CJ105*VLOOKUP('Données projet'!$B$12,Paramètres!$A$1:$I$89,3,0)*0.475*44/12</f>
        <v>4.2912769639619806E-11</v>
      </c>
      <c r="CN105" s="24">
        <f t="shared" si="66"/>
        <v>4.2268268091902987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-1.1368683772161603E-13</v>
      </c>
      <c r="CU105" s="18">
        <f>CT105*VLOOKUP('Données projet'!$B$13,Paramètres!$A$1:$I$89,3,0)*VLOOKUP('Données projet'!$B$13,Paramètres!$A$1:$I$89,5,0)</f>
        <v>-9.2222762759774927E-14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191.03017979797141</v>
      </c>
      <c r="CZ105" s="62">
        <f t="shared" si="96"/>
        <v>222.78252111624278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3.0769230769230802</v>
      </c>
      <c r="DO105" s="13">
        <f>IF('Données projet'!$A$166&gt;35,DO104+DN105-DW104,IF(A105&lt;'Données projet'!$A$166,$DL$205^A105,IF(A105='Données projet'!$A$166,'Données projet'!$B$166,DO104+DN105-DW104)))</f>
        <v>228.58974358974359</v>
      </c>
      <c r="DP105" s="18">
        <f>DO105*VLOOKUP('Données projet'!$B$14,Paramètres!$A$1:$I$89,3,0)*VLOOKUP('Données projet'!$B$14,Paramètres!$A$1:$I$89,5,0)</f>
        <v>217.52600000000001</v>
      </c>
      <c r="DQ105" s="14">
        <f t="shared" si="97"/>
        <v>53.576820638117503</v>
      </c>
      <c r="DR105" s="22">
        <f t="shared" si="70"/>
        <v>472.17074594472138</v>
      </c>
      <c r="DS105" s="62">
        <f t="shared" si="71"/>
        <v>765.50407927805463</v>
      </c>
      <c r="DT105" s="62">
        <f ca="1">AVERAGE(OFFSET($DS$3,0,0,'Données projet'!$E$14+1,1))-AVERAGE(OFFSET($H$3,0,0,'Données projet'!$E$14+1,1))</f>
        <v>260.93525280373063</v>
      </c>
      <c r="DU105" s="62">
        <f t="shared" si="98"/>
        <v>206.83968452163816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1.3833333333333342</v>
      </c>
      <c r="EJ105" s="13">
        <f>IF('Données projet'!$A$192&gt;35,EJ104+EI105-ER104,IF(A105&lt;'Données projet'!$A$192,$EG$205^A105,IF(A105='Données projet'!$A$192,'Données projet'!$B$192,EJ104+EI105-ER104)))</f>
        <v>105.4666666666666</v>
      </c>
      <c r="EK105" s="18">
        <f>EJ105*VLOOKUP('Données projet'!$B$15,Paramètres!$A$1:$I$89,3,0)*VLOOKUP('Données projet'!$B$15,Paramètres!$A$1:$I$89,5,0)</f>
        <v>121.49759999999992</v>
      </c>
      <c r="EL105" s="14">
        <f t="shared" si="99"/>
        <v>32.024037368927388</v>
      </c>
      <c r="EM105" s="22">
        <f t="shared" si="73"/>
        <v>267.38351841754837</v>
      </c>
      <c r="EN105" s="62">
        <f t="shared" si="74"/>
        <v>560.71685175088169</v>
      </c>
      <c r="EO105" s="62">
        <f ca="1">AVERAGE(OFFSET($EN$3,0,0,'Données projet'!$E$15+1,1))-AVERAGE(OFFSET($H$3,0,0,'Données projet'!$E$15+1,1))</f>
        <v>118.01099353898547</v>
      </c>
      <c r="EP105" s="62">
        <f t="shared" si="100"/>
        <v>103.17146760845947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4.4000000000000004</v>
      </c>
      <c r="FE105" s="13">
        <f>IF('Données projet'!$A$218&gt;35,FE104+FD105-FM104,IF(A105&lt;'Données projet'!$A$218,$FB$205^A105,IF(A105='Données projet'!$A$218,'Données projet'!$B$218,FE104+FD105-FM104)))</f>
        <v>269.79999999999978</v>
      </c>
      <c r="FF105" s="18">
        <f>FE105*VLOOKUP('Données projet'!$B$16,Paramètres!$A$1:$I$89,3,0)*VLOOKUP('Données projet'!$B$16,Paramètres!$A$1:$I$89,5,0)</f>
        <v>269.36831999999976</v>
      </c>
      <c r="FG105" s="14">
        <f t="shared" si="101"/>
        <v>64.715192579710433</v>
      </c>
      <c r="FH105" s="22">
        <f t="shared" si="76"/>
        <v>581.86211774299522</v>
      </c>
      <c r="FI105" s="62">
        <f t="shared" si="77"/>
        <v>875.19545107632848</v>
      </c>
      <c r="FJ105" s="62">
        <f ca="1">AVERAGE(OFFSET($FI$3,0,0,'Données projet'!$E$16+1,1))-AVERAGE(OFFSET($H$3,0,0,'Données projet'!$E$16+1,1))</f>
        <v>343.71044073996887</v>
      </c>
      <c r="FK105" s="62">
        <f t="shared" si="102"/>
        <v>193.51732627292375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274.19999999999976</v>
      </c>
      <c r="O106" s="14">
        <f>N106*VLOOKUP('Données projet'!$B$9,Paramètres!$A$1:$I$89,3,0)*VLOOKUP('Données projet'!$B$9,Paramètres!$A$1:$I$89,5,0)</f>
        <v>248.0961599999998</v>
      </c>
      <c r="P106" s="14">
        <f t="shared" si="87"/>
        <v>60.178080967364686</v>
      </c>
      <c r="Q106" s="22">
        <f t="shared" si="107"/>
        <v>536.91096968482657</v>
      </c>
      <c r="R106" s="62">
        <f t="shared" si="55"/>
        <v>830.24430301815983</v>
      </c>
      <c r="S106" s="62">
        <f ca="1">AVERAGE(OFFSET($R$3,0,0,'Données projet'!$E$9+1,1))-AVERAGE(OFFSET($H$3,0,0,'Données projet'!$E$9+1,1))</f>
        <v>303.73499739059076</v>
      </c>
      <c r="T106" s="62">
        <f t="shared" si="88"/>
        <v>172.32171001882188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-2.2737367544323206E-13</v>
      </c>
      <c r="AJ106" s="14">
        <f>AI106*VLOOKUP('Données projet'!$B$10,Paramètres!$A$1:$I$89,3,0)*VLOOKUP('Données projet'!$B$10,Paramètres!$A$1:$I$89,5,0)</f>
        <v>-1.6671037883497774E-13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215.66498680344858</v>
      </c>
      <c r="AO106" s="62">
        <f t="shared" si="90"/>
        <v>199.86715787211114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-5.6843418860808015E-14</v>
      </c>
      <c r="BE106" s="14">
        <f>BD106*VLOOKUP('Données projet'!$B$11,Paramètres!$A$1:$I$89,3,0)*VLOOKUP('Données projet'!$B$11,Paramètres!$A$1:$I$89,5,0)</f>
        <v>-3.3992364478763198E-14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155.11440101086782</v>
      </c>
      <c r="BJ106" s="62">
        <f t="shared" si="92"/>
        <v>239.53454701506638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3.1794607724625283</v>
      </c>
      <c r="BQ106" s="23">
        <f>EXP(-LN(2)/25)*BQ105+(1-EXP(-LN(2)/25))/(LN(2)/25)*Calculateur!BL106*Calculateur!BN106*VLOOKUP('Données projet'!$B$11,Paramètres!$A$1:$I$89,3,0)*0.475*44/12</f>
        <v>0.95687041515991411</v>
      </c>
      <c r="BR106" s="23">
        <f>EXP(-LN(2)/2)*BR105+(1-EXP(-LN(2)/2))/(LN(2)/2)*BL106*BO106*VLOOKUP('Données projet'!$B$11,Paramètres!$A$1:$I$89,3,0)*0.475*44/12</f>
        <v>3.0343910411671361E-11</v>
      </c>
      <c r="BS106" s="24">
        <f t="shared" si="63"/>
        <v>4.136331187652786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-5.6843418860808015E-14</v>
      </c>
      <c r="BZ106" s="14">
        <f>BY106*VLOOKUP('Données projet'!$B$12,Paramètres!$A$1:$I$89,3,0)*VLOOKUP('Données projet'!$B$12,Paramètres!$A$1:$I$89,5,0)</f>
        <v>-3.3992364478763198E-14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155.11440101086782</v>
      </c>
      <c r="CE106" s="62">
        <f t="shared" si="94"/>
        <v>239.53454701506638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3.1794607724625283</v>
      </c>
      <c r="CL106" s="23">
        <f>EXP(-LN(2)/25)*CL105+(1-EXP(-LN(2)/25))/(LN(2)/25)*Calculateur!CG106*Calculateur!CI106*VLOOKUP('Données projet'!$B$12,Paramètres!$A$1:$I$89,3,0)*0.475*44/12</f>
        <v>0.95687041515991411</v>
      </c>
      <c r="CM106" s="23">
        <f>EXP(-LN(2)/2)*CM105+(1-EXP(-LN(2)/2))/(LN(2)/2)*CG106*CJ106*VLOOKUP('Données projet'!$B$12,Paramètres!$A$1:$I$89,3,0)*0.475*44/12</f>
        <v>3.0343910411671361E-11</v>
      </c>
      <c r="CN106" s="24">
        <f t="shared" si="66"/>
        <v>4.136331187652786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-1.1368683772161603E-13</v>
      </c>
      <c r="CU106" s="18">
        <f>CT106*VLOOKUP('Données projet'!$B$13,Paramètres!$A$1:$I$89,3,0)*VLOOKUP('Données projet'!$B$13,Paramètres!$A$1:$I$89,5,0)</f>
        <v>-9.2222762759774927E-14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191.03017979797141</v>
      </c>
      <c r="CZ106" s="62">
        <f t="shared" si="96"/>
        <v>222.78252111624278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3.0769230769230802</v>
      </c>
      <c r="DO106" s="13">
        <f>IF('Données projet'!$A$166&gt;35,DO105+DN106-DW105,IF(A106&lt;'Données projet'!$A$166,$DL$205^A106,IF(A106='Données projet'!$A$166,'Données projet'!$B$166,DO105+DN106-DW105)))</f>
        <v>231.66666666666669</v>
      </c>
      <c r="DP106" s="18">
        <f>DO106*VLOOKUP('Données projet'!$B$14,Paramètres!$A$1:$I$89,3,0)*VLOOKUP('Données projet'!$B$14,Paramètres!$A$1:$I$89,5,0)</f>
        <v>220.45400000000001</v>
      </c>
      <c r="DQ106" s="14">
        <f t="shared" si="97"/>
        <v>54.213548535376205</v>
      </c>
      <c r="DR106" s="22">
        <f t="shared" si="70"/>
        <v>478.37931369911365</v>
      </c>
      <c r="DS106" s="62">
        <f t="shared" si="71"/>
        <v>771.71264703244697</v>
      </c>
      <c r="DT106" s="62">
        <f ca="1">AVERAGE(OFFSET($DS$3,0,0,'Données projet'!$E$14+1,1))-AVERAGE(OFFSET($H$3,0,0,'Données projet'!$E$14+1,1))</f>
        <v>260.93525280373063</v>
      </c>
      <c r="DU106" s="62">
        <f t="shared" si="98"/>
        <v>206.83968452163816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1.3833333333333342</v>
      </c>
      <c r="EJ106" s="13">
        <f>IF('Données projet'!$A$192&gt;35,EJ105+EI106-ER105,IF(A106&lt;'Données projet'!$A$192,$EG$205^A106,IF(A106='Données projet'!$A$192,'Données projet'!$B$192,EJ105+EI106-ER105)))</f>
        <v>106.84999999999994</v>
      </c>
      <c r="EK106" s="18">
        <f>EJ106*VLOOKUP('Données projet'!$B$15,Paramètres!$A$1:$I$89,3,0)*VLOOKUP('Données projet'!$B$15,Paramètres!$A$1:$I$89,5,0)</f>
        <v>123.09119999999992</v>
      </c>
      <c r="EL106" s="14">
        <f t="shared" si="99"/>
        <v>32.394900249819841</v>
      </c>
      <c r="EM106" s="22">
        <f t="shared" si="73"/>
        <v>270.80495793510266</v>
      </c>
      <c r="EN106" s="62">
        <f t="shared" si="74"/>
        <v>564.13829126843598</v>
      </c>
      <c r="EO106" s="62">
        <f ca="1">AVERAGE(OFFSET($EN$3,0,0,'Données projet'!$E$15+1,1))-AVERAGE(OFFSET($H$3,0,0,'Données projet'!$E$15+1,1))</f>
        <v>118.01099353898547</v>
      </c>
      <c r="EP106" s="62">
        <f t="shared" si="100"/>
        <v>103.17146760845947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4.4000000000000004</v>
      </c>
      <c r="FE106" s="13">
        <f>IF('Données projet'!$A$218&gt;35,FE105+FD106-FM105,IF(A106&lt;'Données projet'!$A$218,$FB$205^A106,IF(A106='Données projet'!$A$218,'Données projet'!$B$218,FE105+FD106-FM105)))</f>
        <v>274.19999999999976</v>
      </c>
      <c r="FF106" s="18">
        <f>FE106*VLOOKUP('Données projet'!$B$16,Paramètres!$A$1:$I$89,3,0)*VLOOKUP('Données projet'!$B$16,Paramètres!$A$1:$I$89,5,0)</f>
        <v>273.76127999999977</v>
      </c>
      <c r="FG106" s="14">
        <f t="shared" si="101"/>
        <v>65.646863978988435</v>
      </c>
      <c r="FH106" s="22">
        <f t="shared" si="76"/>
        <v>591.13585076340439</v>
      </c>
      <c r="FI106" s="62">
        <f t="shared" si="77"/>
        <v>884.46918409673776</v>
      </c>
      <c r="FJ106" s="62">
        <f ca="1">AVERAGE(OFFSET($FI$3,0,0,'Données projet'!$E$16+1,1))-AVERAGE(OFFSET($H$3,0,0,'Données projet'!$E$16+1,1))</f>
        <v>343.71044073996887</v>
      </c>
      <c r="FK106" s="62">
        <f t="shared" si="102"/>
        <v>193.51732627292375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278.59999999999974</v>
      </c>
      <c r="O107" s="14">
        <f>N107*VLOOKUP('Données projet'!$B$9,Paramètres!$A$1:$I$89,3,0)*VLOOKUP('Données projet'!$B$9,Paramètres!$A$1:$I$89,5,0)</f>
        <v>252.07727999999975</v>
      </c>
      <c r="P107" s="14">
        <f t="shared" si="87"/>
        <v>61.03054465215493</v>
      </c>
      <c r="Q107" s="22">
        <f t="shared" si="107"/>
        <v>545.32946126916943</v>
      </c>
      <c r="R107" s="62">
        <f t="shared" si="55"/>
        <v>838.6627946025028</v>
      </c>
      <c r="S107" s="62">
        <f ca="1">AVERAGE(OFFSET($R$3,0,0,'Données projet'!$E$9+1,1))-AVERAGE(OFFSET($H$3,0,0,'Données projet'!$E$9+1,1))</f>
        <v>303.73499739059076</v>
      </c>
      <c r="T107" s="62">
        <f t="shared" si="88"/>
        <v>172.32171001882188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-2.2737367544323206E-13</v>
      </c>
      <c r="AJ107" s="14">
        <f>AI107*VLOOKUP('Données projet'!$B$10,Paramètres!$A$1:$I$89,3,0)*VLOOKUP('Données projet'!$B$10,Paramètres!$A$1:$I$89,5,0)</f>
        <v>-1.6671037883497774E-13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215.66498680344858</v>
      </c>
      <c r="AO107" s="62">
        <f t="shared" si="90"/>
        <v>199.86715787211114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-5.6843418860808015E-14</v>
      </c>
      <c r="BE107" s="14">
        <f>BD107*VLOOKUP('Données projet'!$B$11,Paramètres!$A$1:$I$89,3,0)*VLOOKUP('Données projet'!$B$11,Paramètres!$A$1:$I$89,5,0)</f>
        <v>-3.3992364478763198E-14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155.11440101086782</v>
      </c>
      <c r="BJ107" s="62">
        <f t="shared" si="92"/>
        <v>239.53454701506638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3.1171134859941212</v>
      </c>
      <c r="BQ107" s="23">
        <f>EXP(-LN(2)/25)*BQ106+(1-EXP(-LN(2)/25))/(LN(2)/25)*Calculateur!BL107*Calculateur!BN107*VLOOKUP('Données projet'!$B$11,Paramètres!$A$1:$I$89,3,0)*0.475*44/12</f>
        <v>0.93070474333773812</v>
      </c>
      <c r="BR107" s="23">
        <f>EXP(-LN(2)/2)*BR106+(1-EXP(-LN(2)/2))/(LN(2)/2)*BL107*BO107*VLOOKUP('Données projet'!$B$11,Paramètres!$A$1:$I$89,3,0)*0.475*44/12</f>
        <v>2.1456384819809903E-11</v>
      </c>
      <c r="BS107" s="24">
        <f t="shared" si="63"/>
        <v>4.0478182293533163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-5.6843418860808015E-14</v>
      </c>
      <c r="BZ107" s="14">
        <f>BY107*VLOOKUP('Données projet'!$B$12,Paramètres!$A$1:$I$89,3,0)*VLOOKUP('Données projet'!$B$12,Paramètres!$A$1:$I$89,5,0)</f>
        <v>-3.3992364478763198E-14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155.11440101086782</v>
      </c>
      <c r="CE107" s="62">
        <f t="shared" si="94"/>
        <v>239.53454701506638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3.1171134859941212</v>
      </c>
      <c r="CL107" s="23">
        <f>EXP(-LN(2)/25)*CL106+(1-EXP(-LN(2)/25))/(LN(2)/25)*Calculateur!CG107*Calculateur!CI107*VLOOKUP('Données projet'!$B$12,Paramètres!$A$1:$I$89,3,0)*0.475*44/12</f>
        <v>0.93070474333773812</v>
      </c>
      <c r="CM107" s="23">
        <f>EXP(-LN(2)/2)*CM106+(1-EXP(-LN(2)/2))/(LN(2)/2)*CG107*CJ107*VLOOKUP('Données projet'!$B$12,Paramètres!$A$1:$I$89,3,0)*0.475*44/12</f>
        <v>2.1456384819809903E-11</v>
      </c>
      <c r="CN107" s="24">
        <f t="shared" si="66"/>
        <v>4.0478182293533163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-1.1368683772161603E-13</v>
      </c>
      <c r="CU107" s="18">
        <f>CT107*VLOOKUP('Données projet'!$B$13,Paramètres!$A$1:$I$89,3,0)*VLOOKUP('Données projet'!$B$13,Paramètres!$A$1:$I$89,5,0)</f>
        <v>-9.2222762759774927E-14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191.03017979797141</v>
      </c>
      <c r="CZ107" s="62">
        <f t="shared" si="96"/>
        <v>222.78252111624278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3.0769230769230802</v>
      </c>
      <c r="DO107" s="13">
        <f>IF('Données projet'!$A$166&gt;35,DO106+DN107-DW106,IF(A107&lt;'Données projet'!$A$166,$DL$205^A107,IF(A107='Données projet'!$A$166,'Données projet'!$B$166,DO106+DN107-DW106)))</f>
        <v>234.74358974358978</v>
      </c>
      <c r="DP107" s="18">
        <f>DO107*VLOOKUP('Données projet'!$B$14,Paramètres!$A$1:$I$89,3,0)*VLOOKUP('Données projet'!$B$14,Paramètres!$A$1:$I$89,5,0)</f>
        <v>223.38200000000003</v>
      </c>
      <c r="DQ107" s="14">
        <f t="shared" si="97"/>
        <v>54.849292789000252</v>
      </c>
      <c r="DR107" s="22">
        <f t="shared" si="70"/>
        <v>484.58616827417546</v>
      </c>
      <c r="DS107" s="62">
        <f t="shared" si="71"/>
        <v>777.91950160750878</v>
      </c>
      <c r="DT107" s="62">
        <f ca="1">AVERAGE(OFFSET($DS$3,0,0,'Données projet'!$E$14+1,1))-AVERAGE(OFFSET($H$3,0,0,'Données projet'!$E$14+1,1))</f>
        <v>260.93525280373063</v>
      </c>
      <c r="DU107" s="62">
        <f t="shared" si="98"/>
        <v>206.83968452163816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1.3833333333333342</v>
      </c>
      <c r="EJ107" s="13">
        <f>IF('Données projet'!$A$192&gt;35,EJ106+EI107-ER106,IF(A107&lt;'Données projet'!$A$192,$EG$205^A107,IF(A107='Données projet'!$A$192,'Données projet'!$B$192,EJ106+EI107-ER106)))</f>
        <v>108.23333333333328</v>
      </c>
      <c r="EK107" s="18">
        <f>EJ107*VLOOKUP('Données projet'!$B$15,Paramètres!$A$1:$I$89,3,0)*VLOOKUP('Données projet'!$B$15,Paramètres!$A$1:$I$89,5,0)</f>
        <v>124.68479999999992</v>
      </c>
      <c r="EL107" s="14">
        <f t="shared" si="99"/>
        <v>32.765204654989468</v>
      </c>
      <c r="EM107" s="22">
        <f t="shared" si="73"/>
        <v>274.2254247741065</v>
      </c>
      <c r="EN107" s="62">
        <f t="shared" si="74"/>
        <v>567.55875810743987</v>
      </c>
      <c r="EO107" s="62">
        <f ca="1">AVERAGE(OFFSET($EN$3,0,0,'Données projet'!$E$15+1,1))-AVERAGE(OFFSET($H$3,0,0,'Données projet'!$E$15+1,1))</f>
        <v>118.01099353898547</v>
      </c>
      <c r="EP107" s="62">
        <f t="shared" si="100"/>
        <v>103.17146760845947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4.4000000000000004</v>
      </c>
      <c r="FE107" s="13">
        <f>IF('Données projet'!$A$218&gt;35,FE106+FD107-FM106,IF(A107&lt;'Données projet'!$A$218,$FB$205^A107,IF(A107='Données projet'!$A$218,'Données projet'!$B$218,FE106+FD107-FM106)))</f>
        <v>278.59999999999974</v>
      </c>
      <c r="FF107" s="18">
        <f>FE107*VLOOKUP('Données projet'!$B$16,Paramètres!$A$1:$I$89,3,0)*VLOOKUP('Données projet'!$B$16,Paramètres!$A$1:$I$89,5,0)</f>
        <v>278.15423999999973</v>
      </c>
      <c r="FG107" s="14">
        <f t="shared" si="101"/>
        <v>66.576796716338521</v>
      </c>
      <c r="FH107" s="22">
        <f t="shared" si="76"/>
        <v>600.40655561428912</v>
      </c>
      <c r="FI107" s="62">
        <f t="shared" si="77"/>
        <v>893.73988894762238</v>
      </c>
      <c r="FJ107" s="62">
        <f ca="1">AVERAGE(OFFSET($FI$3,0,0,'Données projet'!$E$16+1,1))-AVERAGE(OFFSET($H$3,0,0,'Données projet'!$E$16+1,1))</f>
        <v>343.71044073996887</v>
      </c>
      <c r="FK107" s="62">
        <f t="shared" si="102"/>
        <v>193.51732627292375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282.99999999999972</v>
      </c>
      <c r="O108" s="14">
        <f>N108*VLOOKUP('Données projet'!$B$9,Paramètres!$A$1:$I$89,3,0)*VLOOKUP('Données projet'!$B$9,Paramètres!$A$1:$I$89,5,0)</f>
        <v>256.05839999999972</v>
      </c>
      <c r="P108" s="14">
        <f t="shared" si="87"/>
        <v>61.881442594256434</v>
      </c>
      <c r="Q108" s="22">
        <f t="shared" si="107"/>
        <v>553.74522585166278</v>
      </c>
      <c r="R108" s="62">
        <f t="shared" si="55"/>
        <v>847.07855918499604</v>
      </c>
      <c r="S108" s="62">
        <f ca="1">AVERAGE(OFFSET($R$3,0,0,'Données projet'!$E$9+1,1))-AVERAGE(OFFSET($H$3,0,0,'Données projet'!$E$9+1,1))</f>
        <v>303.73499739059076</v>
      </c>
      <c r="T108" s="62">
        <f t="shared" si="88"/>
        <v>172.32171001882188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-2.2737367544323206E-13</v>
      </c>
      <c r="AJ108" s="14">
        <f>AI108*VLOOKUP('Données projet'!$B$10,Paramètres!$A$1:$I$89,3,0)*VLOOKUP('Données projet'!$B$10,Paramètres!$A$1:$I$89,5,0)</f>
        <v>-1.6671037883497774E-13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215.66498680344858</v>
      </c>
      <c r="AO108" s="62">
        <f t="shared" si="90"/>
        <v>199.86715787211114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-5.6843418860808015E-14</v>
      </c>
      <c r="BE108" s="14">
        <f>BD108*VLOOKUP('Données projet'!$B$11,Paramètres!$A$1:$I$89,3,0)*VLOOKUP('Données projet'!$B$11,Paramètres!$A$1:$I$89,5,0)</f>
        <v>-3.3992364478763198E-14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155.11440101086782</v>
      </c>
      <c r="BJ108" s="62">
        <f t="shared" si="92"/>
        <v>239.53454701506638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3.0559887917852699</v>
      </c>
      <c r="BQ108" s="23">
        <f>EXP(-LN(2)/25)*BQ107+(1-EXP(-LN(2)/25))/(LN(2)/25)*Calculateur!BL108*Calculateur!BN108*VLOOKUP('Données projet'!$B$11,Paramètres!$A$1:$I$89,3,0)*0.475*44/12</f>
        <v>0.90525457318753233</v>
      </c>
      <c r="BR108" s="23">
        <f>EXP(-LN(2)/2)*BR107+(1-EXP(-LN(2)/2))/(LN(2)/2)*BL108*BO108*VLOOKUP('Données projet'!$B$11,Paramètres!$A$1:$I$89,3,0)*0.475*44/12</f>
        <v>1.517195520583568E-11</v>
      </c>
      <c r="BS108" s="24">
        <f t="shared" si="63"/>
        <v>3.9612433649879741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-5.6843418860808015E-14</v>
      </c>
      <c r="BZ108" s="14">
        <f>BY108*VLOOKUP('Données projet'!$B$12,Paramètres!$A$1:$I$89,3,0)*VLOOKUP('Données projet'!$B$12,Paramètres!$A$1:$I$89,5,0)</f>
        <v>-3.3992364478763198E-14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155.11440101086782</v>
      </c>
      <c r="CE108" s="62">
        <f t="shared" si="94"/>
        <v>239.53454701506638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3.0559887917852699</v>
      </c>
      <c r="CL108" s="23">
        <f>EXP(-LN(2)/25)*CL107+(1-EXP(-LN(2)/25))/(LN(2)/25)*Calculateur!CG108*Calculateur!CI108*VLOOKUP('Données projet'!$B$12,Paramètres!$A$1:$I$89,3,0)*0.475*44/12</f>
        <v>0.90525457318753233</v>
      </c>
      <c r="CM108" s="23">
        <f>EXP(-LN(2)/2)*CM107+(1-EXP(-LN(2)/2))/(LN(2)/2)*CG108*CJ108*VLOOKUP('Données projet'!$B$12,Paramètres!$A$1:$I$89,3,0)*0.475*44/12</f>
        <v>1.517195520583568E-11</v>
      </c>
      <c r="CN108" s="24">
        <f t="shared" si="66"/>
        <v>3.9612433649879741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-1.1368683772161603E-13</v>
      </c>
      <c r="CU108" s="18">
        <f>CT108*VLOOKUP('Données projet'!$B$13,Paramètres!$A$1:$I$89,3,0)*VLOOKUP('Données projet'!$B$13,Paramètres!$A$1:$I$89,5,0)</f>
        <v>-9.2222762759774927E-14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191.03017979797141</v>
      </c>
      <c r="CZ108" s="62">
        <f t="shared" si="96"/>
        <v>222.78252111624278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3.0769230769230802</v>
      </c>
      <c r="DO108" s="13">
        <f>IF('Données projet'!$A$166&gt;35,DO107+DN108-DW107,IF(A108&lt;'Données projet'!$A$166,$DL$205^A108,IF(A108='Données projet'!$A$166,'Données projet'!$B$166,DO107+DN108-DW107)))</f>
        <v>237.82051282051287</v>
      </c>
      <c r="DP108" s="18">
        <f>DO108*VLOOKUP('Données projet'!$B$14,Paramètres!$A$1:$I$89,3,0)*VLOOKUP('Données projet'!$B$14,Paramètres!$A$1:$I$89,5,0)</f>
        <v>226.31000000000006</v>
      </c>
      <c r="DQ108" s="14">
        <f t="shared" si="97"/>
        <v>55.484067782810527</v>
      </c>
      <c r="DR108" s="22">
        <f t="shared" si="70"/>
        <v>490.79133472172845</v>
      </c>
      <c r="DS108" s="62">
        <f t="shared" si="71"/>
        <v>784.12466805506176</v>
      </c>
      <c r="DT108" s="62">
        <f ca="1">AVERAGE(OFFSET($DS$3,0,0,'Données projet'!$E$14+1,1))-AVERAGE(OFFSET($H$3,0,0,'Données projet'!$E$14+1,1))</f>
        <v>260.93525280373063</v>
      </c>
      <c r="DU108" s="62">
        <f t="shared" si="98"/>
        <v>206.83968452163816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1.3833333333333342</v>
      </c>
      <c r="EJ108" s="13">
        <f>IF('Données projet'!$A$192&gt;35,EJ107+EI108-ER107,IF(A108&lt;'Données projet'!$A$192,$EG$205^A108,IF(A108='Données projet'!$A$192,'Données projet'!$B$192,EJ107+EI108-ER107)))</f>
        <v>109.61666666666662</v>
      </c>
      <c r="EK108" s="18">
        <f>EJ108*VLOOKUP('Données projet'!$B$15,Paramètres!$A$1:$I$89,3,0)*VLOOKUP('Données projet'!$B$15,Paramètres!$A$1:$I$89,5,0)</f>
        <v>126.27839999999992</v>
      </c>
      <c r="EL108" s="14">
        <f t="shared" si="99"/>
        <v>33.134958547692797</v>
      </c>
      <c r="EM108" s="22">
        <f t="shared" si="73"/>
        <v>277.64493280389814</v>
      </c>
      <c r="EN108" s="62">
        <f t="shared" si="74"/>
        <v>570.97826613723146</v>
      </c>
      <c r="EO108" s="62">
        <f ca="1">AVERAGE(OFFSET($EN$3,0,0,'Données projet'!$E$15+1,1))-AVERAGE(OFFSET($H$3,0,0,'Données projet'!$E$15+1,1))</f>
        <v>118.01099353898547</v>
      </c>
      <c r="EP108" s="62">
        <f t="shared" si="100"/>
        <v>103.17146760845947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4.4000000000000004</v>
      </c>
      <c r="FE108" s="13">
        <f>IF('Données projet'!$A$218&gt;35,FE107+FD108-FM107,IF(A108&lt;'Données projet'!$A$218,$FB$205^A108,IF(A108='Données projet'!$A$218,'Données projet'!$B$218,FE107+FD108-FM107)))</f>
        <v>282.99999999999972</v>
      </c>
      <c r="FF108" s="18">
        <f>FE108*VLOOKUP('Données projet'!$B$16,Paramètres!$A$1:$I$89,3,0)*VLOOKUP('Données projet'!$B$16,Paramètres!$A$1:$I$89,5,0)</f>
        <v>282.54719999999975</v>
      </c>
      <c r="FG108" s="14">
        <f t="shared" si="101"/>
        <v>67.505021421533542</v>
      </c>
      <c r="FH108" s="22">
        <f t="shared" si="76"/>
        <v>609.67428564250383</v>
      </c>
      <c r="FI108" s="62">
        <f t="shared" si="77"/>
        <v>903.0076189758372</v>
      </c>
      <c r="FJ108" s="62">
        <f ca="1">AVERAGE(OFFSET($FI$3,0,0,'Données projet'!$E$16+1,1))-AVERAGE(OFFSET($H$3,0,0,'Données projet'!$E$16+1,1))</f>
        <v>343.71044073996887</v>
      </c>
      <c r="FK108" s="62">
        <f t="shared" si="102"/>
        <v>193.51732627292375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4.4000000000000004</v>
      </c>
      <c r="N109" s="14">
        <f>IF('Données projet'!$A$36&gt;35,N108+M109-V108,IF(A109&lt;'Données projet'!$A$36,$K$205^A109,IF(A109='Données projet'!$A$36,'Données projet'!$B$36,N108+M109-V108)))</f>
        <v>287.39999999999969</v>
      </c>
      <c r="O109" s="14">
        <f>N109*VLOOKUP('Données projet'!$B$9,Paramètres!$A$1:$I$89,3,0)*VLOOKUP('Données projet'!$B$9,Paramètres!$A$1:$I$89,5,0)</f>
        <v>260.0395199999997</v>
      </c>
      <c r="P109" s="14">
        <f t="shared" si="87"/>
        <v>62.730801948604821</v>
      </c>
      <c r="Q109" s="22">
        <f t="shared" si="107"/>
        <v>562.15831072715287</v>
      </c>
      <c r="R109" s="62">
        <f t="shared" si="55"/>
        <v>855.49164406048612</v>
      </c>
      <c r="S109" s="62">
        <f ca="1">AVERAGE(OFFSET($R$3,0,0,'Données projet'!$E$9+1,1))-AVERAGE(OFFSET($H$3,0,0,'Données projet'!$E$9+1,1))</f>
        <v>303.73499739059076</v>
      </c>
      <c r="T109" s="62">
        <f t="shared" si="88"/>
        <v>172.32171001882188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-2.2737367544323206E-13</v>
      </c>
      <c r="AJ109" s="14">
        <f>AI109*VLOOKUP('Données projet'!$B$10,Paramètres!$A$1:$I$89,3,0)*VLOOKUP('Données projet'!$B$10,Paramètres!$A$1:$I$89,5,0)</f>
        <v>-1.6671037883497774E-13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215.66498680344858</v>
      </c>
      <c r="AO109" s="62">
        <f t="shared" si="90"/>
        <v>199.86715787211114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-5.6843418860808015E-14</v>
      </c>
      <c r="BE109" s="14">
        <f>BD109*VLOOKUP('Données projet'!$B$11,Paramètres!$A$1:$I$89,3,0)*VLOOKUP('Données projet'!$B$11,Paramètres!$A$1:$I$89,5,0)</f>
        <v>-3.3992364478763198E-14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155.11440101086782</v>
      </c>
      <c r="BJ109" s="62">
        <f t="shared" si="92"/>
        <v>239.53454701506638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2.9960627155474722</v>
      </c>
      <c r="BQ109" s="23">
        <f>EXP(-LN(2)/25)*BQ108+(1-EXP(-LN(2)/25))/(LN(2)/25)*Calculateur!BL109*Calculateur!BN109*VLOOKUP('Données projet'!$B$11,Paramètres!$A$1:$I$89,3,0)*0.475*44/12</f>
        <v>0.88050033927845028</v>
      </c>
      <c r="BR109" s="23">
        <f>EXP(-LN(2)/2)*BR108+(1-EXP(-LN(2)/2))/(LN(2)/2)*BL109*BO109*VLOOKUP('Données projet'!$B$11,Paramètres!$A$1:$I$89,3,0)*0.475*44/12</f>
        <v>1.0728192409904951E-11</v>
      </c>
      <c r="BS109" s="24">
        <f t="shared" si="63"/>
        <v>3.8765630548366508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-5.6843418860808015E-14</v>
      </c>
      <c r="BZ109" s="14">
        <f>BY109*VLOOKUP('Données projet'!$B$12,Paramètres!$A$1:$I$89,3,0)*VLOOKUP('Données projet'!$B$12,Paramètres!$A$1:$I$89,5,0)</f>
        <v>-3.3992364478763198E-14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155.11440101086782</v>
      </c>
      <c r="CE109" s="62">
        <f t="shared" si="94"/>
        <v>239.53454701506638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2.9960627155474722</v>
      </c>
      <c r="CL109" s="23">
        <f>EXP(-LN(2)/25)*CL108+(1-EXP(-LN(2)/25))/(LN(2)/25)*Calculateur!CG109*Calculateur!CI109*VLOOKUP('Données projet'!$B$12,Paramètres!$A$1:$I$89,3,0)*0.475*44/12</f>
        <v>0.88050033927845028</v>
      </c>
      <c r="CM109" s="23">
        <f>EXP(-LN(2)/2)*CM108+(1-EXP(-LN(2)/2))/(LN(2)/2)*CG109*CJ109*VLOOKUP('Données projet'!$B$12,Paramètres!$A$1:$I$89,3,0)*0.475*44/12</f>
        <v>1.0728192409904951E-11</v>
      </c>
      <c r="CN109" s="24">
        <f t="shared" si="66"/>
        <v>3.8765630548366508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-1.1368683772161603E-13</v>
      </c>
      <c r="CU109" s="18">
        <f>CT109*VLOOKUP('Données projet'!$B$13,Paramètres!$A$1:$I$89,3,0)*VLOOKUP('Données projet'!$B$13,Paramètres!$A$1:$I$89,5,0)</f>
        <v>-9.2222762759774927E-14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191.03017979797141</v>
      </c>
      <c r="CZ109" s="62">
        <f t="shared" si="96"/>
        <v>222.78252111624278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3.0769230769230802</v>
      </c>
      <c r="DO109" s="13">
        <f>IF('Données projet'!$A$166&gt;35,DO108+DN109-DW108,IF(A109&lt;'Données projet'!$A$166,$DL$205^A109,IF(A109='Données projet'!$A$166,'Données projet'!$B$166,DO108+DN109-DW108)))</f>
        <v>240.89743589743597</v>
      </c>
      <c r="DP109" s="18">
        <f>DO109*VLOOKUP('Données projet'!$B$14,Paramètres!$A$1:$I$89,3,0)*VLOOKUP('Données projet'!$B$14,Paramètres!$A$1:$I$89,5,0)</f>
        <v>229.23800000000008</v>
      </c>
      <c r="DQ109" s="14">
        <f t="shared" si="97"/>
        <v>56.117887507033878</v>
      </c>
      <c r="DR109" s="22">
        <f t="shared" si="70"/>
        <v>496.99483740808415</v>
      </c>
      <c r="DS109" s="62">
        <f t="shared" si="71"/>
        <v>790.32817074141747</v>
      </c>
      <c r="DT109" s="62">
        <f ca="1">AVERAGE(OFFSET($DS$3,0,0,'Données projet'!$E$14+1,1))-AVERAGE(OFFSET($H$3,0,0,'Données projet'!$E$14+1,1))</f>
        <v>260.93525280373063</v>
      </c>
      <c r="DU109" s="62">
        <f t="shared" si="98"/>
        <v>206.83968452163816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1.3833333333333342</v>
      </c>
      <c r="EJ109" s="13">
        <f>IF('Données projet'!$A$192&gt;35,EJ108+EI109-ER108,IF(A109&lt;'Données projet'!$A$192,$EG$205^A109,IF(A109='Données projet'!$A$192,'Données projet'!$B$192,EJ108+EI109-ER108)))</f>
        <v>110.99999999999996</v>
      </c>
      <c r="EK109" s="18">
        <f>EJ109*VLOOKUP('Données projet'!$B$15,Paramètres!$A$1:$I$89,3,0)*VLOOKUP('Données projet'!$B$15,Paramètres!$A$1:$I$89,5,0)</f>
        <v>127.87199999999994</v>
      </c>
      <c r="EL109" s="14">
        <f t="shared" si="99"/>
        <v>33.504169678639819</v>
      </c>
      <c r="EM109" s="22">
        <f t="shared" si="73"/>
        <v>281.06349552363093</v>
      </c>
      <c r="EN109" s="62">
        <f t="shared" si="74"/>
        <v>574.39682885696425</v>
      </c>
      <c r="EO109" s="62">
        <f ca="1">AVERAGE(OFFSET($EN$3,0,0,'Données projet'!$E$15+1,1))-AVERAGE(OFFSET($H$3,0,0,'Données projet'!$E$15+1,1))</f>
        <v>118.01099353898547</v>
      </c>
      <c r="EP109" s="62">
        <f t="shared" si="100"/>
        <v>103.17146760845947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4.4000000000000004</v>
      </c>
      <c r="FE109" s="13">
        <f>IF('Données projet'!$A$218&gt;35,FE108+FD109-FM108,IF(A109&lt;'Données projet'!$A$218,$FB$205^A109,IF(A109='Données projet'!$A$218,'Données projet'!$B$218,FE108+FD109-FM108)))</f>
        <v>287.39999999999969</v>
      </c>
      <c r="FF109" s="18">
        <f>FE109*VLOOKUP('Données projet'!$B$16,Paramètres!$A$1:$I$89,3,0)*VLOOKUP('Données projet'!$B$16,Paramètres!$A$1:$I$89,5,0)</f>
        <v>286.94015999999971</v>
      </c>
      <c r="FG109" s="14">
        <f t="shared" si="101"/>
        <v>68.431567717259199</v>
      </c>
      <c r="FH109" s="22">
        <f t="shared" si="76"/>
        <v>618.93909244089252</v>
      </c>
      <c r="FI109" s="62">
        <f t="shared" si="77"/>
        <v>912.27242577422589</v>
      </c>
      <c r="FJ109" s="62">
        <f ca="1">AVERAGE(OFFSET($FI$3,0,0,'Données projet'!$E$16+1,1))-AVERAGE(OFFSET($H$3,0,0,'Données projet'!$E$16+1,1))</f>
        <v>343.71044073996887</v>
      </c>
      <c r="FK109" s="62">
        <f t="shared" si="102"/>
        <v>193.51732627292375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4.4000000000000004</v>
      </c>
      <c r="N110" s="14">
        <f>IF('Données projet'!$A$36&gt;35,N109+M110-V109,IF(A110&lt;'Données projet'!$A$36,$K$205^A110,IF(A110='Données projet'!$A$36,'Données projet'!$B$36,N109+M110-V109)))</f>
        <v>291.79999999999967</v>
      </c>
      <c r="O110" s="14">
        <f>N110*VLOOKUP('Données projet'!$B$9,Paramètres!$A$1:$I$89,3,0)*VLOOKUP('Données projet'!$B$9,Paramètres!$A$1:$I$89,5,0)</f>
        <v>264.02063999999967</v>
      </c>
      <c r="P110" s="14">
        <f t="shared" si="87"/>
        <v>63.57864899095906</v>
      </c>
      <c r="Q110" s="22">
        <f t="shared" si="107"/>
        <v>570.56876165925303</v>
      </c>
      <c r="R110" s="62">
        <f t="shared" si="55"/>
        <v>863.9020949925864</v>
      </c>
      <c r="S110" s="62">
        <f ca="1">AVERAGE(OFFSET($R$3,0,0,'Données projet'!$E$9+1,1))-AVERAGE(OFFSET($H$3,0,0,'Données projet'!$E$9+1,1))</f>
        <v>303.73499739059076</v>
      </c>
      <c r="T110" s="62">
        <f t="shared" si="88"/>
        <v>172.32171001882188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-2.2737367544323206E-13</v>
      </c>
      <c r="AJ110" s="14">
        <f>AI110*VLOOKUP('Données projet'!$B$10,Paramètres!$A$1:$I$89,3,0)*VLOOKUP('Données projet'!$B$10,Paramètres!$A$1:$I$89,5,0)</f>
        <v>-1.6671037883497774E-13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215.66498680344858</v>
      </c>
      <c r="AO110" s="62">
        <f t="shared" si="90"/>
        <v>199.86715787211114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-5.6843418860808015E-14</v>
      </c>
      <c r="BE110" s="14">
        <f>BD110*VLOOKUP('Données projet'!$B$11,Paramètres!$A$1:$I$89,3,0)*VLOOKUP('Données projet'!$B$11,Paramètres!$A$1:$I$89,5,0)</f>
        <v>-3.3992364478763198E-14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155.11440101086782</v>
      </c>
      <c r="BJ110" s="62">
        <f t="shared" si="92"/>
        <v>239.53454701506638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2.9373117531134003</v>
      </c>
      <c r="BQ110" s="23">
        <f>EXP(-LN(2)/25)*BQ109+(1-EXP(-LN(2)/25))/(LN(2)/25)*Calculateur!BL110*Calculateur!BN110*VLOOKUP('Données projet'!$B$11,Paramètres!$A$1:$I$89,3,0)*0.475*44/12</f>
        <v>0.85642301119738062</v>
      </c>
      <c r="BR110" s="23">
        <f>EXP(-LN(2)/2)*BR109+(1-EXP(-LN(2)/2))/(LN(2)/2)*BL110*BO110*VLOOKUP('Données projet'!$B$11,Paramètres!$A$1:$I$89,3,0)*0.475*44/12</f>
        <v>7.5859776029178402E-12</v>
      </c>
      <c r="BS110" s="24">
        <f t="shared" si="63"/>
        <v>3.793734764318367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-5.6843418860808015E-14</v>
      </c>
      <c r="BZ110" s="14">
        <f>BY110*VLOOKUP('Données projet'!$B$12,Paramètres!$A$1:$I$89,3,0)*VLOOKUP('Données projet'!$B$12,Paramètres!$A$1:$I$89,5,0)</f>
        <v>-3.3992364478763198E-14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155.11440101086782</v>
      </c>
      <c r="CE110" s="62">
        <f t="shared" si="94"/>
        <v>239.53454701506638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2.9373117531134003</v>
      </c>
      <c r="CL110" s="23">
        <f>EXP(-LN(2)/25)*CL109+(1-EXP(-LN(2)/25))/(LN(2)/25)*Calculateur!CG110*Calculateur!CI110*VLOOKUP('Données projet'!$B$12,Paramètres!$A$1:$I$89,3,0)*0.475*44/12</f>
        <v>0.85642301119738062</v>
      </c>
      <c r="CM110" s="23">
        <f>EXP(-LN(2)/2)*CM109+(1-EXP(-LN(2)/2))/(LN(2)/2)*CG110*CJ110*VLOOKUP('Données projet'!$B$12,Paramètres!$A$1:$I$89,3,0)*0.475*44/12</f>
        <v>7.5859776029178402E-12</v>
      </c>
      <c r="CN110" s="24">
        <f t="shared" si="66"/>
        <v>3.793734764318367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-1.1368683772161603E-13</v>
      </c>
      <c r="CU110" s="18">
        <f>CT110*VLOOKUP('Données projet'!$B$13,Paramètres!$A$1:$I$89,3,0)*VLOOKUP('Données projet'!$B$13,Paramètres!$A$1:$I$89,5,0)</f>
        <v>-9.2222762759774927E-14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191.03017979797141</v>
      </c>
      <c r="CZ110" s="62">
        <f t="shared" si="96"/>
        <v>222.78252111624278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3.0769230769230802</v>
      </c>
      <c r="DO110" s="13">
        <f>IF('Données projet'!$A$166&gt;35,DO109+DN110-DW109,IF(A110&lt;'Données projet'!$A$166,$DL$205^A110,IF(A110='Données projet'!$A$166,'Données projet'!$B$166,DO109+DN110-DW109)))</f>
        <v>243.97435897435906</v>
      </c>
      <c r="DP110" s="18">
        <f>DO110*VLOOKUP('Données projet'!$B$14,Paramètres!$A$1:$I$89,3,0)*VLOOKUP('Données projet'!$B$14,Paramètres!$A$1:$I$89,5,0)</f>
        <v>232.16600000000008</v>
      </c>
      <c r="DQ110" s="14">
        <f t="shared" si="97"/>
        <v>56.750765573960223</v>
      </c>
      <c r="DR110" s="22">
        <f t="shared" si="70"/>
        <v>503.19670004131422</v>
      </c>
      <c r="DS110" s="62">
        <f t="shared" si="71"/>
        <v>796.53003337464747</v>
      </c>
      <c r="DT110" s="62">
        <f ca="1">AVERAGE(OFFSET($DS$3,0,0,'Données projet'!$E$14+1,1))-AVERAGE(OFFSET($H$3,0,0,'Données projet'!$E$14+1,1))</f>
        <v>260.93525280373063</v>
      </c>
      <c r="DU110" s="62">
        <f t="shared" si="98"/>
        <v>206.83968452163816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1.3833333333333342</v>
      </c>
      <c r="EJ110" s="13">
        <f>IF('Données projet'!$A$192&gt;35,EJ109+EI110-ER109,IF(A110&lt;'Données projet'!$A$192,$EG$205^A110,IF(A110='Données projet'!$A$192,'Données projet'!$B$192,EJ109+EI110-ER109)))</f>
        <v>112.3833333333333</v>
      </c>
      <c r="EK110" s="18">
        <f>EJ110*VLOOKUP('Données projet'!$B$15,Paramètres!$A$1:$I$89,3,0)*VLOOKUP('Données projet'!$B$15,Paramètres!$A$1:$I$89,5,0)</f>
        <v>129.46559999999994</v>
      </c>
      <c r="EL110" s="14">
        <f t="shared" si="99"/>
        <v>33.872845594243692</v>
      </c>
      <c r="EM110" s="22">
        <f t="shared" si="73"/>
        <v>284.48112607664098</v>
      </c>
      <c r="EN110" s="62">
        <f t="shared" si="74"/>
        <v>577.81445940997423</v>
      </c>
      <c r="EO110" s="62">
        <f ca="1">AVERAGE(OFFSET($EN$3,0,0,'Données projet'!$E$15+1,1))-AVERAGE(OFFSET($H$3,0,0,'Données projet'!$E$15+1,1))</f>
        <v>118.01099353898547</v>
      </c>
      <c r="EP110" s="62">
        <f t="shared" si="100"/>
        <v>103.17146760845947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4.4000000000000004</v>
      </c>
      <c r="FE110" s="13">
        <f>IF('Données projet'!$A$218&gt;35,FE109+FD110-FM109,IF(A110&lt;'Données projet'!$A$218,$FB$205^A110,IF(A110='Données projet'!$A$218,'Données projet'!$B$218,FE109+FD110-FM109)))</f>
        <v>291.79999999999967</v>
      </c>
      <c r="FF110" s="18">
        <f>FE110*VLOOKUP('Données projet'!$B$16,Paramètres!$A$1:$I$89,3,0)*VLOOKUP('Données projet'!$B$16,Paramètres!$A$1:$I$89,5,0)</f>
        <v>291.33311999999967</v>
      </c>
      <c r="FG110" s="14">
        <f t="shared" si="101"/>
        <v>69.356464267127706</v>
      </c>
      <c r="FH110" s="22">
        <f t="shared" si="76"/>
        <v>628.20102593191348</v>
      </c>
      <c r="FI110" s="62">
        <f t="shared" si="77"/>
        <v>921.53435926524685</v>
      </c>
      <c r="FJ110" s="62">
        <f ca="1">AVERAGE(OFFSET($FI$3,0,0,'Données projet'!$E$16+1,1))-AVERAGE(OFFSET($H$3,0,0,'Données projet'!$E$16+1,1))</f>
        <v>343.71044073996887</v>
      </c>
      <c r="FK110" s="62">
        <f t="shared" si="102"/>
        <v>193.51732627292375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4.4000000000000004</v>
      </c>
      <c r="N111" s="14">
        <f>IF('Données projet'!$A$36&gt;35,N110+M111-V110,IF(A111&lt;'Données projet'!$A$36,$K$205^A111,IF(A111='Données projet'!$A$36,'Données projet'!$B$36,N110+M111-V110)))</f>
        <v>296.19999999999965</v>
      </c>
      <c r="O111" s="14">
        <f>N111*VLOOKUP('Données projet'!$B$9,Paramètres!$A$1:$I$89,3,0)*VLOOKUP('Données projet'!$B$9,Paramètres!$A$1:$I$89,5,0)</f>
        <v>268.00175999999971</v>
      </c>
      <c r="P111" s="14">
        <f t="shared" si="87"/>
        <v>64.425009159185521</v>
      </c>
      <c r="Q111" s="22">
        <f t="shared" si="107"/>
        <v>578.97662295224757</v>
      </c>
      <c r="R111" s="62">
        <f t="shared" si="55"/>
        <v>872.30995628558094</v>
      </c>
      <c r="S111" s="62">
        <f ca="1">AVERAGE(OFFSET($R$3,0,0,'Données projet'!$E$9+1,1))-AVERAGE(OFFSET($H$3,0,0,'Données projet'!$E$9+1,1))</f>
        <v>303.73499739059076</v>
      </c>
      <c r="T111" s="62">
        <f t="shared" si="88"/>
        <v>172.32171001882188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-2.2737367544323206E-13</v>
      </c>
      <c r="AJ111" s="14">
        <f>AI111*VLOOKUP('Données projet'!$B$10,Paramètres!$A$1:$I$89,3,0)*VLOOKUP('Données projet'!$B$10,Paramètres!$A$1:$I$89,5,0)</f>
        <v>-1.6671037883497774E-13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215.66498680344858</v>
      </c>
      <c r="AO111" s="62">
        <f t="shared" si="90"/>
        <v>199.86715787211114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-5.6843418860808015E-14</v>
      </c>
      <c r="BE111" s="14">
        <f>BD111*VLOOKUP('Données projet'!$B$11,Paramètres!$A$1:$I$89,3,0)*VLOOKUP('Données projet'!$B$11,Paramètres!$A$1:$I$89,5,0)</f>
        <v>-3.3992364478763198E-14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155.11440101086782</v>
      </c>
      <c r="BJ111" s="62">
        <f t="shared" si="92"/>
        <v>239.53454701506638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2.879712861218112</v>
      </c>
      <c r="BQ111" s="23">
        <f>EXP(-LN(2)/25)*BQ110+(1-EXP(-LN(2)/25))/(LN(2)/25)*Calculateur!BL111*Calculateur!BN111*VLOOKUP('Données projet'!$B$11,Paramètres!$A$1:$I$89,3,0)*0.475*44/12</f>
        <v>0.83300407891885953</v>
      </c>
      <c r="BR111" s="23">
        <f>EXP(-LN(2)/2)*BR110+(1-EXP(-LN(2)/2))/(LN(2)/2)*BL111*BO111*VLOOKUP('Données projet'!$B$11,Paramètres!$A$1:$I$89,3,0)*0.475*44/12</f>
        <v>5.3640962049524757E-12</v>
      </c>
      <c r="BS111" s="24">
        <f t="shared" si="63"/>
        <v>3.7127169401423354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-5.6843418860808015E-14</v>
      </c>
      <c r="BZ111" s="14">
        <f>BY111*VLOOKUP('Données projet'!$B$12,Paramètres!$A$1:$I$89,3,0)*VLOOKUP('Données projet'!$B$12,Paramètres!$A$1:$I$89,5,0)</f>
        <v>-3.3992364478763198E-14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155.11440101086782</v>
      </c>
      <c r="CE111" s="62">
        <f t="shared" si="94"/>
        <v>239.53454701506638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2.879712861218112</v>
      </c>
      <c r="CL111" s="23">
        <f>EXP(-LN(2)/25)*CL110+(1-EXP(-LN(2)/25))/(LN(2)/25)*Calculateur!CG111*Calculateur!CI111*VLOOKUP('Données projet'!$B$12,Paramètres!$A$1:$I$89,3,0)*0.475*44/12</f>
        <v>0.83300407891885953</v>
      </c>
      <c r="CM111" s="23">
        <f>EXP(-LN(2)/2)*CM110+(1-EXP(-LN(2)/2))/(LN(2)/2)*CG111*CJ111*VLOOKUP('Données projet'!$B$12,Paramètres!$A$1:$I$89,3,0)*0.475*44/12</f>
        <v>5.3640962049524757E-12</v>
      </c>
      <c r="CN111" s="24">
        <f t="shared" si="66"/>
        <v>3.7127169401423354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-1.1368683772161603E-13</v>
      </c>
      <c r="CU111" s="18">
        <f>CT111*VLOOKUP('Données projet'!$B$13,Paramètres!$A$1:$I$89,3,0)*VLOOKUP('Données projet'!$B$13,Paramètres!$A$1:$I$89,5,0)</f>
        <v>-9.2222762759774927E-14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191.03017979797141</v>
      </c>
      <c r="CZ111" s="62">
        <f t="shared" si="96"/>
        <v>222.78252111624278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3.0769230769230802</v>
      </c>
      <c r="DO111" s="13">
        <f>IF('Données projet'!$A$166&gt;35,DO110+DN111-DW110,IF(A111&lt;'Données projet'!$A$166,$DL$205^A111,IF(A111='Données projet'!$A$166,'Données projet'!$B$166,DO110+DN111-DW110)))</f>
        <v>247.05128205128216</v>
      </c>
      <c r="DP111" s="18">
        <f>DO111*VLOOKUP('Données projet'!$B$14,Paramètres!$A$1:$I$89,3,0)*VLOOKUP('Données projet'!$B$14,Paramètres!$A$1:$I$89,5,0)</f>
        <v>235.09400000000011</v>
      </c>
      <c r="DQ111" s="14">
        <f t="shared" si="97"/>
        <v>57.382715232787383</v>
      </c>
      <c r="DR111" s="22">
        <f t="shared" si="70"/>
        <v>509.39694569710491</v>
      </c>
      <c r="DS111" s="62">
        <f t="shared" si="71"/>
        <v>802.73027903043817</v>
      </c>
      <c r="DT111" s="62">
        <f ca="1">AVERAGE(OFFSET($DS$3,0,0,'Données projet'!$E$14+1,1))-AVERAGE(OFFSET($H$3,0,0,'Données projet'!$E$14+1,1))</f>
        <v>260.93525280373063</v>
      </c>
      <c r="DU111" s="62">
        <f t="shared" si="98"/>
        <v>206.83968452163816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1.3833333333333342</v>
      </c>
      <c r="EJ111" s="13">
        <f>IF('Données projet'!$A$192&gt;35,EJ110+EI111-ER110,IF(A111&lt;'Données projet'!$A$192,$EG$205^A111,IF(A111='Données projet'!$A$192,'Données projet'!$B$192,EJ110+EI111-ER110)))</f>
        <v>113.76666666666664</v>
      </c>
      <c r="EK111" s="18">
        <f>EJ111*VLOOKUP('Données projet'!$B$15,Paramètres!$A$1:$I$89,3,0)*VLOOKUP('Données projet'!$B$15,Paramètres!$A$1:$I$89,5,0)</f>
        <v>131.05919999999995</v>
      </c>
      <c r="EL111" s="14">
        <f t="shared" si="99"/>
        <v>34.240993644452693</v>
      </c>
      <c r="EM111" s="22">
        <f t="shared" si="73"/>
        <v>287.89783726408837</v>
      </c>
      <c r="EN111" s="62">
        <f t="shared" si="74"/>
        <v>581.23117059742162</v>
      </c>
      <c r="EO111" s="62">
        <f ca="1">AVERAGE(OFFSET($EN$3,0,0,'Données projet'!$E$15+1,1))-AVERAGE(OFFSET($H$3,0,0,'Données projet'!$E$15+1,1))</f>
        <v>118.01099353898547</v>
      </c>
      <c r="EP111" s="62">
        <f t="shared" si="100"/>
        <v>103.17146760845947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4.4000000000000004</v>
      </c>
      <c r="FE111" s="13">
        <f>IF('Données projet'!$A$218&gt;35,FE110+FD111-FM110,IF(A111&lt;'Données projet'!$A$218,$FB$205^A111,IF(A111='Données projet'!$A$218,'Données projet'!$B$218,FE110+FD111-FM110)))</f>
        <v>296.19999999999965</v>
      </c>
      <c r="FF111" s="18">
        <f>FE111*VLOOKUP('Données projet'!$B$16,Paramètres!$A$1:$I$89,3,0)*VLOOKUP('Données projet'!$B$16,Paramètres!$A$1:$I$89,5,0)</f>
        <v>295.72607999999968</v>
      </c>
      <c r="FG111" s="14">
        <f t="shared" si="101"/>
        <v>70.27973882071349</v>
      </c>
      <c r="FH111" s="22">
        <f t="shared" si="76"/>
        <v>637.46013444607536</v>
      </c>
      <c r="FI111" s="62">
        <f t="shared" si="77"/>
        <v>930.79346777940873</v>
      </c>
      <c r="FJ111" s="62">
        <f ca="1">AVERAGE(OFFSET($FI$3,0,0,'Données projet'!$E$16+1,1))-AVERAGE(OFFSET($H$3,0,0,'Données projet'!$E$16+1,1))</f>
        <v>343.71044073996887</v>
      </c>
      <c r="FK111" s="62">
        <f t="shared" si="102"/>
        <v>193.51732627292375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4.4000000000000004</v>
      </c>
      <c r="N112" s="14">
        <f>IF('Données projet'!$A$36&gt;35,N111+M112-V111,IF(A112&lt;'Données projet'!$A$36,$K$205^A112,IF(A112='Données projet'!$A$36,'Données projet'!$B$36,N111+M112-V111)))</f>
        <v>300.59999999999962</v>
      </c>
      <c r="O112" s="14">
        <f>N112*VLOOKUP('Données projet'!$B$9,Paramètres!$A$1:$I$89,3,0)*VLOOKUP('Données projet'!$B$9,Paramètres!$A$1:$I$89,5,0)</f>
        <v>271.98287999999962</v>
      </c>
      <c r="P112" s="14">
        <f t="shared" si="87"/>
        <v>65.269907092018684</v>
      </c>
      <c r="Q112" s="22">
        <f t="shared" si="107"/>
        <v>587.38193751859842</v>
      </c>
      <c r="R112" s="62">
        <f t="shared" si="55"/>
        <v>880.71527085193179</v>
      </c>
      <c r="S112" s="62">
        <f ca="1">AVERAGE(OFFSET($R$3,0,0,'Données projet'!$E$9+1,1))-AVERAGE(OFFSET($H$3,0,0,'Données projet'!$E$9+1,1))</f>
        <v>303.73499739059076</v>
      </c>
      <c r="T112" s="62">
        <f t="shared" si="88"/>
        <v>172.32171001882188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-2.2737367544323206E-13</v>
      </c>
      <c r="AJ112" s="14">
        <f>AI112*VLOOKUP('Données projet'!$B$10,Paramètres!$A$1:$I$89,3,0)*VLOOKUP('Données projet'!$B$10,Paramètres!$A$1:$I$89,5,0)</f>
        <v>-1.6671037883497774E-13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215.66498680344858</v>
      </c>
      <c r="AO112" s="62">
        <f t="shared" si="90"/>
        <v>199.86715787211114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-5.6843418860808015E-14</v>
      </c>
      <c r="BE112" s="14">
        <f>BD112*VLOOKUP('Données projet'!$B$11,Paramètres!$A$1:$I$89,3,0)*VLOOKUP('Données projet'!$B$11,Paramètres!$A$1:$I$89,5,0)</f>
        <v>-3.3992364478763198E-14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155.11440101086782</v>
      </c>
      <c r="BJ112" s="62">
        <f t="shared" si="92"/>
        <v>239.53454701506638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2.8232434484610351</v>
      </c>
      <c r="BQ112" s="23">
        <f>EXP(-LN(2)/25)*BQ111+(1-EXP(-LN(2)/25))/(LN(2)/25)*Calculateur!BL112*Calculateur!BN112*VLOOKUP('Données projet'!$B$11,Paramètres!$A$1:$I$89,3,0)*0.475*44/12</f>
        <v>0.81022553857504265</v>
      </c>
      <c r="BR112" s="23">
        <f>EXP(-LN(2)/2)*BR111+(1-EXP(-LN(2)/2))/(LN(2)/2)*BL112*BO112*VLOOKUP('Données projet'!$B$11,Paramètres!$A$1:$I$89,3,0)*0.475*44/12</f>
        <v>3.7929888014589201E-12</v>
      </c>
      <c r="BS112" s="24">
        <f t="shared" si="63"/>
        <v>3.6334689870398709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-5.6843418860808015E-14</v>
      </c>
      <c r="BZ112" s="14">
        <f>BY112*VLOOKUP('Données projet'!$B$12,Paramètres!$A$1:$I$89,3,0)*VLOOKUP('Données projet'!$B$12,Paramètres!$A$1:$I$89,5,0)</f>
        <v>-3.3992364478763198E-14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155.11440101086782</v>
      </c>
      <c r="CE112" s="62">
        <f t="shared" si="94"/>
        <v>239.53454701506638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2.8232434484610351</v>
      </c>
      <c r="CL112" s="23">
        <f>EXP(-LN(2)/25)*CL111+(1-EXP(-LN(2)/25))/(LN(2)/25)*Calculateur!CG112*Calculateur!CI112*VLOOKUP('Données projet'!$B$12,Paramètres!$A$1:$I$89,3,0)*0.475*44/12</f>
        <v>0.81022553857504265</v>
      </c>
      <c r="CM112" s="23">
        <f>EXP(-LN(2)/2)*CM111+(1-EXP(-LN(2)/2))/(LN(2)/2)*CG112*CJ112*VLOOKUP('Données projet'!$B$12,Paramètres!$A$1:$I$89,3,0)*0.475*44/12</f>
        <v>3.7929888014589201E-12</v>
      </c>
      <c r="CN112" s="24">
        <f t="shared" si="66"/>
        <v>3.6334689870398709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-1.1368683772161603E-13</v>
      </c>
      <c r="CU112" s="18">
        <f>CT112*VLOOKUP('Données projet'!$B$13,Paramètres!$A$1:$I$89,3,0)*VLOOKUP('Données projet'!$B$13,Paramètres!$A$1:$I$89,5,0)</f>
        <v>-9.2222762759774927E-14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191.03017979797141</v>
      </c>
      <c r="CZ112" s="62">
        <f t="shared" si="96"/>
        <v>222.78252111624278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3.0769230769230802</v>
      </c>
      <c r="DO112" s="13">
        <f>IF('Données projet'!$A$166&gt;35,DO111+DN112-DW111,IF(A112&lt;'Données projet'!$A$166,$DL$205^A112,IF(A112='Données projet'!$A$166,'Données projet'!$B$166,DO111+DN112-DW111)))</f>
        <v>250.12820512820525</v>
      </c>
      <c r="DP112" s="18">
        <f>DO112*VLOOKUP('Données projet'!$B$14,Paramètres!$A$1:$I$89,3,0)*VLOOKUP('Données projet'!$B$14,Paramètres!$A$1:$I$89,5,0)</f>
        <v>238.02200000000013</v>
      </c>
      <c r="DQ112" s="14">
        <f t="shared" si="97"/>
        <v>58.013749383704898</v>
      </c>
      <c r="DR112" s="22">
        <f t="shared" si="70"/>
        <v>515.59559684328622</v>
      </c>
      <c r="DS112" s="62">
        <f t="shared" si="71"/>
        <v>808.92893017661959</v>
      </c>
      <c r="DT112" s="62">
        <f ca="1">AVERAGE(OFFSET($DS$3,0,0,'Données projet'!$E$14+1,1))-AVERAGE(OFFSET($H$3,0,0,'Données projet'!$E$14+1,1))</f>
        <v>260.93525280373063</v>
      </c>
      <c r="DU112" s="62">
        <f t="shared" si="98"/>
        <v>206.83968452163816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1.3833333333333342</v>
      </c>
      <c r="EJ112" s="13">
        <f>IF('Données projet'!$A$192&gt;35,EJ111+EI112-ER111,IF(A112&lt;'Données projet'!$A$192,$EG$205^A112,IF(A112='Données projet'!$A$192,'Données projet'!$B$192,EJ111+EI112-ER111)))</f>
        <v>115.14999999999998</v>
      </c>
      <c r="EK112" s="18">
        <f>EJ112*VLOOKUP('Données projet'!$B$15,Paramètres!$A$1:$I$89,3,0)*VLOOKUP('Données projet'!$B$15,Paramètres!$A$1:$I$89,5,0)</f>
        <v>132.65279999999996</v>
      </c>
      <c r="EL112" s="14">
        <f t="shared" si="99"/>
        <v>34.608620990190566</v>
      </c>
      <c r="EM112" s="22">
        <f t="shared" si="73"/>
        <v>291.31364155791516</v>
      </c>
      <c r="EN112" s="62">
        <f t="shared" si="74"/>
        <v>584.64697489124842</v>
      </c>
      <c r="EO112" s="62">
        <f ca="1">AVERAGE(OFFSET($EN$3,0,0,'Données projet'!$E$15+1,1))-AVERAGE(OFFSET($H$3,0,0,'Données projet'!$E$15+1,1))</f>
        <v>118.01099353898547</v>
      </c>
      <c r="EP112" s="62">
        <f t="shared" si="100"/>
        <v>103.17146760845947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4.4000000000000004</v>
      </c>
      <c r="FE112" s="13">
        <f>IF('Données projet'!$A$218&gt;35,FE111+FD112-FM111,IF(A112&lt;'Données projet'!$A$218,$FB$205^A112,IF(A112='Données projet'!$A$218,'Données projet'!$B$218,FE111+FD112-FM111)))</f>
        <v>300.59999999999962</v>
      </c>
      <c r="FF112" s="18">
        <f>FE112*VLOOKUP('Données projet'!$B$16,Paramètres!$A$1:$I$89,3,0)*VLOOKUP('Données projet'!$B$16,Paramètres!$A$1:$I$89,5,0)</f>
        <v>300.11903999999964</v>
      </c>
      <c r="FG112" s="14">
        <f t="shared" si="101"/>
        <v>71.201418255837112</v>
      </c>
      <c r="FH112" s="22">
        <f t="shared" si="76"/>
        <v>646.71646479558228</v>
      </c>
      <c r="FI112" s="62">
        <f t="shared" si="77"/>
        <v>940.04979812891565</v>
      </c>
      <c r="FJ112" s="62">
        <f ca="1">AVERAGE(OFFSET($FI$3,0,0,'Données projet'!$E$16+1,1))-AVERAGE(OFFSET($H$3,0,0,'Données projet'!$E$16+1,1))</f>
        <v>343.71044073996887</v>
      </c>
      <c r="FK112" s="62">
        <f t="shared" si="102"/>
        <v>193.51732627292375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305</v>
      </c>
      <c r="L113" s="13">
        <f>VLOOKUP(A113,'Données projet'!$A$35:$I$55,9,0)</f>
        <v>4.4000000000000004</v>
      </c>
      <c r="M113" s="13">
        <f t="array" ref="M113">INDEX(L:L,MIN(IF(ISNUMBER(L113:L309),ROW(L113:L309),"")))</f>
        <v>4.4000000000000004</v>
      </c>
      <c r="N113" s="14">
        <f>IF('Données projet'!$A$36&gt;35,N112+M113-V112,IF(A113&lt;'Données projet'!$A$36,$K$205^A113,IF(A113='Données projet'!$A$36,'Données projet'!$B$36,N112+M113-V112)))</f>
        <v>304.9999999999996</v>
      </c>
      <c r="O113" s="14">
        <f>N113*VLOOKUP('Données projet'!$B$9,Paramètres!$A$1:$I$89,3,0)*VLOOKUP('Données projet'!$B$9,Paramètres!$A$1:$I$89,5,0)</f>
        <v>275.9639999999996</v>
      </c>
      <c r="P113" s="14">
        <f t="shared" si="87"/>
        <v>66.113366665488797</v>
      </c>
      <c r="Q113" s="22">
        <f t="shared" si="107"/>
        <v>595.7847469423923</v>
      </c>
      <c r="R113" s="62">
        <f t="shared" si="55"/>
        <v>889.11808027572556</v>
      </c>
      <c r="S113" s="62">
        <f ca="1">AVERAGE(OFFSET($R$3,0,0,'Données projet'!$E$9+1,1))-AVERAGE(OFFSET($H$3,0,0,'Données projet'!$E$9+1,1))</f>
        <v>303.73499739059076</v>
      </c>
      <c r="T113" s="62">
        <f t="shared" si="88"/>
        <v>172.32171001882188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39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-2.2737367544323206E-13</v>
      </c>
      <c r="AJ113" s="14">
        <f>AI113*VLOOKUP('Données projet'!$B$10,Paramètres!$A$1:$I$89,3,0)*VLOOKUP('Données projet'!$B$10,Paramètres!$A$1:$I$89,5,0)</f>
        <v>-1.6671037883497774E-13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215.66498680344858</v>
      </c>
      <c r="AO113" s="62">
        <f t="shared" si="90"/>
        <v>199.86715787211114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-5.6843418860808015E-14</v>
      </c>
      <c r="BE113" s="14">
        <f>BD113*VLOOKUP('Données projet'!$B$11,Paramètres!$A$1:$I$89,3,0)*VLOOKUP('Données projet'!$B$11,Paramètres!$A$1:$I$89,5,0)</f>
        <v>-3.3992364478763198E-14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155.11440101086782</v>
      </c>
      <c r="BJ113" s="62">
        <f t="shared" si="92"/>
        <v>239.53454701506638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2.7678813664451836</v>
      </c>
      <c r="BQ113" s="23">
        <f>EXP(-LN(2)/25)*BQ112+(1-EXP(-LN(2)/25))/(LN(2)/25)*Calculateur!BL113*Calculateur!BN113*VLOOKUP('Données projet'!$B$11,Paramètres!$A$1:$I$89,3,0)*0.475*44/12</f>
        <v>0.78806987861479882</v>
      </c>
      <c r="BR113" s="23">
        <f>EXP(-LN(2)/2)*BR112+(1-EXP(-LN(2)/2))/(LN(2)/2)*BL113*BO113*VLOOKUP('Données projet'!$B$11,Paramètres!$A$1:$I$89,3,0)*0.475*44/12</f>
        <v>2.6820481024762378E-12</v>
      </c>
      <c r="BS113" s="24">
        <f t="shared" si="63"/>
        <v>3.5559512450626642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-5.6843418860808015E-14</v>
      </c>
      <c r="BZ113" s="14">
        <f>BY113*VLOOKUP('Données projet'!$B$12,Paramètres!$A$1:$I$89,3,0)*VLOOKUP('Données projet'!$B$12,Paramètres!$A$1:$I$89,5,0)</f>
        <v>-3.3992364478763198E-14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155.11440101086782</v>
      </c>
      <c r="CE113" s="62">
        <f t="shared" si="94"/>
        <v>239.53454701506638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2.7678813664451836</v>
      </c>
      <c r="CL113" s="23">
        <f>EXP(-LN(2)/25)*CL112+(1-EXP(-LN(2)/25))/(LN(2)/25)*Calculateur!CG113*Calculateur!CI113*VLOOKUP('Données projet'!$B$12,Paramètres!$A$1:$I$89,3,0)*0.475*44/12</f>
        <v>0.78806987861479882</v>
      </c>
      <c r="CM113" s="23">
        <f>EXP(-LN(2)/2)*CM112+(1-EXP(-LN(2)/2))/(LN(2)/2)*CG113*CJ113*VLOOKUP('Données projet'!$B$12,Paramètres!$A$1:$I$89,3,0)*0.475*44/12</f>
        <v>2.6820481024762378E-12</v>
      </c>
      <c r="CN113" s="24">
        <f t="shared" si="66"/>
        <v>3.5559512450626642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-1.1368683772161603E-13</v>
      </c>
      <c r="CU113" s="18">
        <f>CT113*VLOOKUP('Données projet'!$B$13,Paramètres!$A$1:$I$89,3,0)*VLOOKUP('Données projet'!$B$13,Paramètres!$A$1:$I$89,5,0)</f>
        <v>-9.2222762759774927E-14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191.03017979797141</v>
      </c>
      <c r="CZ113" s="62">
        <f t="shared" si="96"/>
        <v>222.78252111624278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253.2051282051282</v>
      </c>
      <c r="DM113" s="13">
        <f>VLOOKUP(A113,'Données projet'!$A$165:$I$185,9,0)</f>
        <v>3.0769230769230802</v>
      </c>
      <c r="DN113" s="13">
        <f t="array" ref="DN113">INDEX(DM:DM,MIN(IF(ISNUMBER(DM113:DM309),ROW(DM113:DM309),"")))</f>
        <v>3.0769230769230802</v>
      </c>
      <c r="DO113" s="13">
        <f>IF('Données projet'!$A$166&gt;35,DO112+DN113-DW112,IF(A113&lt;'Données projet'!$A$166,$DL$205^A113,IF(A113='Données projet'!$A$166,'Données projet'!$B$166,DO112+DN113-DW112)))</f>
        <v>253.20512820512835</v>
      </c>
      <c r="DP113" s="18">
        <f>DO113*VLOOKUP('Données projet'!$B$14,Paramètres!$A$1:$I$89,3,0)*VLOOKUP('Données projet'!$B$14,Paramètres!$A$1:$I$89,5,0)</f>
        <v>240.95000000000013</v>
      </c>
      <c r="DQ113" s="14">
        <f t="shared" si="97"/>
        <v>58.643880591265685</v>
      </c>
      <c r="DR113" s="22">
        <f t="shared" si="70"/>
        <v>521.79267536312125</v>
      </c>
      <c r="DS113" s="62">
        <f t="shared" si="71"/>
        <v>815.12600869645462</v>
      </c>
      <c r="DT113" s="62">
        <f ca="1">AVERAGE(OFFSET($DS$3,0,0,'Données projet'!$E$14+1,1))-AVERAGE(OFFSET($H$3,0,0,'Données projet'!$E$14+1,1))</f>
        <v>260.93525280373063</v>
      </c>
      <c r="DU113" s="62">
        <f t="shared" si="98"/>
        <v>206.83968452163816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116.53333333333335</v>
      </c>
      <c r="EH113" s="13">
        <f>VLOOKUP(A113,'Données projet'!$A$191:$I$211,9,0)</f>
        <v>1.3833333333333342</v>
      </c>
      <c r="EI113" s="13">
        <f t="array" ref="EI113">INDEX(EH:EH,MIN(IF(ISNUMBER(EH113:EH309),ROW(EH113:EH309),"")))</f>
        <v>1.3833333333333342</v>
      </c>
      <c r="EJ113" s="13">
        <f>IF('Données projet'!$A$192&gt;35,EJ112+EI113-ER112,IF(A113&lt;'Données projet'!$A$192,$EG$205^A113,IF(A113='Données projet'!$A$192,'Données projet'!$B$192,EJ112+EI113-ER112)))</f>
        <v>116.53333333333332</v>
      </c>
      <c r="EK113" s="18">
        <f>EJ113*VLOOKUP('Données projet'!$B$15,Paramètres!$A$1:$I$89,3,0)*VLOOKUP('Données projet'!$B$15,Paramètres!$A$1:$I$89,5,0)</f>
        <v>134.24639999999997</v>
      </c>
      <c r="EL113" s="14">
        <f t="shared" si="99"/>
        <v>34.975734610428823</v>
      </c>
      <c r="EM113" s="22">
        <f t="shared" si="73"/>
        <v>294.72855111316346</v>
      </c>
      <c r="EN113" s="62">
        <f t="shared" si="74"/>
        <v>588.06188444649683</v>
      </c>
      <c r="EO113" s="62">
        <f ca="1">AVERAGE(OFFSET($EN$3,0,0,'Données projet'!$E$15+1,1))-AVERAGE(OFFSET($H$3,0,0,'Données projet'!$E$15+1,1))</f>
        <v>118.01099353898547</v>
      </c>
      <c r="EP113" s="62">
        <f t="shared" si="100"/>
        <v>103.17146760845947</v>
      </c>
      <c r="EQ113" s="16">
        <f>IF(ISNA(VLOOKUP(A113,'Données projet'!$A$191:$I$211,3,0)),0,VLOOKUP(A113,'Données projet'!$A$191:$I$211,3,0))</f>
        <v>9</v>
      </c>
      <c r="ER113" s="16">
        <f>IF(ISNA(VLOOKUP(A113,'Données projet'!$A$191:$I$211,4,0)),0,VLOOKUP(A113,'Données projet'!$A$191:$I$211,4,0))</f>
        <v>9.0416666666666661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>
        <f>VLOOKUP(A113,'Données projet'!$A$217:$I$237,2,0)</f>
        <v>305</v>
      </c>
      <c r="FC113" s="13">
        <f>VLOOKUP(A113,'Données projet'!$A$217:$I$237,9,0)</f>
        <v>4.4000000000000004</v>
      </c>
      <c r="FD113" s="13">
        <f t="array" ref="FD113">INDEX(FC:FC,MIN(IF(ISNUMBER(FC113:FC309),ROW(FC113:FC309),"")))</f>
        <v>4.4000000000000004</v>
      </c>
      <c r="FE113" s="13">
        <f>IF('Données projet'!$A$218&gt;35,FE112+FD113-FM112,IF(A113&lt;'Données projet'!$A$218,$FB$205^A113,IF(A113='Données projet'!$A$218,'Données projet'!$B$218,FE112+FD113-FM112)))</f>
        <v>304.9999999999996</v>
      </c>
      <c r="FF113" s="18">
        <f>FE113*VLOOKUP('Données projet'!$B$16,Paramètres!$A$1:$I$89,3,0)*VLOOKUP('Données projet'!$B$16,Paramètres!$A$1:$I$89,5,0)</f>
        <v>304.51199999999966</v>
      </c>
      <c r="FG113" s="14">
        <f t="shared" si="101"/>
        <v>72.121528618302804</v>
      </c>
      <c r="FH113" s="22">
        <f t="shared" si="76"/>
        <v>655.97006234354342</v>
      </c>
      <c r="FI113" s="62">
        <f t="shared" si="77"/>
        <v>949.30339567687679</v>
      </c>
      <c r="FJ113" s="62">
        <f ca="1">AVERAGE(OFFSET($FI$3,0,0,'Données projet'!$E$16+1,1))-AVERAGE(OFFSET($H$3,0,0,'Données projet'!$E$16+1,1))</f>
        <v>343.71044073996887</v>
      </c>
      <c r="FK113" s="62">
        <f t="shared" si="102"/>
        <v>193.51732627292375</v>
      </c>
      <c r="FL113" s="16">
        <f>IF(ISNA(VLOOKUP(A113,'Données projet'!$A$217:$I$237,3,0)),0,VLOOKUP(A113,'Données projet'!$A$217:$I$237,3,0))</f>
        <v>9</v>
      </c>
      <c r="FM113" s="16">
        <f>IF(ISNA(VLOOKUP(A113,'Données projet'!$A$217:$I$237,4,0)),0,VLOOKUP(A113,'Données projet'!$A$217:$I$237,4,0))</f>
        <v>39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3.7</v>
      </c>
      <c r="N114" s="14">
        <f>IF('Données projet'!$A$36&gt;35,N113+M114-V113,IF(A114&lt;'Données projet'!$A$36,$K$205^A114,IF(A114='Données projet'!$A$36,'Données projet'!$B$36,N113+M114-V113)))</f>
        <v>269.69999999999959</v>
      </c>
      <c r="O114" s="14">
        <f>N114*VLOOKUP('Données projet'!$B$9,Paramètres!$A$1:$I$89,3,0)*VLOOKUP('Données projet'!$B$9,Paramètres!$A$1:$I$89,5,0)</f>
        <v>244.02455999999964</v>
      </c>
      <c r="P114" s="14">
        <f t="shared" si="87"/>
        <v>59.304594314969229</v>
      </c>
      <c r="Q114" s="22">
        <f t="shared" si="107"/>
        <v>528.29827709857079</v>
      </c>
      <c r="R114" s="62">
        <f t="shared" si="55"/>
        <v>821.63161043190416</v>
      </c>
      <c r="S114" s="62">
        <f ca="1">AVERAGE(OFFSET($R$3,0,0,'Données projet'!$E$9+1,1))-AVERAGE(OFFSET($H$3,0,0,'Données projet'!$E$9+1,1))</f>
        <v>303.73499739059076</v>
      </c>
      <c r="T114" s="62">
        <f t="shared" si="88"/>
        <v>172.32171001882188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-2.2737367544323206E-13</v>
      </c>
      <c r="AJ114" s="14">
        <f>AI114*VLOOKUP('Données projet'!$B$10,Paramètres!$A$1:$I$89,3,0)*VLOOKUP('Données projet'!$B$10,Paramètres!$A$1:$I$89,5,0)</f>
        <v>-1.6671037883497774E-13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215.66498680344858</v>
      </c>
      <c r="AO114" s="62">
        <f t="shared" si="90"/>
        <v>199.86715787211114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-5.6843418860808015E-14</v>
      </c>
      <c r="BE114" s="14">
        <f>BD114*VLOOKUP('Données projet'!$B$11,Paramètres!$A$1:$I$89,3,0)*VLOOKUP('Données projet'!$B$11,Paramètres!$A$1:$I$89,5,0)</f>
        <v>-3.3992364478763198E-14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155.11440101086782</v>
      </c>
      <c r="BJ114" s="62">
        <f t="shared" si="92"/>
        <v>239.53454701506638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2.7136049010901271</v>
      </c>
      <c r="BQ114" s="23">
        <f>EXP(-LN(2)/25)*BQ113+(1-EXP(-LN(2)/25))/(LN(2)/25)*Calculateur!BL114*Calculateur!BN114*VLOOKUP('Données projet'!$B$11,Paramètres!$A$1:$I$89,3,0)*0.475*44/12</f>
        <v>0.76652006634128345</v>
      </c>
      <c r="BR114" s="23">
        <f>EXP(-LN(2)/2)*BR113+(1-EXP(-LN(2)/2))/(LN(2)/2)*BL114*BO114*VLOOKUP('Données projet'!$B$11,Paramètres!$A$1:$I$89,3,0)*0.475*44/12</f>
        <v>1.8964944007294601E-12</v>
      </c>
      <c r="BS114" s="24">
        <f t="shared" si="63"/>
        <v>3.4801249674333072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-5.6843418860808015E-14</v>
      </c>
      <c r="BZ114" s="14">
        <f>BY114*VLOOKUP('Données projet'!$B$12,Paramètres!$A$1:$I$89,3,0)*VLOOKUP('Données projet'!$B$12,Paramètres!$A$1:$I$89,5,0)</f>
        <v>-3.3992364478763198E-14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155.11440101086782</v>
      </c>
      <c r="CE114" s="62">
        <f t="shared" si="94"/>
        <v>239.53454701506638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2.7136049010901271</v>
      </c>
      <c r="CL114" s="23">
        <f>EXP(-LN(2)/25)*CL113+(1-EXP(-LN(2)/25))/(LN(2)/25)*Calculateur!CG114*Calculateur!CI114*VLOOKUP('Données projet'!$B$12,Paramètres!$A$1:$I$89,3,0)*0.475*44/12</f>
        <v>0.76652006634128345</v>
      </c>
      <c r="CM114" s="23">
        <f>EXP(-LN(2)/2)*CM113+(1-EXP(-LN(2)/2))/(LN(2)/2)*CG114*CJ114*VLOOKUP('Données projet'!$B$12,Paramètres!$A$1:$I$89,3,0)*0.475*44/12</f>
        <v>1.8964944007294601E-12</v>
      </c>
      <c r="CN114" s="24">
        <f t="shared" si="66"/>
        <v>3.4801249674333072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-1.1368683772161603E-13</v>
      </c>
      <c r="CU114" s="18">
        <f>CT114*VLOOKUP('Données projet'!$B$13,Paramètres!$A$1:$I$89,3,0)*VLOOKUP('Données projet'!$B$13,Paramètres!$A$1:$I$89,5,0)</f>
        <v>-9.2222762759774927E-14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191.03017979797141</v>
      </c>
      <c r="CZ114" s="62">
        <f t="shared" si="96"/>
        <v>222.78252111624278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2.8846153846153841</v>
      </c>
      <c r="DO114" s="13">
        <f>IF('Données projet'!$A$166&gt;35,DO113+DN114-DW113,IF(A114&lt;'Données projet'!$A$166,$DL$205^A114,IF(A114='Données projet'!$A$166,'Données projet'!$B$166,DO113+DN114-DW113)))</f>
        <v>256.0897435897437</v>
      </c>
      <c r="DP114" s="18">
        <f>DO114*VLOOKUP('Données projet'!$B$14,Paramètres!$A$1:$I$89,3,0)*VLOOKUP('Données projet'!$B$14,Paramètres!$A$1:$I$89,5,0)</f>
        <v>243.69500000000011</v>
      </c>
      <c r="DQ114" s="14">
        <f t="shared" si="97"/>
        <v>59.233819432983545</v>
      </c>
      <c r="DR114" s="22">
        <f t="shared" si="70"/>
        <v>527.60102717911309</v>
      </c>
      <c r="DS114" s="62">
        <f t="shared" si="71"/>
        <v>820.93436051244635</v>
      </c>
      <c r="DT114" s="62">
        <f ca="1">AVERAGE(OFFSET($DS$3,0,0,'Données projet'!$E$14+1,1))-AVERAGE(OFFSET($H$3,0,0,'Données projet'!$E$14+1,1))</f>
        <v>260.93525280373063</v>
      </c>
      <c r="DU114" s="62">
        <f t="shared" si="98"/>
        <v>206.83968452163816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1.3150000000000006</v>
      </c>
      <c r="EJ114" s="13">
        <f>IF('Données projet'!$A$192&gt;35,EJ113+EI114-ER113,IF(A114&lt;'Données projet'!$A$192,$EG$205^A114,IF(A114='Données projet'!$A$192,'Données projet'!$B$192,EJ113+EI114-ER113)))</f>
        <v>108.80666666666664</v>
      </c>
      <c r="EK114" s="18">
        <f>EJ114*VLOOKUP('Données projet'!$B$15,Paramètres!$A$1:$I$89,3,0)*VLOOKUP('Données projet'!$B$15,Paramètres!$A$1:$I$89,5,0)</f>
        <v>125.34527999999997</v>
      </c>
      <c r="EL114" s="14">
        <f t="shared" si="99"/>
        <v>32.918518403213277</v>
      </c>
      <c r="EM114" s="22">
        <f t="shared" si="73"/>
        <v>275.64278221892977</v>
      </c>
      <c r="EN114" s="62">
        <f t="shared" si="74"/>
        <v>568.97611555226308</v>
      </c>
      <c r="EO114" s="62">
        <f ca="1">AVERAGE(OFFSET($EN$3,0,0,'Données projet'!$E$15+1,1))-AVERAGE(OFFSET($H$3,0,0,'Données projet'!$E$15+1,1))</f>
        <v>118.01099353898547</v>
      </c>
      <c r="EP114" s="62">
        <f t="shared" si="100"/>
        <v>103.17146760845947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3.7</v>
      </c>
      <c r="FE114" s="13">
        <f>IF('Données projet'!$A$218&gt;35,FE113+FD114-FM113,IF(A114&lt;'Données projet'!$A$218,$FB$205^A114,IF(A114='Données projet'!$A$218,'Données projet'!$B$218,FE113+FD114-FM113)))</f>
        <v>269.69999999999959</v>
      </c>
      <c r="FF114" s="18">
        <f>FE114*VLOOKUP('Données projet'!$B$16,Paramètres!$A$1:$I$89,3,0)*VLOOKUP('Données projet'!$B$16,Paramètres!$A$1:$I$89,5,0)</f>
        <v>269.26847999999961</v>
      </c>
      <c r="FG114" s="14">
        <f t="shared" si="101"/>
        <v>64.693997776951122</v>
      </c>
      <c r="FH114" s="22">
        <f t="shared" si="76"/>
        <v>581.65131546152259</v>
      </c>
      <c r="FI114" s="62">
        <f t="shared" si="77"/>
        <v>874.98464879485596</v>
      </c>
      <c r="FJ114" s="62">
        <f ca="1">AVERAGE(OFFSET($FI$3,0,0,'Données projet'!$E$16+1,1))-AVERAGE(OFFSET($H$3,0,0,'Données projet'!$E$16+1,1))</f>
        <v>343.71044073996887</v>
      </c>
      <c r="FK114" s="62">
        <f t="shared" si="102"/>
        <v>193.51732627292375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3.7</v>
      </c>
      <c r="N115" s="14">
        <f>IF('Données projet'!$A$36&gt;35,N114+M115-V114,IF(A115&lt;'Données projet'!$A$36,$K$205^A115,IF(A115='Données projet'!$A$36,'Données projet'!$B$36,N114+M115-V114)))</f>
        <v>273.39999999999958</v>
      </c>
      <c r="O115" s="14">
        <f>N115*VLOOKUP('Données projet'!$B$9,Paramètres!$A$1:$I$89,3,0)*VLOOKUP('Données projet'!$B$9,Paramètres!$A$1:$I$89,5,0)</f>
        <v>247.3723199999996</v>
      </c>
      <c r="P115" s="14">
        <f t="shared" si="87"/>
        <v>60.022917171130942</v>
      </c>
      <c r="Q115" s="22">
        <f t="shared" si="107"/>
        <v>535.38003807305233</v>
      </c>
      <c r="R115" s="62">
        <f t="shared" si="55"/>
        <v>828.7133714063857</v>
      </c>
      <c r="S115" s="62">
        <f ca="1">AVERAGE(OFFSET($R$3,0,0,'Données projet'!$E$9+1,1))-AVERAGE(OFFSET($H$3,0,0,'Données projet'!$E$9+1,1))</f>
        <v>303.73499739059076</v>
      </c>
      <c r="T115" s="62">
        <f t="shared" si="88"/>
        <v>172.32171001882188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-2.2737367544323206E-13</v>
      </c>
      <c r="AJ115" s="14">
        <f>AI115*VLOOKUP('Données projet'!$B$10,Paramètres!$A$1:$I$89,3,0)*VLOOKUP('Données projet'!$B$10,Paramètres!$A$1:$I$89,5,0)</f>
        <v>-1.6671037883497774E-13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215.66498680344858</v>
      </c>
      <c r="AO115" s="62">
        <f t="shared" si="90"/>
        <v>199.86715787211114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-5.6843418860808015E-14</v>
      </c>
      <c r="BE115" s="14">
        <f>BD115*VLOOKUP('Données projet'!$B$11,Paramètres!$A$1:$I$89,3,0)*VLOOKUP('Données projet'!$B$11,Paramètres!$A$1:$I$89,5,0)</f>
        <v>-3.3992364478763198E-14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155.11440101086782</v>
      </c>
      <c r="BJ115" s="62">
        <f t="shared" si="92"/>
        <v>239.53454701506638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2.6603927641153082</v>
      </c>
      <c r="BQ115" s="23">
        <f>EXP(-LN(2)/25)*BQ114+(1-EXP(-LN(2)/25))/(LN(2)/25)*Calculateur!BL115*Calculateur!BN115*VLOOKUP('Données projet'!$B$11,Paramètres!$A$1:$I$89,3,0)*0.475*44/12</f>
        <v>0.7455595348176427</v>
      </c>
      <c r="BR115" s="23">
        <f>EXP(-LN(2)/2)*BR114+(1-EXP(-LN(2)/2))/(LN(2)/2)*BL115*BO115*VLOOKUP('Données projet'!$B$11,Paramètres!$A$1:$I$89,3,0)*0.475*44/12</f>
        <v>1.3410240512381189E-12</v>
      </c>
      <c r="BS115" s="24">
        <f t="shared" si="63"/>
        <v>3.4059522989342921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-5.6843418860808015E-14</v>
      </c>
      <c r="BZ115" s="14">
        <f>BY115*VLOOKUP('Données projet'!$B$12,Paramètres!$A$1:$I$89,3,0)*VLOOKUP('Données projet'!$B$12,Paramètres!$A$1:$I$89,5,0)</f>
        <v>-3.3992364478763198E-14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155.11440101086782</v>
      </c>
      <c r="CE115" s="62">
        <f t="shared" si="94"/>
        <v>239.53454701506638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2.6603927641153082</v>
      </c>
      <c r="CL115" s="23">
        <f>EXP(-LN(2)/25)*CL114+(1-EXP(-LN(2)/25))/(LN(2)/25)*Calculateur!CG115*Calculateur!CI115*VLOOKUP('Données projet'!$B$12,Paramètres!$A$1:$I$89,3,0)*0.475*44/12</f>
        <v>0.7455595348176427</v>
      </c>
      <c r="CM115" s="23">
        <f>EXP(-LN(2)/2)*CM114+(1-EXP(-LN(2)/2))/(LN(2)/2)*CG115*CJ115*VLOOKUP('Données projet'!$B$12,Paramètres!$A$1:$I$89,3,0)*0.475*44/12</f>
        <v>1.3410240512381189E-12</v>
      </c>
      <c r="CN115" s="24">
        <f t="shared" si="66"/>
        <v>3.4059522989342921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-1.1368683772161603E-13</v>
      </c>
      <c r="CU115" s="18">
        <f>CT115*VLOOKUP('Données projet'!$B$13,Paramètres!$A$1:$I$89,3,0)*VLOOKUP('Données projet'!$B$13,Paramètres!$A$1:$I$89,5,0)</f>
        <v>-9.2222762759774927E-14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191.03017979797141</v>
      </c>
      <c r="CZ115" s="62">
        <f t="shared" si="96"/>
        <v>222.78252111624278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2.8846153846153841</v>
      </c>
      <c r="DO115" s="13">
        <f>IF('Données projet'!$A$166&gt;35,DO114+DN115-DW114,IF(A115&lt;'Données projet'!$A$166,$DL$205^A115,IF(A115='Données projet'!$A$166,'Données projet'!$B$166,DO114+DN115-DW114)))</f>
        <v>258.97435897435906</v>
      </c>
      <c r="DP115" s="18">
        <f>DO115*VLOOKUP('Données projet'!$B$14,Paramètres!$A$1:$I$89,3,0)*VLOOKUP('Données projet'!$B$14,Paramètres!$A$1:$I$89,5,0)</f>
        <v>246.44000000000011</v>
      </c>
      <c r="DQ115" s="14">
        <f t="shared" si="97"/>
        <v>59.822985272492645</v>
      </c>
      <c r="DR115" s="22">
        <f t="shared" si="70"/>
        <v>533.40803268292484</v>
      </c>
      <c r="DS115" s="62">
        <f t="shared" si="71"/>
        <v>826.7413660162581</v>
      </c>
      <c r="DT115" s="62">
        <f ca="1">AVERAGE(OFFSET($DS$3,0,0,'Données projet'!$E$14+1,1))-AVERAGE(OFFSET($H$3,0,0,'Données projet'!$E$14+1,1))</f>
        <v>260.93525280373063</v>
      </c>
      <c r="DU115" s="62">
        <f t="shared" si="98"/>
        <v>206.83968452163816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1.3150000000000006</v>
      </c>
      <c r="EJ115" s="13">
        <f>IF('Données projet'!$A$192&gt;35,EJ114+EI115-ER114,IF(A115&lt;'Données projet'!$A$192,$EG$205^A115,IF(A115='Données projet'!$A$192,'Données projet'!$B$192,EJ114+EI115-ER114)))</f>
        <v>110.12166666666664</v>
      </c>
      <c r="EK115" s="18">
        <f>EJ115*VLOOKUP('Données projet'!$B$15,Paramètres!$A$1:$I$89,3,0)*VLOOKUP('Données projet'!$B$15,Paramètres!$A$1:$I$89,5,0)</f>
        <v>126.86015999999996</v>
      </c>
      <c r="EL115" s="14">
        <f t="shared" si="99"/>
        <v>33.269805353558191</v>
      </c>
      <c r="EM115" s="22">
        <f t="shared" si="73"/>
        <v>278.89302299078042</v>
      </c>
      <c r="EN115" s="62">
        <f t="shared" si="74"/>
        <v>572.22635632411379</v>
      </c>
      <c r="EO115" s="62">
        <f ca="1">AVERAGE(OFFSET($EN$3,0,0,'Données projet'!$E$15+1,1))-AVERAGE(OFFSET($H$3,0,0,'Données projet'!$E$15+1,1))</f>
        <v>118.01099353898547</v>
      </c>
      <c r="EP115" s="62">
        <f t="shared" si="100"/>
        <v>103.17146760845947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3.7</v>
      </c>
      <c r="FE115" s="13">
        <f>IF('Données projet'!$A$218&gt;35,FE114+FD115-FM114,IF(A115&lt;'Données projet'!$A$218,$FB$205^A115,IF(A115='Données projet'!$A$218,'Données projet'!$B$218,FE114+FD115-FM114)))</f>
        <v>273.39999999999958</v>
      </c>
      <c r="FF115" s="18">
        <f>FE115*VLOOKUP('Données projet'!$B$16,Paramètres!$A$1:$I$89,3,0)*VLOOKUP('Données projet'!$B$16,Paramètres!$A$1:$I$89,5,0)</f>
        <v>272.9625599999996</v>
      </c>
      <c r="FG115" s="14">
        <f t="shared" si="101"/>
        <v>65.477599415179213</v>
      </c>
      <c r="FH115" s="22">
        <f t="shared" si="76"/>
        <v>589.44994431476971</v>
      </c>
      <c r="FI115" s="62">
        <f t="shared" si="77"/>
        <v>882.78327764810297</v>
      </c>
      <c r="FJ115" s="62">
        <f ca="1">AVERAGE(OFFSET($FI$3,0,0,'Données projet'!$E$16+1,1))-AVERAGE(OFFSET($H$3,0,0,'Données projet'!$E$16+1,1))</f>
        <v>343.71044073996887</v>
      </c>
      <c r="FK115" s="62">
        <f t="shared" si="102"/>
        <v>193.51732627292375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3.7</v>
      </c>
      <c r="N116" s="14">
        <f>IF('Données projet'!$A$36&gt;35,N115+M116-V115,IF(A116&lt;'Données projet'!$A$36,$K$205^A116,IF(A116='Données projet'!$A$36,'Données projet'!$B$36,N115+M116-V115)))</f>
        <v>277.09999999999957</v>
      </c>
      <c r="O116" s="14">
        <f>N116*VLOOKUP('Données projet'!$B$9,Paramètres!$A$1:$I$89,3,0)*VLOOKUP('Données projet'!$B$9,Paramètres!$A$1:$I$89,5,0)</f>
        <v>250.7200799999996</v>
      </c>
      <c r="P116" s="14">
        <f t="shared" si="87"/>
        <v>60.740109326032709</v>
      </c>
      <c r="Q116" s="22">
        <f t="shared" si="107"/>
        <v>542.45982974283959</v>
      </c>
      <c r="R116" s="62">
        <f t="shared" si="55"/>
        <v>835.79316307617296</v>
      </c>
      <c r="S116" s="62">
        <f ca="1">AVERAGE(OFFSET($R$3,0,0,'Données projet'!$E$9+1,1))-AVERAGE(OFFSET($H$3,0,0,'Données projet'!$E$9+1,1))</f>
        <v>303.73499739059076</v>
      </c>
      <c r="T116" s="62">
        <f t="shared" si="88"/>
        <v>172.32171001882188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-2.2737367544323206E-13</v>
      </c>
      <c r="AJ116" s="14">
        <f>AI116*VLOOKUP('Données projet'!$B$10,Paramètres!$A$1:$I$89,3,0)*VLOOKUP('Données projet'!$B$10,Paramètres!$A$1:$I$89,5,0)</f>
        <v>-1.6671037883497774E-13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215.66498680344858</v>
      </c>
      <c r="AO116" s="62">
        <f t="shared" si="90"/>
        <v>199.86715787211114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-5.6843418860808015E-14</v>
      </c>
      <c r="BE116" s="14">
        <f>BD116*VLOOKUP('Données projet'!$B$11,Paramètres!$A$1:$I$89,3,0)*VLOOKUP('Données projet'!$B$11,Paramètres!$A$1:$I$89,5,0)</f>
        <v>-3.3992364478763198E-14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155.11440101086782</v>
      </c>
      <c r="BJ116" s="62">
        <f t="shared" si="92"/>
        <v>239.53454701506638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2.608224084690367</v>
      </c>
      <c r="BQ116" s="23">
        <f>EXP(-LN(2)/25)*BQ115+(1-EXP(-LN(2)/25))/(LN(2)/25)*Calculateur!BL116*Calculateur!BN116*VLOOKUP('Données projet'!$B$11,Paramètres!$A$1:$I$89,3,0)*0.475*44/12</f>
        <v>0.72517217013078228</v>
      </c>
      <c r="BR116" s="23">
        <f>EXP(-LN(2)/2)*BR115+(1-EXP(-LN(2)/2))/(LN(2)/2)*BL116*BO116*VLOOKUP('Données projet'!$B$11,Paramètres!$A$1:$I$89,3,0)*0.475*44/12</f>
        <v>9.4824720036473003E-13</v>
      </c>
      <c r="BS116" s="24">
        <f t="shared" si="63"/>
        <v>3.3333962548220977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-5.6843418860808015E-14</v>
      </c>
      <c r="BZ116" s="14">
        <f>BY116*VLOOKUP('Données projet'!$B$12,Paramètres!$A$1:$I$89,3,0)*VLOOKUP('Données projet'!$B$12,Paramètres!$A$1:$I$89,5,0)</f>
        <v>-3.3992364478763198E-14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155.11440101086782</v>
      </c>
      <c r="CE116" s="62">
        <f t="shared" si="94"/>
        <v>239.53454701506638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2.608224084690367</v>
      </c>
      <c r="CL116" s="23">
        <f>EXP(-LN(2)/25)*CL115+(1-EXP(-LN(2)/25))/(LN(2)/25)*Calculateur!CG116*Calculateur!CI116*VLOOKUP('Données projet'!$B$12,Paramètres!$A$1:$I$89,3,0)*0.475*44/12</f>
        <v>0.72517217013078228</v>
      </c>
      <c r="CM116" s="23">
        <f>EXP(-LN(2)/2)*CM115+(1-EXP(-LN(2)/2))/(LN(2)/2)*CG116*CJ116*VLOOKUP('Données projet'!$B$12,Paramètres!$A$1:$I$89,3,0)*0.475*44/12</f>
        <v>9.4824720036473003E-13</v>
      </c>
      <c r="CN116" s="24">
        <f t="shared" si="66"/>
        <v>3.3333962548220977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-1.1368683772161603E-13</v>
      </c>
      <c r="CU116" s="18">
        <f>CT116*VLOOKUP('Données projet'!$B$13,Paramètres!$A$1:$I$89,3,0)*VLOOKUP('Données projet'!$B$13,Paramètres!$A$1:$I$89,5,0)</f>
        <v>-9.2222762759774927E-14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191.03017979797141</v>
      </c>
      <c r="CZ116" s="62">
        <f t="shared" si="96"/>
        <v>222.78252111624278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2.8846153846153841</v>
      </c>
      <c r="DO116" s="13">
        <f>IF('Données projet'!$A$166&gt;35,DO115+DN116-DW115,IF(A116&lt;'Données projet'!$A$166,$DL$205^A116,IF(A116='Données projet'!$A$166,'Données projet'!$B$166,DO115+DN116-DW115)))</f>
        <v>261.85897435897442</v>
      </c>
      <c r="DP116" s="18">
        <f>DO116*VLOOKUP('Données projet'!$B$14,Paramètres!$A$1:$I$89,3,0)*VLOOKUP('Données projet'!$B$14,Paramètres!$A$1:$I$89,5,0)</f>
        <v>249.18500000000006</v>
      </c>
      <c r="DQ116" s="14">
        <f t="shared" si="97"/>
        <v>60.411387716360778</v>
      </c>
      <c r="DR116" s="22">
        <f t="shared" si="70"/>
        <v>539.21370860599507</v>
      </c>
      <c r="DS116" s="62">
        <f t="shared" si="71"/>
        <v>832.54704193932844</v>
      </c>
      <c r="DT116" s="62">
        <f ca="1">AVERAGE(OFFSET($DS$3,0,0,'Données projet'!$E$14+1,1))-AVERAGE(OFFSET($H$3,0,0,'Données projet'!$E$14+1,1))</f>
        <v>260.93525280373063</v>
      </c>
      <c r="DU116" s="62">
        <f t="shared" si="98"/>
        <v>206.83968452163816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1.3150000000000006</v>
      </c>
      <c r="EJ116" s="13">
        <f>IF('Données projet'!$A$192&gt;35,EJ115+EI116-ER115,IF(A116&lt;'Données projet'!$A$192,$EG$205^A116,IF(A116='Données projet'!$A$192,'Données projet'!$B$192,EJ115+EI116-ER115)))</f>
        <v>111.43666666666664</v>
      </c>
      <c r="EK116" s="18">
        <f>EJ116*VLOOKUP('Données projet'!$B$15,Paramètres!$A$1:$I$89,3,0)*VLOOKUP('Données projet'!$B$15,Paramètres!$A$1:$I$89,5,0)</f>
        <v>128.37503999999996</v>
      </c>
      <c r="EL116" s="14">
        <f t="shared" si="99"/>
        <v>33.6206043519106</v>
      </c>
      <c r="EM116" s="22">
        <f t="shared" si="73"/>
        <v>282.14241391291085</v>
      </c>
      <c r="EN116" s="62">
        <f t="shared" si="74"/>
        <v>575.47574724624417</v>
      </c>
      <c r="EO116" s="62">
        <f ca="1">AVERAGE(OFFSET($EN$3,0,0,'Données projet'!$E$15+1,1))-AVERAGE(OFFSET($H$3,0,0,'Données projet'!$E$15+1,1))</f>
        <v>118.01099353898547</v>
      </c>
      <c r="EP116" s="62">
        <f t="shared" si="100"/>
        <v>103.17146760845947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3.7</v>
      </c>
      <c r="FE116" s="13">
        <f>IF('Données projet'!$A$218&gt;35,FE115+FD116-FM115,IF(A116&lt;'Données projet'!$A$218,$FB$205^A116,IF(A116='Données projet'!$A$218,'Données projet'!$B$218,FE115+FD116-FM115)))</f>
        <v>277.09999999999957</v>
      </c>
      <c r="FF116" s="18">
        <f>FE116*VLOOKUP('Données projet'!$B$16,Paramètres!$A$1:$I$89,3,0)*VLOOKUP('Données projet'!$B$16,Paramètres!$A$1:$I$89,5,0)</f>
        <v>276.65663999999958</v>
      </c>
      <c r="FG116" s="14">
        <f t="shared" si="101"/>
        <v>66.259967597793192</v>
      </c>
      <c r="FH116" s="22">
        <f t="shared" si="76"/>
        <v>597.24642489948906</v>
      </c>
      <c r="FI116" s="62">
        <f t="shared" si="77"/>
        <v>890.57975823282231</v>
      </c>
      <c r="FJ116" s="62">
        <f ca="1">AVERAGE(OFFSET($FI$3,0,0,'Données projet'!$E$16+1,1))-AVERAGE(OFFSET($H$3,0,0,'Données projet'!$E$16+1,1))</f>
        <v>343.71044073996887</v>
      </c>
      <c r="FK116" s="62">
        <f t="shared" si="102"/>
        <v>193.51732627292375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3.7</v>
      </c>
      <c r="N117" s="14">
        <f>IF('Données projet'!$A$36&gt;35,N116+M117-V116,IF(A117&lt;'Données projet'!$A$36,$K$205^A117,IF(A117='Données projet'!$A$36,'Données projet'!$B$36,N116+M117-V116)))</f>
        <v>280.79999999999956</v>
      </c>
      <c r="O117" s="14">
        <f>N117*VLOOKUP('Données projet'!$B$9,Paramètres!$A$1:$I$89,3,0)*VLOOKUP('Données projet'!$B$9,Paramètres!$A$1:$I$89,5,0)</f>
        <v>254.06783999999956</v>
      </c>
      <c r="P117" s="14">
        <f t="shared" si="87"/>
        <v>61.456187622750669</v>
      </c>
      <c r="Q117" s="22">
        <f t="shared" si="107"/>
        <v>549.53768144295657</v>
      </c>
      <c r="R117" s="62">
        <f t="shared" si="55"/>
        <v>842.87101477628994</v>
      </c>
      <c r="S117" s="62">
        <f ca="1">AVERAGE(OFFSET($R$3,0,0,'Données projet'!$E$9+1,1))-AVERAGE(OFFSET($H$3,0,0,'Données projet'!$E$9+1,1))</f>
        <v>303.73499739059076</v>
      </c>
      <c r="T117" s="62">
        <f t="shared" si="88"/>
        <v>172.32171001882188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-2.2737367544323206E-13</v>
      </c>
      <c r="AJ117" s="14">
        <f>AI117*VLOOKUP('Données projet'!$B$10,Paramètres!$A$1:$I$89,3,0)*VLOOKUP('Données projet'!$B$10,Paramètres!$A$1:$I$89,5,0)</f>
        <v>-1.6671037883497774E-13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215.66498680344858</v>
      </c>
      <c r="AO117" s="62">
        <f t="shared" si="90"/>
        <v>199.86715787211114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-5.6843418860808015E-14</v>
      </c>
      <c r="BE117" s="14">
        <f>BD117*VLOOKUP('Données projet'!$B$11,Paramètres!$A$1:$I$89,3,0)*VLOOKUP('Données projet'!$B$11,Paramètres!$A$1:$I$89,5,0)</f>
        <v>-3.3992364478763198E-14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155.11440101086782</v>
      </c>
      <c r="BJ117" s="62">
        <f t="shared" si="92"/>
        <v>239.53454701506638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2.5570784012491963</v>
      </c>
      <c r="BQ117" s="23">
        <f>EXP(-LN(2)/25)*BQ116+(1-EXP(-LN(2)/25))/(LN(2)/25)*Calculateur!BL117*Calculateur!BN117*VLOOKUP('Données projet'!$B$11,Paramètres!$A$1:$I$89,3,0)*0.475*44/12</f>
        <v>0.70534229900340906</v>
      </c>
      <c r="BR117" s="23">
        <f>EXP(-LN(2)/2)*BR116+(1-EXP(-LN(2)/2))/(LN(2)/2)*BL117*BO117*VLOOKUP('Données projet'!$B$11,Paramètres!$A$1:$I$89,3,0)*0.475*44/12</f>
        <v>6.7051202561905946E-13</v>
      </c>
      <c r="BS117" s="24">
        <f t="shared" si="63"/>
        <v>3.2624207002532759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-5.6843418860808015E-14</v>
      </c>
      <c r="BZ117" s="14">
        <f>BY117*VLOOKUP('Données projet'!$B$12,Paramètres!$A$1:$I$89,3,0)*VLOOKUP('Données projet'!$B$12,Paramètres!$A$1:$I$89,5,0)</f>
        <v>-3.3992364478763198E-14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155.11440101086782</v>
      </c>
      <c r="CE117" s="62">
        <f t="shared" si="94"/>
        <v>239.53454701506638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2.5570784012491963</v>
      </c>
      <c r="CL117" s="23">
        <f>EXP(-LN(2)/25)*CL116+(1-EXP(-LN(2)/25))/(LN(2)/25)*Calculateur!CG117*Calculateur!CI117*VLOOKUP('Données projet'!$B$12,Paramètres!$A$1:$I$89,3,0)*0.475*44/12</f>
        <v>0.70534229900340906</v>
      </c>
      <c r="CM117" s="23">
        <f>EXP(-LN(2)/2)*CM116+(1-EXP(-LN(2)/2))/(LN(2)/2)*CG117*CJ117*VLOOKUP('Données projet'!$B$12,Paramètres!$A$1:$I$89,3,0)*0.475*44/12</f>
        <v>6.7051202561905946E-13</v>
      </c>
      <c r="CN117" s="24">
        <f t="shared" si="66"/>
        <v>3.2624207002532759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-1.1368683772161603E-13</v>
      </c>
      <c r="CU117" s="18">
        <f>CT117*VLOOKUP('Données projet'!$B$13,Paramètres!$A$1:$I$89,3,0)*VLOOKUP('Données projet'!$B$13,Paramètres!$A$1:$I$89,5,0)</f>
        <v>-9.2222762759774927E-14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191.03017979797141</v>
      </c>
      <c r="CZ117" s="62">
        <f t="shared" si="96"/>
        <v>222.78252111624278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2.8846153846153841</v>
      </c>
      <c r="DO117" s="13">
        <f>IF('Données projet'!$A$166&gt;35,DO116+DN117-DW116,IF(A117&lt;'Données projet'!$A$166,$DL$205^A117,IF(A117='Données projet'!$A$166,'Données projet'!$B$166,DO116+DN117-DW116)))</f>
        <v>264.74358974358978</v>
      </c>
      <c r="DP117" s="18">
        <f>DO117*VLOOKUP('Données projet'!$B$14,Paramètres!$A$1:$I$89,3,0)*VLOOKUP('Données projet'!$B$14,Paramètres!$A$1:$I$89,5,0)</f>
        <v>251.93000000000004</v>
      </c>
      <c r="DQ117" s="14">
        <f t="shared" si="97"/>
        <v>60.999036147317533</v>
      </c>
      <c r="DR117" s="22">
        <f t="shared" si="70"/>
        <v>545.0180712899114</v>
      </c>
      <c r="DS117" s="62">
        <f t="shared" si="71"/>
        <v>838.35140462324466</v>
      </c>
      <c r="DT117" s="62">
        <f ca="1">AVERAGE(OFFSET($DS$3,0,0,'Données projet'!$E$14+1,1))-AVERAGE(OFFSET($H$3,0,0,'Données projet'!$E$14+1,1))</f>
        <v>260.93525280373063</v>
      </c>
      <c r="DU117" s="62">
        <f t="shared" si="98"/>
        <v>206.83968452163816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1.3150000000000006</v>
      </c>
      <c r="EJ117" s="13">
        <f>IF('Données projet'!$A$192&gt;35,EJ116+EI117-ER116,IF(A117&lt;'Données projet'!$A$192,$EG$205^A117,IF(A117='Données projet'!$A$192,'Données projet'!$B$192,EJ116+EI117-ER116)))</f>
        <v>112.75166666666664</v>
      </c>
      <c r="EK117" s="18">
        <f>EJ117*VLOOKUP('Données projet'!$B$15,Paramètres!$A$1:$I$89,3,0)*VLOOKUP('Données projet'!$B$15,Paramètres!$A$1:$I$89,5,0)</f>
        <v>129.88991999999996</v>
      </c>
      <c r="EL117" s="14">
        <f t="shared" si="99"/>
        <v>33.970921822434136</v>
      </c>
      <c r="EM117" s="22">
        <f t="shared" si="73"/>
        <v>285.39096617407273</v>
      </c>
      <c r="EN117" s="62">
        <f t="shared" si="74"/>
        <v>578.72429950740604</v>
      </c>
      <c r="EO117" s="62">
        <f ca="1">AVERAGE(OFFSET($EN$3,0,0,'Données projet'!$E$15+1,1))-AVERAGE(OFFSET($H$3,0,0,'Données projet'!$E$15+1,1))</f>
        <v>118.01099353898547</v>
      </c>
      <c r="EP117" s="62">
        <f t="shared" si="100"/>
        <v>103.17146760845947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3.7</v>
      </c>
      <c r="FE117" s="13">
        <f>IF('Données projet'!$A$218&gt;35,FE116+FD117-FM116,IF(A117&lt;'Données projet'!$A$218,$FB$205^A117,IF(A117='Données projet'!$A$218,'Données projet'!$B$218,FE116+FD117-FM116)))</f>
        <v>280.79999999999956</v>
      </c>
      <c r="FF117" s="18">
        <f>FE117*VLOOKUP('Données projet'!$B$16,Paramètres!$A$1:$I$89,3,0)*VLOOKUP('Données projet'!$B$16,Paramètres!$A$1:$I$89,5,0)</f>
        <v>280.35071999999957</v>
      </c>
      <c r="FG117" s="14">
        <f t="shared" si="101"/>
        <v>67.041120698511705</v>
      </c>
      <c r="FH117" s="22">
        <f t="shared" si="76"/>
        <v>605.04078921657378</v>
      </c>
      <c r="FI117" s="62">
        <f t="shared" si="77"/>
        <v>898.37412254990704</v>
      </c>
      <c r="FJ117" s="62">
        <f ca="1">AVERAGE(OFFSET($FI$3,0,0,'Données projet'!$E$16+1,1))-AVERAGE(OFFSET($H$3,0,0,'Données projet'!$E$16+1,1))</f>
        <v>343.71044073996887</v>
      </c>
      <c r="FK117" s="62">
        <f t="shared" si="102"/>
        <v>193.51732627292375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3.7</v>
      </c>
      <c r="N118" s="14">
        <f>IF('Données projet'!$A$36&gt;35,N117+M118-V117,IF(A118&lt;'Données projet'!$A$36,$K$205^A118,IF(A118='Données projet'!$A$36,'Données projet'!$B$36,N117+M118-V117)))</f>
        <v>284.49999999999955</v>
      </c>
      <c r="O118" s="14">
        <f>N118*VLOOKUP('Données projet'!$B$9,Paramètres!$A$1:$I$89,3,0)*VLOOKUP('Données projet'!$B$9,Paramètres!$A$1:$I$89,5,0)</f>
        <v>257.41559999999959</v>
      </c>
      <c r="P118" s="14">
        <f t="shared" si="87"/>
        <v>62.171168434977062</v>
      </c>
      <c r="Q118" s="22">
        <f t="shared" si="107"/>
        <v>556.61362169091774</v>
      </c>
      <c r="R118" s="62">
        <f t="shared" si="55"/>
        <v>849.94695502425111</v>
      </c>
      <c r="S118" s="62">
        <f ca="1">AVERAGE(OFFSET($R$3,0,0,'Données projet'!$E$9+1,1))-AVERAGE(OFFSET($H$3,0,0,'Données projet'!$E$9+1,1))</f>
        <v>303.73499739059076</v>
      </c>
      <c r="T118" s="62">
        <f t="shared" si="88"/>
        <v>172.32171001882188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-2.2737367544323206E-13</v>
      </c>
      <c r="AJ118" s="14">
        <f>AI118*VLOOKUP('Données projet'!$B$10,Paramètres!$A$1:$I$89,3,0)*VLOOKUP('Données projet'!$B$10,Paramètres!$A$1:$I$89,5,0)</f>
        <v>-1.6671037883497774E-13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215.66498680344858</v>
      </c>
      <c r="AO118" s="62">
        <f t="shared" si="90"/>
        <v>199.86715787211114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-5.6843418860808015E-14</v>
      </c>
      <c r="BE118" s="14">
        <f>BD118*VLOOKUP('Données projet'!$B$11,Paramètres!$A$1:$I$89,3,0)*VLOOKUP('Données projet'!$B$11,Paramètres!$A$1:$I$89,5,0)</f>
        <v>-3.3992364478763198E-14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155.11440101086782</v>
      </c>
      <c r="BJ118" s="62">
        <f t="shared" si="92"/>
        <v>239.53454701506638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2.5069356534645202</v>
      </c>
      <c r="BQ118" s="23">
        <f>EXP(-LN(2)/25)*BQ117+(1-EXP(-LN(2)/25))/(LN(2)/25)*Calculateur!BL118*Calculateur!BN118*VLOOKUP('Données projet'!$B$11,Paramètres!$A$1:$I$89,3,0)*0.475*44/12</f>
        <v>0.68605467674482146</v>
      </c>
      <c r="BR118" s="23">
        <f>EXP(-LN(2)/2)*BR117+(1-EXP(-LN(2)/2))/(LN(2)/2)*BL118*BO118*VLOOKUP('Données projet'!$B$11,Paramètres!$A$1:$I$89,3,0)*0.475*44/12</f>
        <v>4.7412360018236501E-13</v>
      </c>
      <c r="BS118" s="24">
        <f t="shared" si="63"/>
        <v>3.1929903302098159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-5.6843418860808015E-14</v>
      </c>
      <c r="BZ118" s="14">
        <f>BY118*VLOOKUP('Données projet'!$B$12,Paramètres!$A$1:$I$89,3,0)*VLOOKUP('Données projet'!$B$12,Paramètres!$A$1:$I$89,5,0)</f>
        <v>-3.3992364478763198E-14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155.11440101086782</v>
      </c>
      <c r="CE118" s="62">
        <f t="shared" si="94"/>
        <v>239.53454701506638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2.5069356534645202</v>
      </c>
      <c r="CL118" s="23">
        <f>EXP(-LN(2)/25)*CL117+(1-EXP(-LN(2)/25))/(LN(2)/25)*Calculateur!CG118*Calculateur!CI118*VLOOKUP('Données projet'!$B$12,Paramètres!$A$1:$I$89,3,0)*0.475*44/12</f>
        <v>0.68605467674482146</v>
      </c>
      <c r="CM118" s="23">
        <f>EXP(-LN(2)/2)*CM117+(1-EXP(-LN(2)/2))/(LN(2)/2)*CG118*CJ118*VLOOKUP('Données projet'!$B$12,Paramètres!$A$1:$I$89,3,0)*0.475*44/12</f>
        <v>4.7412360018236501E-13</v>
      </c>
      <c r="CN118" s="24">
        <f t="shared" si="66"/>
        <v>3.1929903302098159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-1.1368683772161603E-13</v>
      </c>
      <c r="CU118" s="18">
        <f>CT118*VLOOKUP('Données projet'!$B$13,Paramètres!$A$1:$I$89,3,0)*VLOOKUP('Données projet'!$B$13,Paramètres!$A$1:$I$89,5,0)</f>
        <v>-9.2222762759774927E-14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191.03017979797141</v>
      </c>
      <c r="CZ118" s="62">
        <f t="shared" si="96"/>
        <v>222.78252111624278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2.8846153846153841</v>
      </c>
      <c r="DO118" s="13">
        <f>IF('Données projet'!$A$166&gt;35,DO117+DN118-DW117,IF(A118&lt;'Données projet'!$A$166,$DL$205^A118,IF(A118='Données projet'!$A$166,'Données projet'!$B$166,DO117+DN118-DW117)))</f>
        <v>267.62820512820514</v>
      </c>
      <c r="DP118" s="18">
        <f>DO118*VLOOKUP('Données projet'!$B$14,Paramètres!$A$1:$I$89,3,0)*VLOOKUP('Données projet'!$B$14,Paramètres!$A$1:$I$89,5,0)</f>
        <v>254.67500000000001</v>
      </c>
      <c r="DQ118" s="14">
        <f t="shared" si="97"/>
        <v>61.585939731850885</v>
      </c>
      <c r="DR118" s="22">
        <f t="shared" si="70"/>
        <v>550.82113669964031</v>
      </c>
      <c r="DS118" s="62">
        <f t="shared" si="71"/>
        <v>844.15447003297368</v>
      </c>
      <c r="DT118" s="62">
        <f ca="1">AVERAGE(OFFSET($DS$3,0,0,'Données projet'!$E$14+1,1))-AVERAGE(OFFSET($H$3,0,0,'Données projet'!$E$14+1,1))</f>
        <v>260.93525280373063</v>
      </c>
      <c r="DU118" s="62">
        <f t="shared" si="98"/>
        <v>206.83968452163816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1.3150000000000006</v>
      </c>
      <c r="EJ118" s="13">
        <f>IF('Données projet'!$A$192&gt;35,EJ117+EI118-ER117,IF(A118&lt;'Données projet'!$A$192,$EG$205^A118,IF(A118='Données projet'!$A$192,'Données projet'!$B$192,EJ117+EI118-ER117)))</f>
        <v>114.06666666666663</v>
      </c>
      <c r="EK118" s="18">
        <f>EJ118*VLOOKUP('Données projet'!$B$15,Paramètres!$A$1:$I$89,3,0)*VLOOKUP('Données projet'!$B$15,Paramètres!$A$1:$I$89,5,0)</f>
        <v>131.40479999999994</v>
      </c>
      <c r="EL118" s="14">
        <f t="shared" si="99"/>
        <v>34.320764030820762</v>
      </c>
      <c r="EM118" s="22">
        <f t="shared" si="73"/>
        <v>288.63869068701268</v>
      </c>
      <c r="EN118" s="62">
        <f t="shared" si="74"/>
        <v>581.972024020346</v>
      </c>
      <c r="EO118" s="62">
        <f ca="1">AVERAGE(OFFSET($EN$3,0,0,'Données projet'!$E$15+1,1))-AVERAGE(OFFSET($H$3,0,0,'Données projet'!$E$15+1,1))</f>
        <v>118.01099353898547</v>
      </c>
      <c r="EP118" s="62">
        <f t="shared" si="100"/>
        <v>103.17146760845947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3.7</v>
      </c>
      <c r="FE118" s="13">
        <f>IF('Données projet'!$A$218&gt;35,FE117+FD118-FM117,IF(A118&lt;'Données projet'!$A$218,$FB$205^A118,IF(A118='Données projet'!$A$218,'Données projet'!$B$218,FE117+FD118-FM117)))</f>
        <v>284.49999999999955</v>
      </c>
      <c r="FF118" s="18">
        <f>FE118*VLOOKUP('Données projet'!$B$16,Paramètres!$A$1:$I$89,3,0)*VLOOKUP('Données projet'!$B$16,Paramètres!$A$1:$I$89,5,0)</f>
        <v>284.04479999999955</v>
      </c>
      <c r="FG118" s="14">
        <f t="shared" si="101"/>
        <v>67.821076579013564</v>
      </c>
      <c r="FH118" s="22">
        <f t="shared" si="76"/>
        <v>612.83306837511452</v>
      </c>
      <c r="FI118" s="62">
        <f t="shared" si="77"/>
        <v>906.16640170844789</v>
      </c>
      <c r="FJ118" s="62">
        <f ca="1">AVERAGE(OFFSET($FI$3,0,0,'Données projet'!$E$16+1,1))-AVERAGE(OFFSET($H$3,0,0,'Données projet'!$E$16+1,1))</f>
        <v>343.71044073996887</v>
      </c>
      <c r="FK118" s="62">
        <f t="shared" si="102"/>
        <v>193.51732627292375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3.7</v>
      </c>
      <c r="N119" s="14">
        <f>IF('Données projet'!$A$36&gt;35,N118+M119-V118,IF(A119&lt;'Données projet'!$A$36,$K$205^A119,IF(A119='Données projet'!$A$36,'Données projet'!$B$36,N118+M119-V118)))</f>
        <v>288.19999999999953</v>
      </c>
      <c r="O119" s="14">
        <f>N119*VLOOKUP('Données projet'!$B$9,Paramètres!$A$1:$I$89,3,0)*VLOOKUP('Données projet'!$B$9,Paramètres!$A$1:$I$89,5,0)</f>
        <v>260.76335999999958</v>
      </c>
      <c r="P119" s="14">
        <f t="shared" si="87"/>
        <v>62.885067686031896</v>
      </c>
      <c r="Q119" s="22">
        <f t="shared" si="107"/>
        <v>563.68767821983818</v>
      </c>
      <c r="R119" s="62">
        <f t="shared" si="55"/>
        <v>857.02101155317155</v>
      </c>
      <c r="S119" s="62">
        <f ca="1">AVERAGE(OFFSET($R$3,0,0,'Données projet'!$E$9+1,1))-AVERAGE(OFFSET($H$3,0,0,'Données projet'!$E$9+1,1))</f>
        <v>303.73499739059076</v>
      </c>
      <c r="T119" s="62">
        <f t="shared" si="88"/>
        <v>172.32171001882188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-2.2737367544323206E-13</v>
      </c>
      <c r="AJ119" s="14">
        <f>AI119*VLOOKUP('Données projet'!$B$10,Paramètres!$A$1:$I$89,3,0)*VLOOKUP('Données projet'!$B$10,Paramètres!$A$1:$I$89,5,0)</f>
        <v>-1.6671037883497774E-13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215.66498680344858</v>
      </c>
      <c r="AO119" s="62">
        <f t="shared" si="90"/>
        <v>199.86715787211114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-5.6843418860808015E-14</v>
      </c>
      <c r="BE119" s="14">
        <f>BD119*VLOOKUP('Données projet'!$B$11,Paramètres!$A$1:$I$89,3,0)*VLOOKUP('Données projet'!$B$11,Paramètres!$A$1:$I$89,5,0)</f>
        <v>-3.3992364478763198E-14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155.11440101086782</v>
      </c>
      <c r="BJ119" s="62">
        <f t="shared" si="92"/>
        <v>239.53454701506638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2.4577761743798456</v>
      </c>
      <c r="BQ119" s="23">
        <f>EXP(-LN(2)/25)*BQ118+(1-EXP(-LN(2)/25))/(LN(2)/25)*Calculateur!BL119*Calculateur!BN119*VLOOKUP('Données projet'!$B$11,Paramètres!$A$1:$I$89,3,0)*0.475*44/12</f>
        <v>0.66729447553118681</v>
      </c>
      <c r="BR119" s="23">
        <f>EXP(-LN(2)/2)*BR118+(1-EXP(-LN(2)/2))/(LN(2)/2)*BL119*BO119*VLOOKUP('Données projet'!$B$11,Paramètres!$A$1:$I$89,3,0)*0.475*44/12</f>
        <v>3.3525601280952973E-13</v>
      </c>
      <c r="BS119" s="24">
        <f t="shared" si="63"/>
        <v>3.1250706499113678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-5.6843418860808015E-14</v>
      </c>
      <c r="BZ119" s="14">
        <f>BY119*VLOOKUP('Données projet'!$B$12,Paramètres!$A$1:$I$89,3,0)*VLOOKUP('Données projet'!$B$12,Paramètres!$A$1:$I$89,5,0)</f>
        <v>-3.3992364478763198E-14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155.11440101086782</v>
      </c>
      <c r="CE119" s="62">
        <f t="shared" si="94"/>
        <v>239.53454701506638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2.4577761743798456</v>
      </c>
      <c r="CL119" s="23">
        <f>EXP(-LN(2)/25)*CL118+(1-EXP(-LN(2)/25))/(LN(2)/25)*Calculateur!CG119*Calculateur!CI119*VLOOKUP('Données projet'!$B$12,Paramètres!$A$1:$I$89,3,0)*0.475*44/12</f>
        <v>0.66729447553118681</v>
      </c>
      <c r="CM119" s="23">
        <f>EXP(-LN(2)/2)*CM118+(1-EXP(-LN(2)/2))/(LN(2)/2)*CG119*CJ119*VLOOKUP('Données projet'!$B$12,Paramètres!$A$1:$I$89,3,0)*0.475*44/12</f>
        <v>3.3525601280952973E-13</v>
      </c>
      <c r="CN119" s="24">
        <f t="shared" si="66"/>
        <v>3.1250706499113678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-1.1368683772161603E-13</v>
      </c>
      <c r="CU119" s="18">
        <f>CT119*VLOOKUP('Données projet'!$B$13,Paramètres!$A$1:$I$89,3,0)*VLOOKUP('Données projet'!$B$13,Paramètres!$A$1:$I$89,5,0)</f>
        <v>-9.2222762759774927E-14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191.03017979797141</v>
      </c>
      <c r="CZ119" s="62">
        <f t="shared" si="96"/>
        <v>222.78252111624278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2.8846153846153841</v>
      </c>
      <c r="DO119" s="13">
        <f>IF('Données projet'!$A$166&gt;35,DO118+DN119-DW118,IF(A119&lt;'Données projet'!$A$166,$DL$205^A119,IF(A119='Données projet'!$A$166,'Données projet'!$B$166,DO118+DN119-DW118)))</f>
        <v>270.5128205128205</v>
      </c>
      <c r="DP119" s="18">
        <f>DO119*VLOOKUP('Données projet'!$B$14,Paramètres!$A$1:$I$89,3,0)*VLOOKUP('Données projet'!$B$14,Paramètres!$A$1:$I$89,5,0)</f>
        <v>257.41999999999996</v>
      </c>
      <c r="DQ119" s="14">
        <f t="shared" si="97"/>
        <v>62.172107427466436</v>
      </c>
      <c r="DR119" s="22">
        <f t="shared" si="70"/>
        <v>556.6229204361706</v>
      </c>
      <c r="DS119" s="62">
        <f t="shared" si="71"/>
        <v>849.95625376950397</v>
      </c>
      <c r="DT119" s="62">
        <f ca="1">AVERAGE(OFFSET($DS$3,0,0,'Données projet'!$E$14+1,1))-AVERAGE(OFFSET($H$3,0,0,'Données projet'!$E$14+1,1))</f>
        <v>260.93525280373063</v>
      </c>
      <c r="DU119" s="62">
        <f t="shared" si="98"/>
        <v>206.83968452163816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1.3150000000000006</v>
      </c>
      <c r="EJ119" s="13">
        <f>IF('Données projet'!$A$192&gt;35,EJ118+EI119-ER118,IF(A119&lt;'Données projet'!$A$192,$EG$205^A119,IF(A119='Données projet'!$A$192,'Données projet'!$B$192,EJ118+EI119-ER118)))</f>
        <v>115.38166666666663</v>
      </c>
      <c r="EK119" s="18">
        <f>EJ119*VLOOKUP('Données projet'!$B$15,Paramètres!$A$1:$I$89,3,0)*VLOOKUP('Données projet'!$B$15,Paramètres!$A$1:$I$89,5,0)</f>
        <v>132.91967999999994</v>
      </c>
      <c r="EL119" s="14">
        <f t="shared" si="99"/>
        <v>34.670137089980948</v>
      </c>
      <c r="EM119" s="22">
        <f t="shared" si="73"/>
        <v>291.88559809838341</v>
      </c>
      <c r="EN119" s="62">
        <f t="shared" si="74"/>
        <v>585.21893143171678</v>
      </c>
      <c r="EO119" s="62">
        <f ca="1">AVERAGE(OFFSET($EN$3,0,0,'Données projet'!$E$15+1,1))-AVERAGE(OFFSET($H$3,0,0,'Données projet'!$E$15+1,1))</f>
        <v>118.01099353898547</v>
      </c>
      <c r="EP119" s="62">
        <f t="shared" si="100"/>
        <v>103.17146760845947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3.7</v>
      </c>
      <c r="FE119" s="13">
        <f>IF('Données projet'!$A$218&gt;35,FE118+FD119-FM118,IF(A119&lt;'Données projet'!$A$218,$FB$205^A119,IF(A119='Données projet'!$A$218,'Données projet'!$B$218,FE118+FD119-FM118)))</f>
        <v>288.19999999999953</v>
      </c>
      <c r="FF119" s="18">
        <f>FE119*VLOOKUP('Données projet'!$B$16,Paramètres!$A$1:$I$89,3,0)*VLOOKUP('Données projet'!$B$16,Paramètres!$A$1:$I$89,5,0)</f>
        <v>287.73887999999954</v>
      </c>
      <c r="FG119" s="14">
        <f t="shared" si="101"/>
        <v>68.599852609676915</v>
      </c>
      <c r="FH119" s="22">
        <f t="shared" si="76"/>
        <v>620.62329262851983</v>
      </c>
      <c r="FI119" s="62">
        <f t="shared" si="77"/>
        <v>913.95662596185321</v>
      </c>
      <c r="FJ119" s="62">
        <f ca="1">AVERAGE(OFFSET($FI$3,0,0,'Données projet'!$E$16+1,1))-AVERAGE(OFFSET($H$3,0,0,'Données projet'!$E$16+1,1))</f>
        <v>343.71044073996887</v>
      </c>
      <c r="FK119" s="62">
        <f t="shared" si="102"/>
        <v>193.51732627292375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3.7</v>
      </c>
      <c r="N120" s="14">
        <f>IF('Données projet'!$A$36&gt;35,N119+M120-V119,IF(A120&lt;'Données projet'!$A$36,$K$205^A120,IF(A120='Données projet'!$A$36,'Données projet'!$B$36,N119+M120-V119)))</f>
        <v>291.89999999999952</v>
      </c>
      <c r="O120" s="14">
        <f>N120*VLOOKUP('Données projet'!$B$9,Paramètres!$A$1:$I$89,3,0)*VLOOKUP('Données projet'!$B$9,Paramètres!$A$1:$I$89,5,0)</f>
        <v>264.11111999999957</v>
      </c>
      <c r="P120" s="14">
        <f t="shared" si="87"/>
        <v>63.597900866870546</v>
      </c>
      <c r="Q120" s="22">
        <f t="shared" si="107"/>
        <v>570.75987800979885</v>
      </c>
      <c r="R120" s="62">
        <f t="shared" si="55"/>
        <v>864.09321134313223</v>
      </c>
      <c r="S120" s="62">
        <f ca="1">AVERAGE(OFFSET($R$3,0,0,'Données projet'!$E$9+1,1))-AVERAGE(OFFSET($H$3,0,0,'Données projet'!$E$9+1,1))</f>
        <v>303.73499739059076</v>
      </c>
      <c r="T120" s="62">
        <f t="shared" si="88"/>
        <v>172.32171001882188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-2.2737367544323206E-13</v>
      </c>
      <c r="AJ120" s="14">
        <f>AI120*VLOOKUP('Données projet'!$B$10,Paramètres!$A$1:$I$89,3,0)*VLOOKUP('Données projet'!$B$10,Paramètres!$A$1:$I$89,5,0)</f>
        <v>-1.6671037883497774E-13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215.66498680344858</v>
      </c>
      <c r="AO120" s="62">
        <f t="shared" si="90"/>
        <v>199.86715787211114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-5.6843418860808015E-14</v>
      </c>
      <c r="BE120" s="14">
        <f>BD120*VLOOKUP('Données projet'!$B$11,Paramètres!$A$1:$I$89,3,0)*VLOOKUP('Données projet'!$B$11,Paramètres!$A$1:$I$89,5,0)</f>
        <v>-3.3992364478763198E-14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155.11440101086782</v>
      </c>
      <c r="BJ120" s="62">
        <f t="shared" si="92"/>
        <v>239.53454701506638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2.4095806826957</v>
      </c>
      <c r="BQ120" s="23">
        <f>EXP(-LN(2)/25)*BQ119+(1-EXP(-LN(2)/25))/(LN(2)/25)*Calculateur!BL120*Calculateur!BN120*VLOOKUP('Données projet'!$B$11,Paramètres!$A$1:$I$89,3,0)*0.475*44/12</f>
        <v>0.64904727300629517</v>
      </c>
      <c r="BR120" s="23">
        <f>EXP(-LN(2)/2)*BR119+(1-EXP(-LN(2)/2))/(LN(2)/2)*BL120*BO120*VLOOKUP('Données projet'!$B$11,Paramètres!$A$1:$I$89,3,0)*0.475*44/12</f>
        <v>2.3706180009118251E-13</v>
      </c>
      <c r="BS120" s="24">
        <f t="shared" si="63"/>
        <v>3.0586279557022324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-5.6843418860808015E-14</v>
      </c>
      <c r="BZ120" s="14">
        <f>BY120*VLOOKUP('Données projet'!$B$12,Paramètres!$A$1:$I$89,3,0)*VLOOKUP('Données projet'!$B$12,Paramètres!$A$1:$I$89,5,0)</f>
        <v>-3.3992364478763198E-14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155.11440101086782</v>
      </c>
      <c r="CE120" s="62">
        <f t="shared" si="94"/>
        <v>239.53454701506638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2.4095806826957</v>
      </c>
      <c r="CL120" s="23">
        <f>EXP(-LN(2)/25)*CL119+(1-EXP(-LN(2)/25))/(LN(2)/25)*Calculateur!CG120*Calculateur!CI120*VLOOKUP('Données projet'!$B$12,Paramètres!$A$1:$I$89,3,0)*0.475*44/12</f>
        <v>0.64904727300629517</v>
      </c>
      <c r="CM120" s="23">
        <f>EXP(-LN(2)/2)*CM119+(1-EXP(-LN(2)/2))/(LN(2)/2)*CG120*CJ120*VLOOKUP('Données projet'!$B$12,Paramètres!$A$1:$I$89,3,0)*0.475*44/12</f>
        <v>2.3706180009118251E-13</v>
      </c>
      <c r="CN120" s="24">
        <f t="shared" si="66"/>
        <v>3.0586279557022324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-1.1368683772161603E-13</v>
      </c>
      <c r="CU120" s="18">
        <f>CT120*VLOOKUP('Données projet'!$B$13,Paramètres!$A$1:$I$89,3,0)*VLOOKUP('Données projet'!$B$13,Paramètres!$A$1:$I$89,5,0)</f>
        <v>-9.2222762759774927E-14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191.03017979797141</v>
      </c>
      <c r="CZ120" s="62">
        <f t="shared" si="96"/>
        <v>222.78252111624278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2.8846153846153841</v>
      </c>
      <c r="DO120" s="13">
        <f>IF('Données projet'!$A$166&gt;35,DO119+DN120-DW119,IF(A120&lt;'Données projet'!$A$166,$DL$205^A120,IF(A120='Données projet'!$A$166,'Données projet'!$B$166,DO119+DN120-DW119)))</f>
        <v>273.39743589743586</v>
      </c>
      <c r="DP120" s="18">
        <f>DO120*VLOOKUP('Données projet'!$B$14,Paramètres!$A$1:$I$89,3,0)*VLOOKUP('Données projet'!$B$14,Paramètres!$A$1:$I$89,5,0)</f>
        <v>260.16499999999996</v>
      </c>
      <c r="DQ120" s="14">
        <f t="shared" si="97"/>
        <v>62.757547989628748</v>
      </c>
      <c r="DR120" s="22">
        <f t="shared" si="70"/>
        <v>562.42343774860331</v>
      </c>
      <c r="DS120" s="62">
        <f t="shared" si="71"/>
        <v>855.75677108193668</v>
      </c>
      <c r="DT120" s="62">
        <f ca="1">AVERAGE(OFFSET($DS$3,0,0,'Données projet'!$E$14+1,1))-AVERAGE(OFFSET($H$3,0,0,'Données projet'!$E$14+1,1))</f>
        <v>260.93525280373063</v>
      </c>
      <c r="DU120" s="62">
        <f t="shared" si="98"/>
        <v>206.83968452163816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1.3150000000000006</v>
      </c>
      <c r="EJ120" s="13">
        <f>IF('Données projet'!$A$192&gt;35,EJ119+EI120-ER119,IF(A120&lt;'Données projet'!$A$192,$EG$205^A120,IF(A120='Données projet'!$A$192,'Données projet'!$B$192,EJ119+EI120-ER119)))</f>
        <v>116.69666666666663</v>
      </c>
      <c r="EK120" s="18">
        <f>EJ120*VLOOKUP('Données projet'!$B$15,Paramètres!$A$1:$I$89,3,0)*VLOOKUP('Données projet'!$B$15,Paramètres!$A$1:$I$89,5,0)</f>
        <v>134.43455999999995</v>
      </c>
      <c r="EL120" s="14">
        <f t="shared" si="99"/>
        <v>35.019046965466664</v>
      </c>
      <c r="EM120" s="22">
        <f t="shared" si="73"/>
        <v>295.13169879818764</v>
      </c>
      <c r="EN120" s="62">
        <f t="shared" si="74"/>
        <v>588.46503213152096</v>
      </c>
      <c r="EO120" s="62">
        <f ca="1">AVERAGE(OFFSET($EN$3,0,0,'Données projet'!$E$15+1,1))-AVERAGE(OFFSET($H$3,0,0,'Données projet'!$E$15+1,1))</f>
        <v>118.01099353898547</v>
      </c>
      <c r="EP120" s="62">
        <f t="shared" si="100"/>
        <v>103.17146760845947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3.7</v>
      </c>
      <c r="FE120" s="13">
        <f>IF('Données projet'!$A$218&gt;35,FE119+FD120-FM119,IF(A120&lt;'Données projet'!$A$218,$FB$205^A120,IF(A120='Données projet'!$A$218,'Données projet'!$B$218,FE119+FD120-FM119)))</f>
        <v>291.89999999999952</v>
      </c>
      <c r="FF120" s="18">
        <f>FE120*VLOOKUP('Données projet'!$B$16,Paramètres!$A$1:$I$89,3,0)*VLOOKUP('Données projet'!$B$16,Paramètres!$A$1:$I$89,5,0)</f>
        <v>291.43295999999953</v>
      </c>
      <c r="FG120" s="14">
        <f t="shared" si="101"/>
        <v>69.377465689223371</v>
      </c>
      <c r="FH120" s="22">
        <f t="shared" si="76"/>
        <v>628.41149140872983</v>
      </c>
      <c r="FI120" s="62">
        <f t="shared" si="77"/>
        <v>921.7448247420632</v>
      </c>
      <c r="FJ120" s="62">
        <f ca="1">AVERAGE(OFFSET($FI$3,0,0,'Données projet'!$E$16+1,1))-AVERAGE(OFFSET($H$3,0,0,'Données projet'!$E$16+1,1))</f>
        <v>343.71044073996887</v>
      </c>
      <c r="FK120" s="62">
        <f t="shared" si="102"/>
        <v>193.51732627292375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3.7</v>
      </c>
      <c r="N121" s="14">
        <f>IF('Données projet'!$A$36&gt;35,N120+M121-V120,IF(A121&lt;'Données projet'!$A$36,$K$205^A121,IF(A121='Données projet'!$A$36,'Données projet'!$B$36,N120+M121-V120)))</f>
        <v>295.59999999999951</v>
      </c>
      <c r="O121" s="14">
        <f>N121*VLOOKUP('Données projet'!$B$9,Paramètres!$A$1:$I$89,3,0)*VLOOKUP('Données projet'!$B$9,Paramètres!$A$1:$I$89,5,0)</f>
        <v>267.45887999999951</v>
      </c>
      <c r="P121" s="14">
        <f t="shared" si="87"/>
        <v>64.309683053152327</v>
      </c>
      <c r="Q121" s="22">
        <f t="shared" si="107"/>
        <v>577.8302473175728</v>
      </c>
      <c r="R121" s="62">
        <f t="shared" si="55"/>
        <v>871.16358065090617</v>
      </c>
      <c r="S121" s="62">
        <f ca="1">AVERAGE(OFFSET($R$3,0,0,'Données projet'!$E$9+1,1))-AVERAGE(OFFSET($H$3,0,0,'Données projet'!$E$9+1,1))</f>
        <v>303.73499739059076</v>
      </c>
      <c r="T121" s="62">
        <f t="shared" si="88"/>
        <v>172.32171001882188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-2.2737367544323206E-13</v>
      </c>
      <c r="AJ121" s="14">
        <f>AI121*VLOOKUP('Données projet'!$B$10,Paramètres!$A$1:$I$89,3,0)*VLOOKUP('Données projet'!$B$10,Paramètres!$A$1:$I$89,5,0)</f>
        <v>-1.6671037883497774E-13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215.66498680344858</v>
      </c>
      <c r="AO121" s="62">
        <f t="shared" si="90"/>
        <v>199.86715787211114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-5.6843418860808015E-14</v>
      </c>
      <c r="BE121" s="14">
        <f>BD121*VLOOKUP('Données projet'!$B$11,Paramètres!$A$1:$I$89,3,0)*VLOOKUP('Données projet'!$B$11,Paramètres!$A$1:$I$89,5,0)</f>
        <v>-3.3992364478763198E-14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155.11440101086782</v>
      </c>
      <c r="BJ121" s="62">
        <f t="shared" si="92"/>
        <v>239.53454701506638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2.3623302752071331</v>
      </c>
      <c r="BQ121" s="23">
        <f>EXP(-LN(2)/25)*BQ120+(1-EXP(-LN(2)/25))/(LN(2)/25)*Calculateur!BL121*Calculateur!BN121*VLOOKUP('Données projet'!$B$11,Paramètres!$A$1:$I$89,3,0)*0.475*44/12</f>
        <v>0.63129904119402536</v>
      </c>
      <c r="BR121" s="23">
        <f>EXP(-LN(2)/2)*BR120+(1-EXP(-LN(2)/2))/(LN(2)/2)*BL121*BO121*VLOOKUP('Données projet'!$B$11,Paramètres!$A$1:$I$89,3,0)*0.475*44/12</f>
        <v>1.6762800640476487E-13</v>
      </c>
      <c r="BS121" s="24">
        <f t="shared" si="63"/>
        <v>2.9936293164013259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-5.6843418860808015E-14</v>
      </c>
      <c r="BZ121" s="14">
        <f>BY121*VLOOKUP('Données projet'!$B$12,Paramètres!$A$1:$I$89,3,0)*VLOOKUP('Données projet'!$B$12,Paramètres!$A$1:$I$89,5,0)</f>
        <v>-3.3992364478763198E-14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155.11440101086782</v>
      </c>
      <c r="CE121" s="62">
        <f t="shared" si="94"/>
        <v>239.53454701506638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2.3623302752071331</v>
      </c>
      <c r="CL121" s="23">
        <f>EXP(-LN(2)/25)*CL120+(1-EXP(-LN(2)/25))/(LN(2)/25)*Calculateur!CG121*Calculateur!CI121*VLOOKUP('Données projet'!$B$12,Paramètres!$A$1:$I$89,3,0)*0.475*44/12</f>
        <v>0.63129904119402536</v>
      </c>
      <c r="CM121" s="23">
        <f>EXP(-LN(2)/2)*CM120+(1-EXP(-LN(2)/2))/(LN(2)/2)*CG121*CJ121*VLOOKUP('Données projet'!$B$12,Paramètres!$A$1:$I$89,3,0)*0.475*44/12</f>
        <v>1.6762800640476487E-13</v>
      </c>
      <c r="CN121" s="24">
        <f t="shared" si="66"/>
        <v>2.9936293164013259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-1.1368683772161603E-13</v>
      </c>
      <c r="CU121" s="18">
        <f>CT121*VLOOKUP('Données projet'!$B$13,Paramètres!$A$1:$I$89,3,0)*VLOOKUP('Données projet'!$B$13,Paramètres!$A$1:$I$89,5,0)</f>
        <v>-9.2222762759774927E-14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191.03017979797141</v>
      </c>
      <c r="CZ121" s="62">
        <f t="shared" si="96"/>
        <v>222.78252111624278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2.8846153846153841</v>
      </c>
      <c r="DO121" s="13">
        <f>IF('Données projet'!$A$166&gt;35,DO120+DN121-DW120,IF(A121&lt;'Données projet'!$A$166,$DL$205^A121,IF(A121='Données projet'!$A$166,'Données projet'!$B$166,DO120+DN121-DW120)))</f>
        <v>276.28205128205121</v>
      </c>
      <c r="DP121" s="18">
        <f>DO121*VLOOKUP('Données projet'!$B$14,Paramètres!$A$1:$I$89,3,0)*VLOOKUP('Données projet'!$B$14,Paramètres!$A$1:$I$89,5,0)</f>
        <v>262.90999999999997</v>
      </c>
      <c r="DQ121" s="14">
        <f t="shared" si="97"/>
        <v>63.342269978400836</v>
      </c>
      <c r="DR121" s="22">
        <f t="shared" si="70"/>
        <v>568.22270354571481</v>
      </c>
      <c r="DS121" s="62">
        <f t="shared" si="71"/>
        <v>861.55603687904818</v>
      </c>
      <c r="DT121" s="62">
        <f ca="1">AVERAGE(OFFSET($DS$3,0,0,'Données projet'!$E$14+1,1))-AVERAGE(OFFSET($H$3,0,0,'Données projet'!$E$14+1,1))</f>
        <v>260.93525280373063</v>
      </c>
      <c r="DU121" s="62">
        <f t="shared" si="98"/>
        <v>206.83968452163816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1.3150000000000006</v>
      </c>
      <c r="EJ121" s="13">
        <f>IF('Données projet'!$A$192&gt;35,EJ120+EI121-ER120,IF(A121&lt;'Données projet'!$A$192,$EG$205^A121,IF(A121='Données projet'!$A$192,'Données projet'!$B$192,EJ120+EI121-ER120)))</f>
        <v>118.01166666666663</v>
      </c>
      <c r="EK121" s="18">
        <f>EJ121*VLOOKUP('Données projet'!$B$15,Paramètres!$A$1:$I$89,3,0)*VLOOKUP('Données projet'!$B$15,Paramètres!$A$1:$I$89,5,0)</f>
        <v>135.94943999999995</v>
      </c>
      <c r="EL121" s="14">
        <f t="shared" si="99"/>
        <v>35.367499480643595</v>
      </c>
      <c r="EM121" s="22">
        <f t="shared" si="73"/>
        <v>298.37700292878753</v>
      </c>
      <c r="EN121" s="62">
        <f t="shared" si="74"/>
        <v>591.71033626212079</v>
      </c>
      <c r="EO121" s="62">
        <f ca="1">AVERAGE(OFFSET($EN$3,0,0,'Données projet'!$E$15+1,1))-AVERAGE(OFFSET($H$3,0,0,'Données projet'!$E$15+1,1))</f>
        <v>118.01099353898547</v>
      </c>
      <c r="EP121" s="62">
        <f t="shared" si="100"/>
        <v>103.17146760845947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3.7</v>
      </c>
      <c r="FE121" s="13">
        <f>IF('Données projet'!$A$218&gt;35,FE120+FD121-FM120,IF(A121&lt;'Données projet'!$A$218,$FB$205^A121,IF(A121='Données projet'!$A$218,'Données projet'!$B$218,FE120+FD121-FM120)))</f>
        <v>295.59999999999951</v>
      </c>
      <c r="FF121" s="18">
        <f>FE121*VLOOKUP('Données projet'!$B$16,Paramètres!$A$1:$I$89,3,0)*VLOOKUP('Données projet'!$B$16,Paramètres!$A$1:$I$89,5,0)</f>
        <v>295.12703999999951</v>
      </c>
      <c r="FG121" s="14">
        <f t="shared" si="101"/>
        <v>70.15393226333768</v>
      </c>
      <c r="FH121" s="22">
        <f t="shared" si="76"/>
        <v>636.19769335864555</v>
      </c>
      <c r="FI121" s="62">
        <f t="shared" si="77"/>
        <v>929.53102669197892</v>
      </c>
      <c r="FJ121" s="62">
        <f ca="1">AVERAGE(OFFSET($FI$3,0,0,'Données projet'!$E$16+1,1))-AVERAGE(OFFSET($H$3,0,0,'Données projet'!$E$16+1,1))</f>
        <v>343.71044073996887</v>
      </c>
      <c r="FK121" s="62">
        <f t="shared" si="102"/>
        <v>193.51732627292375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3.7</v>
      </c>
      <c r="N122" s="14">
        <f>IF('Données projet'!$A$36&gt;35,N121+M122-V121,IF(A122&lt;'Données projet'!$A$36,$K$205^A122,IF(A122='Données projet'!$A$36,'Données projet'!$B$36,N121+M122-V121)))</f>
        <v>299.2999999999995</v>
      </c>
      <c r="O122" s="14">
        <f>N122*VLOOKUP('Données projet'!$B$9,Paramètres!$A$1:$I$89,3,0)*VLOOKUP('Données projet'!$B$9,Paramètres!$A$1:$I$89,5,0)</f>
        <v>270.80663999999956</v>
      </c>
      <c r="P122" s="14">
        <f t="shared" si="87"/>
        <v>65.020428921429911</v>
      </c>
      <c r="Q122" s="22">
        <f t="shared" si="107"/>
        <v>584.89881170482306</v>
      </c>
      <c r="R122" s="62">
        <f t="shared" si="55"/>
        <v>878.23214503815643</v>
      </c>
      <c r="S122" s="62">
        <f ca="1">AVERAGE(OFFSET($R$3,0,0,'Données projet'!$E$9+1,1))-AVERAGE(OFFSET($H$3,0,0,'Données projet'!$E$9+1,1))</f>
        <v>303.73499739059076</v>
      </c>
      <c r="T122" s="62">
        <f t="shared" si="88"/>
        <v>172.32171001882188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-2.2737367544323206E-13</v>
      </c>
      <c r="AJ122" s="14">
        <f>AI122*VLOOKUP('Données projet'!$B$10,Paramètres!$A$1:$I$89,3,0)*VLOOKUP('Données projet'!$B$10,Paramètres!$A$1:$I$89,5,0)</f>
        <v>-1.6671037883497774E-13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215.66498680344858</v>
      </c>
      <c r="AO122" s="62">
        <f t="shared" si="90"/>
        <v>199.86715787211114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-5.6843418860808015E-14</v>
      </c>
      <c r="BE122" s="14">
        <f>BD122*VLOOKUP('Données projet'!$B$11,Paramètres!$A$1:$I$89,3,0)*VLOOKUP('Données projet'!$B$11,Paramètres!$A$1:$I$89,5,0)</f>
        <v>-3.3992364478763198E-14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155.11440101086782</v>
      </c>
      <c r="BJ122" s="62">
        <f t="shared" si="92"/>
        <v>239.53454701506638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2.316006419389514</v>
      </c>
      <c r="BQ122" s="23">
        <f>EXP(-LN(2)/25)*BQ121+(1-EXP(-LN(2)/25))/(LN(2)/25)*Calculateur!BL122*Calculateur!BN122*VLOOKUP('Données projet'!$B$11,Paramètres!$A$1:$I$89,3,0)*0.475*44/12</f>
        <v>0.61403613571400106</v>
      </c>
      <c r="BR122" s="23">
        <f>EXP(-LN(2)/2)*BR121+(1-EXP(-LN(2)/2))/(LN(2)/2)*BL122*BO122*VLOOKUP('Données projet'!$B$11,Paramètres!$A$1:$I$89,3,0)*0.475*44/12</f>
        <v>1.1853090004559125E-13</v>
      </c>
      <c r="BS122" s="24">
        <f t="shared" si="63"/>
        <v>2.9300425551036335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-5.6843418860808015E-14</v>
      </c>
      <c r="BZ122" s="14">
        <f>BY122*VLOOKUP('Données projet'!$B$12,Paramètres!$A$1:$I$89,3,0)*VLOOKUP('Données projet'!$B$12,Paramètres!$A$1:$I$89,5,0)</f>
        <v>-3.3992364478763198E-14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155.11440101086782</v>
      </c>
      <c r="CE122" s="62">
        <f t="shared" si="94"/>
        <v>239.53454701506638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2.316006419389514</v>
      </c>
      <c r="CL122" s="23">
        <f>EXP(-LN(2)/25)*CL121+(1-EXP(-LN(2)/25))/(LN(2)/25)*Calculateur!CG122*Calculateur!CI122*VLOOKUP('Données projet'!$B$12,Paramètres!$A$1:$I$89,3,0)*0.475*44/12</f>
        <v>0.61403613571400106</v>
      </c>
      <c r="CM122" s="23">
        <f>EXP(-LN(2)/2)*CM121+(1-EXP(-LN(2)/2))/(LN(2)/2)*CG122*CJ122*VLOOKUP('Données projet'!$B$12,Paramètres!$A$1:$I$89,3,0)*0.475*44/12</f>
        <v>1.1853090004559125E-13</v>
      </c>
      <c r="CN122" s="24">
        <f t="shared" si="66"/>
        <v>2.9300425551036335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-1.1368683772161603E-13</v>
      </c>
      <c r="CU122" s="18">
        <f>CT122*VLOOKUP('Données projet'!$B$13,Paramètres!$A$1:$I$89,3,0)*VLOOKUP('Données projet'!$B$13,Paramètres!$A$1:$I$89,5,0)</f>
        <v>-9.2222762759774927E-14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191.03017979797141</v>
      </c>
      <c r="CZ122" s="62">
        <f t="shared" si="96"/>
        <v>222.78252111624278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2.8846153846153841</v>
      </c>
      <c r="DO122" s="13">
        <f>IF('Données projet'!$A$166&gt;35,DO121+DN122-DW121,IF(A122&lt;'Données projet'!$A$166,$DL$205^A122,IF(A122='Données projet'!$A$166,'Données projet'!$B$166,DO121+DN122-DW121)))</f>
        <v>279.16666666666657</v>
      </c>
      <c r="DP122" s="18">
        <f>DO122*VLOOKUP('Données projet'!$B$14,Paramètres!$A$1:$I$89,3,0)*VLOOKUP('Données projet'!$B$14,Paramètres!$A$1:$I$89,5,0)</f>
        <v>265.65499999999992</v>
      </c>
      <c r="DQ122" s="14">
        <f t="shared" si="97"/>
        <v>63.926281764798937</v>
      </c>
      <c r="DR122" s="22">
        <f t="shared" si="70"/>
        <v>574.02073240702464</v>
      </c>
      <c r="DS122" s="62">
        <f t="shared" si="71"/>
        <v>867.35406574035801</v>
      </c>
      <c r="DT122" s="62">
        <f ca="1">AVERAGE(OFFSET($DS$3,0,0,'Données projet'!$E$14+1,1))-AVERAGE(OFFSET($H$3,0,0,'Données projet'!$E$14+1,1))</f>
        <v>260.93525280373063</v>
      </c>
      <c r="DU122" s="62">
        <f t="shared" si="98"/>
        <v>206.83968452163816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1.3150000000000006</v>
      </c>
      <c r="EJ122" s="13">
        <f>IF('Données projet'!$A$192&gt;35,EJ121+EI122-ER121,IF(A122&lt;'Données projet'!$A$192,$EG$205^A122,IF(A122='Données projet'!$A$192,'Données projet'!$B$192,EJ121+EI122-ER121)))</f>
        <v>119.32666666666663</v>
      </c>
      <c r="EK122" s="18">
        <f>EJ122*VLOOKUP('Données projet'!$B$15,Paramètres!$A$1:$I$89,3,0)*VLOOKUP('Données projet'!$B$15,Paramètres!$A$1:$I$89,5,0)</f>
        <v>137.46431999999996</v>
      </c>
      <c r="EL122" s="14">
        <f t="shared" si="99"/>
        <v>35.715500321625576</v>
      </c>
      <c r="EM122" s="22">
        <f t="shared" si="73"/>
        <v>301.6215203934978</v>
      </c>
      <c r="EN122" s="62">
        <f t="shared" si="74"/>
        <v>594.95485372683106</v>
      </c>
      <c r="EO122" s="62">
        <f ca="1">AVERAGE(OFFSET($EN$3,0,0,'Données projet'!$E$15+1,1))-AVERAGE(OFFSET($H$3,0,0,'Données projet'!$E$15+1,1))</f>
        <v>118.01099353898547</v>
      </c>
      <c r="EP122" s="62">
        <f t="shared" si="100"/>
        <v>103.17146760845947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3.7</v>
      </c>
      <c r="FE122" s="13">
        <f>IF('Données projet'!$A$218&gt;35,FE121+FD122-FM121,IF(A122&lt;'Données projet'!$A$218,$FB$205^A122,IF(A122='Données projet'!$A$218,'Données projet'!$B$218,FE121+FD122-FM121)))</f>
        <v>299.2999999999995</v>
      </c>
      <c r="FF122" s="18">
        <f>FE122*VLOOKUP('Données projet'!$B$16,Paramètres!$A$1:$I$89,3,0)*VLOOKUP('Données projet'!$B$16,Paramètres!$A$1:$I$89,5,0)</f>
        <v>298.8211199999995</v>
      </c>
      <c r="FG122" s="14">
        <f t="shared" si="101"/>
        <v>70.929268342328726</v>
      </c>
      <c r="FH122" s="22">
        <f t="shared" si="76"/>
        <v>643.98192636288832</v>
      </c>
      <c r="FI122" s="62">
        <f t="shared" si="77"/>
        <v>937.31525969622157</v>
      </c>
      <c r="FJ122" s="62">
        <f ca="1">AVERAGE(OFFSET($FI$3,0,0,'Données projet'!$E$16+1,1))-AVERAGE(OFFSET($H$3,0,0,'Données projet'!$E$16+1,1))</f>
        <v>343.71044073996887</v>
      </c>
      <c r="FK122" s="62">
        <f t="shared" si="102"/>
        <v>193.51732627292375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303</v>
      </c>
      <c r="L123" s="13">
        <f>VLOOKUP(A123,'Données projet'!$A$35:$I$55,9,0)</f>
        <v>3.7</v>
      </c>
      <c r="M123" s="13">
        <f t="array" ref="M123">INDEX(L:L,MIN(IF(ISNUMBER(L123:L319),ROW(L123:L319),"")))</f>
        <v>3.7</v>
      </c>
      <c r="N123" s="14">
        <f>IF('Données projet'!$A$36&gt;35,N122+M123-V122,IF(A123&lt;'Données projet'!$A$36,$K$205^A123,IF(A123='Données projet'!$A$36,'Données projet'!$B$36,N122+M123-V122)))</f>
        <v>302.99999999999949</v>
      </c>
      <c r="O123" s="14">
        <f>N123*VLOOKUP('Données projet'!$B$9,Paramètres!$A$1:$I$89,3,0)*VLOOKUP('Données projet'!$B$9,Paramètres!$A$1:$I$89,5,0)</f>
        <v>274.15439999999955</v>
      </c>
      <c r="P123" s="14">
        <f t="shared" si="87"/>
        <v>65.730152764515779</v>
      </c>
      <c r="Q123" s="22">
        <f t="shared" si="107"/>
        <v>591.96559606486414</v>
      </c>
      <c r="R123" s="62">
        <f t="shared" si="55"/>
        <v>885.29892939819752</v>
      </c>
      <c r="S123" s="62">
        <f ca="1">AVERAGE(OFFSET($R$3,0,0,'Données projet'!$E$9+1,1))-AVERAGE(OFFSET($H$3,0,0,'Données projet'!$E$9+1,1))</f>
        <v>303.73499739059076</v>
      </c>
      <c r="T123" s="62">
        <f t="shared" si="88"/>
        <v>172.32171001882188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35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-2.2737367544323206E-13</v>
      </c>
      <c r="AJ123" s="14">
        <f>AI123*VLOOKUP('Données projet'!$B$10,Paramètres!$A$1:$I$89,3,0)*VLOOKUP('Données projet'!$B$10,Paramètres!$A$1:$I$89,5,0)</f>
        <v>-1.6671037883497774E-13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215.66498680344858</v>
      </c>
      <c r="AO123" s="62">
        <f t="shared" si="90"/>
        <v>199.86715787211114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-5.6843418860808015E-14</v>
      </c>
      <c r="BE123" s="14">
        <f>BD123*VLOOKUP('Données projet'!$B$11,Paramètres!$A$1:$I$89,3,0)*VLOOKUP('Données projet'!$B$11,Paramètres!$A$1:$I$89,5,0)</f>
        <v>-3.3992364478763198E-14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155.11440101086782</v>
      </c>
      <c r="BJ123" s="62">
        <f t="shared" si="92"/>
        <v>239.53454701506638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2.2705909461297162</v>
      </c>
      <c r="BQ123" s="23">
        <f>EXP(-LN(2)/25)*BQ122+(1-EXP(-LN(2)/25))/(LN(2)/25)*Calculateur!BL123*Calculateur!BN123*VLOOKUP('Données projet'!$B$11,Paramètres!$A$1:$I$89,3,0)*0.475*44/12</f>
        <v>0.59724528529214471</v>
      </c>
      <c r="BR123" s="23">
        <f>EXP(-LN(2)/2)*BR122+(1-EXP(-LN(2)/2))/(LN(2)/2)*BL123*BO123*VLOOKUP('Données projet'!$B$11,Paramètres!$A$1:$I$89,3,0)*0.475*44/12</f>
        <v>8.3814003202382433E-14</v>
      </c>
      <c r="BS123" s="24">
        <f t="shared" si="63"/>
        <v>2.8678362314219448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-5.6843418860808015E-14</v>
      </c>
      <c r="BZ123" s="14">
        <f>BY123*VLOOKUP('Données projet'!$B$12,Paramètres!$A$1:$I$89,3,0)*VLOOKUP('Données projet'!$B$12,Paramètres!$A$1:$I$89,5,0)</f>
        <v>-3.3992364478763198E-14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155.11440101086782</v>
      </c>
      <c r="CE123" s="62">
        <f t="shared" si="94"/>
        <v>239.53454701506638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2.2705909461297162</v>
      </c>
      <c r="CL123" s="23">
        <f>EXP(-LN(2)/25)*CL122+(1-EXP(-LN(2)/25))/(LN(2)/25)*Calculateur!CG123*Calculateur!CI123*VLOOKUP('Données projet'!$B$12,Paramètres!$A$1:$I$89,3,0)*0.475*44/12</f>
        <v>0.59724528529214471</v>
      </c>
      <c r="CM123" s="23">
        <f>EXP(-LN(2)/2)*CM122+(1-EXP(-LN(2)/2))/(LN(2)/2)*CG123*CJ123*VLOOKUP('Données projet'!$B$12,Paramètres!$A$1:$I$89,3,0)*0.475*44/12</f>
        <v>8.3814003202382433E-14</v>
      </c>
      <c r="CN123" s="24">
        <f t="shared" si="66"/>
        <v>2.8678362314219448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-1.1368683772161603E-13</v>
      </c>
      <c r="CU123" s="18">
        <f>CT123*VLOOKUP('Données projet'!$B$13,Paramètres!$A$1:$I$89,3,0)*VLOOKUP('Données projet'!$B$13,Paramètres!$A$1:$I$89,5,0)</f>
        <v>-9.2222762759774927E-14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191.03017979797141</v>
      </c>
      <c r="CZ123" s="62">
        <f t="shared" si="96"/>
        <v>222.78252111624278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282.05128205128204</v>
      </c>
      <c r="DM123" s="13">
        <f>VLOOKUP(A123,'Données projet'!$A$165:$I$185,9,0)</f>
        <v>2.8846153846153841</v>
      </c>
      <c r="DN123" s="13">
        <f t="array" ref="DN123">INDEX(DM:DM,MIN(IF(ISNUMBER(DM123:DM319),ROW(DM123:DM319),"")))</f>
        <v>2.8846153846153841</v>
      </c>
      <c r="DO123" s="13">
        <f>IF('Données projet'!$A$166&gt;35,DO122+DN123-DW122,IF(A123&lt;'Données projet'!$A$166,$DL$205^A123,IF(A123='Données projet'!$A$166,'Données projet'!$B$166,DO122+DN123-DW122)))</f>
        <v>282.05128205128193</v>
      </c>
      <c r="DP123" s="18">
        <f>DO123*VLOOKUP('Données projet'!$B$14,Paramètres!$A$1:$I$89,3,0)*VLOOKUP('Données projet'!$B$14,Paramètres!$A$1:$I$89,5,0)</f>
        <v>268.39999999999992</v>
      </c>
      <c r="DQ123" s="14">
        <f t="shared" si="97"/>
        <v>64.509591536876712</v>
      </c>
      <c r="DR123" s="22">
        <f t="shared" si="70"/>
        <v>579.81753859339335</v>
      </c>
      <c r="DS123" s="62">
        <f t="shared" si="71"/>
        <v>873.15087192672672</v>
      </c>
      <c r="DT123" s="62">
        <f ca="1">AVERAGE(OFFSET($DS$3,0,0,'Données projet'!$E$14+1,1))-AVERAGE(OFFSET($H$3,0,0,'Données projet'!$E$14+1,1))</f>
        <v>260.93525280373063</v>
      </c>
      <c r="DU123" s="62">
        <f t="shared" si="98"/>
        <v>206.83968452163816</v>
      </c>
      <c r="DV123" s="16">
        <f>IF(ISNA(VLOOKUP(A123,'Données projet'!$A$165:$I$185,3,0)),0,VLOOKUP(A123,'Données projet'!$A$165:$I$185,3,0))</f>
        <v>10</v>
      </c>
      <c r="DW123" s="16">
        <f>IF(ISNA(VLOOKUP(A123,'Données projet'!$A$165:$I$185,4,0)),0,VLOOKUP(A123,'Données projet'!$A$165:$I$185,4,0))</f>
        <v>282.05128205128204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>
        <f>VLOOKUP(A123,'Données projet'!$A$191:$I$211,2,0)</f>
        <v>120.64166666666668</v>
      </c>
      <c r="EH123" s="13">
        <f>VLOOKUP(A123,'Données projet'!$A$191:$I$211,9,0)</f>
        <v>1.3150000000000006</v>
      </c>
      <c r="EI123" s="13">
        <f t="array" ref="EI123">INDEX(EH:EH,MIN(IF(ISNUMBER(EH123:EH319),ROW(EH123:EH319),"")))</f>
        <v>1.3150000000000006</v>
      </c>
      <c r="EJ123" s="13">
        <f>IF('Données projet'!$A$192&gt;35,EJ122+EI123-ER122,IF(A123&lt;'Données projet'!$A$192,$EG$205^A123,IF(A123='Données projet'!$A$192,'Données projet'!$B$192,EJ122+EI123-ER122)))</f>
        <v>120.64166666666662</v>
      </c>
      <c r="EK123" s="18">
        <f>EJ123*VLOOKUP('Données projet'!$B$15,Paramètres!$A$1:$I$89,3,0)*VLOOKUP('Données projet'!$B$15,Paramètres!$A$1:$I$89,5,0)</f>
        <v>138.97919999999993</v>
      </c>
      <c r="EL123" s="14">
        <f t="shared" si="99"/>
        <v>36.063055041985905</v>
      </c>
      <c r="EM123" s="22">
        <f t="shared" si="73"/>
        <v>304.86526086479199</v>
      </c>
      <c r="EN123" s="62">
        <f t="shared" si="74"/>
        <v>598.19859419812531</v>
      </c>
      <c r="EO123" s="62">
        <f ca="1">AVERAGE(OFFSET($EN$3,0,0,'Données projet'!$E$15+1,1))-AVERAGE(OFFSET($H$3,0,0,'Données projet'!$E$15+1,1))</f>
        <v>118.01099353898547</v>
      </c>
      <c r="EP123" s="62">
        <f t="shared" si="100"/>
        <v>103.17146760845947</v>
      </c>
      <c r="EQ123" s="16">
        <f>IF(ISNA(VLOOKUP(A123,'Données projet'!$A$191:$I$211,3,0)),0,VLOOKUP(A123,'Données projet'!$A$191:$I$211,3,0))</f>
        <v>10</v>
      </c>
      <c r="ER123" s="16">
        <f>IF(ISNA(VLOOKUP(A123,'Données projet'!$A$191:$I$211,4,0)),0,VLOOKUP(A123,'Données projet'!$A$191:$I$211,4,0))</f>
        <v>8.875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>
        <f>VLOOKUP(A123,'Données projet'!$A$217:$I$237,2,0)</f>
        <v>303</v>
      </c>
      <c r="FC123" s="13">
        <f>VLOOKUP(A123,'Données projet'!$A$217:$I$237,9,0)</f>
        <v>3.7</v>
      </c>
      <c r="FD123" s="13">
        <f t="array" ref="FD123">INDEX(FC:FC,MIN(IF(ISNUMBER(FC123:FC319),ROW(FC123:FC319),"")))</f>
        <v>3.7</v>
      </c>
      <c r="FE123" s="13">
        <f>IF('Données projet'!$A$218&gt;35,FE122+FD123-FM122,IF(A123&lt;'Données projet'!$A$218,$FB$205^A123,IF(A123='Données projet'!$A$218,'Données projet'!$B$218,FE122+FD123-FM122)))</f>
        <v>302.99999999999949</v>
      </c>
      <c r="FF123" s="18">
        <f>FE123*VLOOKUP('Données projet'!$B$16,Paramètres!$A$1:$I$89,3,0)*VLOOKUP('Données projet'!$B$16,Paramètres!$A$1:$I$89,5,0)</f>
        <v>302.51519999999948</v>
      </c>
      <c r="FG123" s="14">
        <f t="shared" si="101"/>
        <v>71.703489517892137</v>
      </c>
      <c r="FH123" s="22">
        <f t="shared" si="76"/>
        <v>651.76421757699461</v>
      </c>
      <c r="FI123" s="62">
        <f t="shared" si="77"/>
        <v>945.09755091032798</v>
      </c>
      <c r="FJ123" s="62">
        <f ca="1">AVERAGE(OFFSET($FI$3,0,0,'Données projet'!$E$16+1,1))-AVERAGE(OFFSET($H$3,0,0,'Données projet'!$E$16+1,1))</f>
        <v>343.71044073996887</v>
      </c>
      <c r="FK123" s="62">
        <f t="shared" si="102"/>
        <v>193.51732627292375</v>
      </c>
      <c r="FL123" s="16">
        <f>IF(ISNA(VLOOKUP(A123,'Données projet'!$A$217:$I$237,3,0)),0,VLOOKUP(A123,'Données projet'!$A$217:$I$237,3,0))</f>
        <v>10</v>
      </c>
      <c r="FM123" s="16">
        <f>IF(ISNA(VLOOKUP(A123,'Données projet'!$A$217:$I$237,4,0)),0,VLOOKUP(A123,'Données projet'!$A$217:$I$237,4,0))</f>
        <v>35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3.2</v>
      </c>
      <c r="N124" s="14">
        <f>IF('Données projet'!$A$36&gt;35,N123+M124-V123,IF(A124&lt;'Données projet'!$A$36,$K$205^A124,IF(A124='Données projet'!$A$36,'Données projet'!$B$36,N123+M124-V123)))</f>
        <v>271.19999999999948</v>
      </c>
      <c r="O124" s="14">
        <f>N124*VLOOKUP('Données projet'!$B$9,Paramètres!$A$1:$I$89,3,0)*VLOOKUP('Données projet'!$B$9,Paramètres!$A$1:$I$89,5,0)</f>
        <v>245.3817599999995</v>
      </c>
      <c r="P124" s="14">
        <f t="shared" si="87"/>
        <v>59.595943661626663</v>
      </c>
      <c r="Q124" s="22">
        <f t="shared" si="107"/>
        <v>531.16950054399888</v>
      </c>
      <c r="R124" s="62">
        <f t="shared" si="55"/>
        <v>824.50283387733225</v>
      </c>
      <c r="S124" s="62">
        <f ca="1">AVERAGE(OFFSET($R$3,0,0,'Données projet'!$E$9+1,1))-AVERAGE(OFFSET($H$3,0,0,'Données projet'!$E$9+1,1))</f>
        <v>303.73499739059076</v>
      </c>
      <c r="T124" s="62">
        <f t="shared" si="88"/>
        <v>172.32171001882188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-2.2737367544323206E-13</v>
      </c>
      <c r="AJ124" s="14">
        <f>AI124*VLOOKUP('Données projet'!$B$10,Paramètres!$A$1:$I$89,3,0)*VLOOKUP('Données projet'!$B$10,Paramètres!$A$1:$I$89,5,0)</f>
        <v>-1.6671037883497774E-13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215.66498680344858</v>
      </c>
      <c r="AO124" s="62">
        <f t="shared" si="90"/>
        <v>199.86715787211114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-5.6843418860808015E-14</v>
      </c>
      <c r="BE124" s="14">
        <f>BD124*VLOOKUP('Données projet'!$B$11,Paramètres!$A$1:$I$89,3,0)*VLOOKUP('Données projet'!$B$11,Paramètres!$A$1:$I$89,5,0)</f>
        <v>-3.3992364478763198E-14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155.11440101086782</v>
      </c>
      <c r="BJ124" s="62">
        <f t="shared" si="92"/>
        <v>239.53454701506638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2.22606604259984</v>
      </c>
      <c r="BQ124" s="23">
        <f>EXP(-LN(2)/25)*BQ123+(1-EXP(-LN(2)/25))/(LN(2)/25)*Calculateur!BL124*Calculateur!BN124*VLOOKUP('Données projet'!$B$11,Paramètres!$A$1:$I$89,3,0)*0.475*44/12</f>
        <v>0.58091358155806649</v>
      </c>
      <c r="BR124" s="23">
        <f>EXP(-LN(2)/2)*BR123+(1-EXP(-LN(2)/2))/(LN(2)/2)*BL124*BO124*VLOOKUP('Données projet'!$B$11,Paramètres!$A$1:$I$89,3,0)*0.475*44/12</f>
        <v>5.9265450022795627E-14</v>
      </c>
      <c r="BS124" s="24">
        <f t="shared" si="63"/>
        <v>2.8069796241579654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-5.6843418860808015E-14</v>
      </c>
      <c r="BZ124" s="14">
        <f>BY124*VLOOKUP('Données projet'!$B$12,Paramètres!$A$1:$I$89,3,0)*VLOOKUP('Données projet'!$B$12,Paramètres!$A$1:$I$89,5,0)</f>
        <v>-3.3992364478763198E-14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155.11440101086782</v>
      </c>
      <c r="CE124" s="62">
        <f t="shared" si="94"/>
        <v>239.53454701506638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2.22606604259984</v>
      </c>
      <c r="CL124" s="23">
        <f>EXP(-LN(2)/25)*CL123+(1-EXP(-LN(2)/25))/(LN(2)/25)*Calculateur!CG124*Calculateur!CI124*VLOOKUP('Données projet'!$B$12,Paramètres!$A$1:$I$89,3,0)*0.475*44/12</f>
        <v>0.58091358155806649</v>
      </c>
      <c r="CM124" s="23">
        <f>EXP(-LN(2)/2)*CM123+(1-EXP(-LN(2)/2))/(LN(2)/2)*CG124*CJ124*VLOOKUP('Données projet'!$B$12,Paramètres!$A$1:$I$89,3,0)*0.475*44/12</f>
        <v>5.9265450022795627E-14</v>
      </c>
      <c r="CN124" s="24">
        <f t="shared" si="66"/>
        <v>2.8069796241579654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-1.1368683772161603E-13</v>
      </c>
      <c r="CU124" s="18">
        <f>CT124*VLOOKUP('Données projet'!$B$13,Paramètres!$A$1:$I$89,3,0)*VLOOKUP('Données projet'!$B$13,Paramètres!$A$1:$I$89,5,0)</f>
        <v>-9.2222762759774927E-14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191.03017979797141</v>
      </c>
      <c r="CZ124" s="62">
        <f t="shared" si="96"/>
        <v>222.78252111624278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-1.1368683772161603E-13</v>
      </c>
      <c r="DP124" s="18">
        <f>DO124*VLOOKUP('Données projet'!$B$14,Paramètres!$A$1:$I$89,3,0)*VLOOKUP('Données projet'!$B$14,Paramètres!$A$1:$I$89,5,0)</f>
        <v>-1.0818439477588981E-13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260.93525280373063</v>
      </c>
      <c r="DU124" s="62">
        <f t="shared" si="98"/>
        <v>206.83968452163816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1.2474999999999994</v>
      </c>
      <c r="EJ124" s="13">
        <f>IF('Données projet'!$A$192&gt;35,EJ123+EI124-ER123,IF(A124&lt;'Données projet'!$A$192,$EG$205^A124,IF(A124='Données projet'!$A$192,'Données projet'!$B$192,EJ123+EI124-ER123)))</f>
        <v>113.01416666666663</v>
      </c>
      <c r="EK124" s="18">
        <f>EJ124*VLOOKUP('Données projet'!$B$15,Paramètres!$A$1:$I$89,3,0)*VLOOKUP('Données projet'!$B$15,Paramètres!$A$1:$I$89,5,0)</f>
        <v>130.19231999999994</v>
      </c>
      <c r="EL124" s="14">
        <f t="shared" si="99"/>
        <v>34.040795013550785</v>
      </c>
      <c r="EM124" s="22">
        <f t="shared" si="73"/>
        <v>286.03934198193417</v>
      </c>
      <c r="EN124" s="62">
        <f t="shared" si="74"/>
        <v>579.37267531526754</v>
      </c>
      <c r="EO124" s="62">
        <f ca="1">AVERAGE(OFFSET($EN$3,0,0,'Données projet'!$E$15+1,1))-AVERAGE(OFFSET($H$3,0,0,'Données projet'!$E$15+1,1))</f>
        <v>118.01099353898547</v>
      </c>
      <c r="EP124" s="62">
        <f t="shared" si="100"/>
        <v>103.17146760845947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3.2</v>
      </c>
      <c r="FE124" s="13">
        <f>IF('Données projet'!$A$218&gt;35,FE123+FD124-FM123,IF(A124&lt;'Données projet'!$A$218,$FB$205^A124,IF(A124='Données projet'!$A$218,'Données projet'!$B$218,FE123+FD124-FM123)))</f>
        <v>271.19999999999948</v>
      </c>
      <c r="FF124" s="18">
        <f>FE124*VLOOKUP('Données projet'!$B$16,Paramètres!$A$1:$I$89,3,0)*VLOOKUP('Données projet'!$B$16,Paramètres!$A$1:$I$89,5,0)</f>
        <v>270.76607999999948</v>
      </c>
      <c r="FG124" s="14">
        <f t="shared" si="101"/>
        <v>65.011823979165243</v>
      </c>
      <c r="FH124" s="22">
        <f t="shared" si="76"/>
        <v>584.81318276371178</v>
      </c>
      <c r="FI124" s="62">
        <f t="shared" si="77"/>
        <v>878.14651609704515</v>
      </c>
      <c r="FJ124" s="62">
        <f ca="1">AVERAGE(OFFSET($FI$3,0,0,'Données projet'!$E$16+1,1))-AVERAGE(OFFSET($H$3,0,0,'Données projet'!$E$16+1,1))</f>
        <v>343.71044073996887</v>
      </c>
      <c r="FK124" s="62">
        <f t="shared" si="102"/>
        <v>193.51732627292375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3.2</v>
      </c>
      <c r="N125" s="14">
        <f>IF('Données projet'!$A$36&gt;35,N124+M125-V124,IF(A125&lt;'Données projet'!$A$36,$K$205^A125,IF(A125='Données projet'!$A$36,'Données projet'!$B$36,N124+M125-V124)))</f>
        <v>274.39999999999947</v>
      </c>
      <c r="O125" s="14">
        <f>N125*VLOOKUP('Données projet'!$B$9,Paramètres!$A$1:$I$89,3,0)*VLOOKUP('Données projet'!$B$9,Paramètres!$A$1:$I$89,5,0)</f>
        <v>248.27711999999951</v>
      </c>
      <c r="P125" s="14">
        <f t="shared" si="87"/>
        <v>60.216863677580257</v>
      </c>
      <c r="Q125" s="22">
        <f t="shared" si="107"/>
        <v>537.29368823845141</v>
      </c>
      <c r="R125" s="62">
        <f t="shared" si="55"/>
        <v>830.62702157178478</v>
      </c>
      <c r="S125" s="62">
        <f ca="1">AVERAGE(OFFSET($R$3,0,0,'Données projet'!$E$9+1,1))-AVERAGE(OFFSET($H$3,0,0,'Données projet'!$E$9+1,1))</f>
        <v>303.73499739059076</v>
      </c>
      <c r="T125" s="62">
        <f t="shared" si="88"/>
        <v>172.32171001882188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-2.2737367544323206E-13</v>
      </c>
      <c r="AJ125" s="14">
        <f>AI125*VLOOKUP('Données projet'!$B$10,Paramètres!$A$1:$I$89,3,0)*VLOOKUP('Données projet'!$B$10,Paramètres!$A$1:$I$89,5,0)</f>
        <v>-1.6671037883497774E-13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215.66498680344858</v>
      </c>
      <c r="AO125" s="62">
        <f t="shared" si="90"/>
        <v>199.86715787211114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-5.6843418860808015E-14</v>
      </c>
      <c r="BE125" s="14">
        <f>BD125*VLOOKUP('Données projet'!$B$11,Paramètres!$A$1:$I$89,3,0)*VLOOKUP('Données projet'!$B$11,Paramètres!$A$1:$I$89,5,0)</f>
        <v>-3.3992364478763198E-14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155.11440101086782</v>
      </c>
      <c r="BJ125" s="62">
        <f t="shared" si="92"/>
        <v>239.53454701506638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2.182414245270675</v>
      </c>
      <c r="BQ125" s="23">
        <f>EXP(-LN(2)/25)*BQ124+(1-EXP(-LN(2)/25))/(LN(2)/25)*Calculateur!BL125*Calculateur!BN125*VLOOKUP('Données projet'!$B$11,Paramètres!$A$1:$I$89,3,0)*0.475*44/12</f>
        <v>0.56502846912144356</v>
      </c>
      <c r="BR125" s="23">
        <f>EXP(-LN(2)/2)*BR124+(1-EXP(-LN(2)/2))/(LN(2)/2)*BL125*BO125*VLOOKUP('Données projet'!$B$11,Paramètres!$A$1:$I$89,3,0)*0.475*44/12</f>
        <v>4.1907001601191216E-14</v>
      </c>
      <c r="BS125" s="24">
        <f t="shared" si="63"/>
        <v>2.74744271439216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-5.6843418860808015E-14</v>
      </c>
      <c r="BZ125" s="14">
        <f>BY125*VLOOKUP('Données projet'!$B$12,Paramètres!$A$1:$I$89,3,0)*VLOOKUP('Données projet'!$B$12,Paramètres!$A$1:$I$89,5,0)</f>
        <v>-3.3992364478763198E-14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155.11440101086782</v>
      </c>
      <c r="CE125" s="62">
        <f t="shared" si="94"/>
        <v>239.53454701506638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2.182414245270675</v>
      </c>
      <c r="CL125" s="23">
        <f>EXP(-LN(2)/25)*CL124+(1-EXP(-LN(2)/25))/(LN(2)/25)*Calculateur!CG125*Calculateur!CI125*VLOOKUP('Données projet'!$B$12,Paramètres!$A$1:$I$89,3,0)*0.475*44/12</f>
        <v>0.56502846912144356</v>
      </c>
      <c r="CM125" s="23">
        <f>EXP(-LN(2)/2)*CM124+(1-EXP(-LN(2)/2))/(LN(2)/2)*CG125*CJ125*VLOOKUP('Données projet'!$B$12,Paramètres!$A$1:$I$89,3,0)*0.475*44/12</f>
        <v>4.1907001601191216E-14</v>
      </c>
      <c r="CN125" s="24">
        <f t="shared" si="66"/>
        <v>2.74744271439216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-1.1368683772161603E-13</v>
      </c>
      <c r="CU125" s="18">
        <f>CT125*VLOOKUP('Données projet'!$B$13,Paramètres!$A$1:$I$89,3,0)*VLOOKUP('Données projet'!$B$13,Paramètres!$A$1:$I$89,5,0)</f>
        <v>-9.2222762759774927E-14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191.03017979797141</v>
      </c>
      <c r="CZ125" s="62">
        <f t="shared" si="96"/>
        <v>222.78252111624278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-1.1368683772161603E-13</v>
      </c>
      <c r="DP125" s="18">
        <f>DO125*VLOOKUP('Données projet'!$B$14,Paramètres!$A$1:$I$89,3,0)*VLOOKUP('Données projet'!$B$14,Paramètres!$A$1:$I$89,5,0)</f>
        <v>-1.0818439477588981E-13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260.93525280373063</v>
      </c>
      <c r="DU125" s="62">
        <f t="shared" si="98"/>
        <v>206.83968452163816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1.2474999999999994</v>
      </c>
      <c r="EJ125" s="13">
        <f>IF('Données projet'!$A$192&gt;35,EJ124+EI125-ER124,IF(A125&lt;'Données projet'!$A$192,$EG$205^A125,IF(A125='Données projet'!$A$192,'Données projet'!$B$192,EJ124+EI125-ER124)))</f>
        <v>114.26166666666663</v>
      </c>
      <c r="EK125" s="18">
        <f>EJ125*VLOOKUP('Données projet'!$B$15,Paramètres!$A$1:$I$89,3,0)*VLOOKUP('Données projet'!$B$15,Paramètres!$A$1:$I$89,5,0)</f>
        <v>131.62943999999993</v>
      </c>
      <c r="EL125" s="14">
        <f t="shared" si="99"/>
        <v>34.372601683894764</v>
      </c>
      <c r="EM125" s="22">
        <f t="shared" si="73"/>
        <v>289.1202225994499</v>
      </c>
      <c r="EN125" s="62">
        <f t="shared" si="74"/>
        <v>582.45355593278327</v>
      </c>
      <c r="EO125" s="62">
        <f ca="1">AVERAGE(OFFSET($EN$3,0,0,'Données projet'!$E$15+1,1))-AVERAGE(OFFSET($H$3,0,0,'Données projet'!$E$15+1,1))</f>
        <v>118.01099353898547</v>
      </c>
      <c r="EP125" s="62">
        <f t="shared" si="100"/>
        <v>103.17146760845947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3.2</v>
      </c>
      <c r="FE125" s="13">
        <f>IF('Données projet'!$A$218&gt;35,FE124+FD125-FM124,IF(A125&lt;'Données projet'!$A$218,$FB$205^A125,IF(A125='Données projet'!$A$218,'Données projet'!$B$218,FE124+FD125-FM124)))</f>
        <v>274.39999999999947</v>
      </c>
      <c r="FF125" s="18">
        <f>FE125*VLOOKUP('Données projet'!$B$16,Paramètres!$A$1:$I$89,3,0)*VLOOKUP('Données projet'!$B$16,Paramètres!$A$1:$I$89,5,0)</f>
        <v>273.96095999999949</v>
      </c>
      <c r="FG125" s="14">
        <f t="shared" si="101"/>
        <v>65.689171132379428</v>
      </c>
      <c r="FH125" s="22">
        <f t="shared" si="76"/>
        <v>591.5573117222267</v>
      </c>
      <c r="FI125" s="62">
        <f t="shared" si="77"/>
        <v>884.89064505556007</v>
      </c>
      <c r="FJ125" s="62">
        <f ca="1">AVERAGE(OFFSET($FI$3,0,0,'Données projet'!$E$16+1,1))-AVERAGE(OFFSET($H$3,0,0,'Données projet'!$E$16+1,1))</f>
        <v>343.71044073996887</v>
      </c>
      <c r="FK125" s="62">
        <f t="shared" si="102"/>
        <v>193.51732627292375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3.2</v>
      </c>
      <c r="N126" s="14">
        <f>IF('Données projet'!$A$36&gt;35,N125+M126-V125,IF(A126&lt;'Données projet'!$A$36,$K$205^A126,IF(A126='Données projet'!$A$36,'Données projet'!$B$36,N125+M126-V125)))</f>
        <v>277.59999999999945</v>
      </c>
      <c r="O126" s="14">
        <f>N126*VLOOKUP('Données projet'!$B$9,Paramètres!$A$1:$I$89,3,0)*VLOOKUP('Données projet'!$B$9,Paramètres!$A$1:$I$89,5,0)</f>
        <v>251.1724799999995</v>
      </c>
      <c r="P126" s="14">
        <f t="shared" si="87"/>
        <v>60.836941386956575</v>
      </c>
      <c r="Q126" s="22">
        <f t="shared" si="107"/>
        <v>543.41640891561519</v>
      </c>
      <c r="R126" s="62">
        <f t="shared" si="55"/>
        <v>836.74974224894845</v>
      </c>
      <c r="S126" s="62">
        <f ca="1">AVERAGE(OFFSET($R$3,0,0,'Données projet'!$E$9+1,1))-AVERAGE(OFFSET($H$3,0,0,'Données projet'!$E$9+1,1))</f>
        <v>303.73499739059076</v>
      </c>
      <c r="T126" s="62">
        <f t="shared" si="88"/>
        <v>172.32171001882188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-2.2737367544323206E-13</v>
      </c>
      <c r="AJ126" s="14">
        <f>AI126*VLOOKUP('Données projet'!$B$10,Paramètres!$A$1:$I$89,3,0)*VLOOKUP('Données projet'!$B$10,Paramètres!$A$1:$I$89,5,0)</f>
        <v>-1.6671037883497774E-13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215.66498680344858</v>
      </c>
      <c r="AO126" s="62">
        <f t="shared" si="90"/>
        <v>199.86715787211114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-5.6843418860808015E-14</v>
      </c>
      <c r="BE126" s="14">
        <f>BD126*VLOOKUP('Données projet'!$B$11,Paramètres!$A$1:$I$89,3,0)*VLOOKUP('Données projet'!$B$11,Paramètres!$A$1:$I$89,5,0)</f>
        <v>-3.3992364478763198E-14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155.11440101086782</v>
      </c>
      <c r="BJ126" s="62">
        <f t="shared" si="92"/>
        <v>239.53454701506638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2.1396184330621675</v>
      </c>
      <c r="BQ126" s="23">
        <f>EXP(-LN(2)/25)*BQ125+(1-EXP(-LN(2)/25))/(LN(2)/25)*Calculateur!BL126*Calculateur!BN126*VLOOKUP('Données projet'!$B$11,Paramètres!$A$1:$I$89,3,0)*0.475*44/12</f>
        <v>0.54957773591976189</v>
      </c>
      <c r="BR126" s="23">
        <f>EXP(-LN(2)/2)*BR125+(1-EXP(-LN(2)/2))/(LN(2)/2)*BL126*BO126*VLOOKUP('Données projet'!$B$11,Paramètres!$A$1:$I$89,3,0)*0.475*44/12</f>
        <v>2.9632725011397813E-14</v>
      </c>
      <c r="BS126" s="24">
        <f t="shared" si="63"/>
        <v>2.689196168981959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-5.6843418860808015E-14</v>
      </c>
      <c r="BZ126" s="14">
        <f>BY126*VLOOKUP('Données projet'!$B$12,Paramètres!$A$1:$I$89,3,0)*VLOOKUP('Données projet'!$B$12,Paramètres!$A$1:$I$89,5,0)</f>
        <v>-3.3992364478763198E-14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155.11440101086782</v>
      </c>
      <c r="CE126" s="62">
        <f t="shared" si="94"/>
        <v>239.53454701506638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2.1396184330621675</v>
      </c>
      <c r="CL126" s="23">
        <f>EXP(-LN(2)/25)*CL125+(1-EXP(-LN(2)/25))/(LN(2)/25)*Calculateur!CG126*Calculateur!CI126*VLOOKUP('Données projet'!$B$12,Paramètres!$A$1:$I$89,3,0)*0.475*44/12</f>
        <v>0.54957773591976189</v>
      </c>
      <c r="CM126" s="23">
        <f>EXP(-LN(2)/2)*CM125+(1-EXP(-LN(2)/2))/(LN(2)/2)*CG126*CJ126*VLOOKUP('Données projet'!$B$12,Paramètres!$A$1:$I$89,3,0)*0.475*44/12</f>
        <v>2.9632725011397813E-14</v>
      </c>
      <c r="CN126" s="24">
        <f t="shared" si="66"/>
        <v>2.689196168981959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-1.1368683772161603E-13</v>
      </c>
      <c r="CU126" s="18">
        <f>CT126*VLOOKUP('Données projet'!$B$13,Paramètres!$A$1:$I$89,3,0)*VLOOKUP('Données projet'!$B$13,Paramètres!$A$1:$I$89,5,0)</f>
        <v>-9.2222762759774927E-14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191.03017979797141</v>
      </c>
      <c r="CZ126" s="62">
        <f t="shared" si="96"/>
        <v>222.78252111624278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-1.1368683772161603E-13</v>
      </c>
      <c r="DP126" s="18">
        <f>DO126*VLOOKUP('Données projet'!$B$14,Paramètres!$A$1:$I$89,3,0)*VLOOKUP('Données projet'!$B$14,Paramètres!$A$1:$I$89,5,0)</f>
        <v>-1.0818439477588981E-13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260.93525280373063</v>
      </c>
      <c r="DU126" s="62">
        <f t="shared" si="98"/>
        <v>206.83968452163816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1.2474999999999994</v>
      </c>
      <c r="EJ126" s="13">
        <f>IF('Données projet'!$A$192&gt;35,EJ125+EI126-ER125,IF(A126&lt;'Données projet'!$A$192,$EG$205^A126,IF(A126='Données projet'!$A$192,'Données projet'!$B$192,EJ125+EI126-ER125)))</f>
        <v>115.50916666666663</v>
      </c>
      <c r="EK126" s="18">
        <f>EJ126*VLOOKUP('Données projet'!$B$15,Paramètres!$A$1:$I$89,3,0)*VLOOKUP('Données projet'!$B$15,Paramètres!$A$1:$I$89,5,0)</f>
        <v>133.06655999999995</v>
      </c>
      <c r="EL126" s="14">
        <f t="shared" si="99"/>
        <v>34.703986937981455</v>
      </c>
      <c r="EM126" s="22">
        <f t="shared" si="73"/>
        <v>292.20036925031758</v>
      </c>
      <c r="EN126" s="62">
        <f t="shared" si="74"/>
        <v>585.53370258365089</v>
      </c>
      <c r="EO126" s="62">
        <f ca="1">AVERAGE(OFFSET($EN$3,0,0,'Données projet'!$E$15+1,1))-AVERAGE(OFFSET($H$3,0,0,'Données projet'!$E$15+1,1))</f>
        <v>118.01099353898547</v>
      </c>
      <c r="EP126" s="62">
        <f t="shared" si="100"/>
        <v>103.17146760845947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3.2</v>
      </c>
      <c r="FE126" s="13">
        <f>IF('Données projet'!$A$218&gt;35,FE125+FD126-FM125,IF(A126&lt;'Données projet'!$A$218,$FB$205^A126,IF(A126='Données projet'!$A$218,'Données projet'!$B$218,FE125+FD126-FM125)))</f>
        <v>277.59999999999945</v>
      </c>
      <c r="FF126" s="18">
        <f>FE126*VLOOKUP('Données projet'!$B$16,Paramètres!$A$1:$I$89,3,0)*VLOOKUP('Données projet'!$B$16,Paramètres!$A$1:$I$89,5,0)</f>
        <v>277.15583999999944</v>
      </c>
      <c r="FG126" s="14">
        <f t="shared" si="101"/>
        <v>66.365599433007773</v>
      </c>
      <c r="FH126" s="22">
        <f t="shared" si="76"/>
        <v>598.29984034582083</v>
      </c>
      <c r="FI126" s="62">
        <f t="shared" si="77"/>
        <v>891.6331736791542</v>
      </c>
      <c r="FJ126" s="62">
        <f ca="1">AVERAGE(OFFSET($FI$3,0,0,'Données projet'!$E$16+1,1))-AVERAGE(OFFSET($H$3,0,0,'Données projet'!$E$16+1,1))</f>
        <v>343.71044073996887</v>
      </c>
      <c r="FK126" s="62">
        <f t="shared" si="102"/>
        <v>193.51732627292375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3.2</v>
      </c>
      <c r="N127" s="14">
        <f>IF('Données projet'!$A$36&gt;35,N126+M127-V126,IF(A127&lt;'Données projet'!$A$36,$K$205^A127,IF(A127='Données projet'!$A$36,'Données projet'!$B$36,N126+M127-V126)))</f>
        <v>280.79999999999944</v>
      </c>
      <c r="O127" s="14">
        <f>N127*VLOOKUP('Données projet'!$B$9,Paramètres!$A$1:$I$89,3,0)*VLOOKUP('Données projet'!$B$9,Paramètres!$A$1:$I$89,5,0)</f>
        <v>254.06783999999948</v>
      </c>
      <c r="P127" s="14">
        <f t="shared" si="87"/>
        <v>61.456187622750612</v>
      </c>
      <c r="Q127" s="22">
        <f t="shared" si="107"/>
        <v>549.53768144295634</v>
      </c>
      <c r="R127" s="62">
        <f t="shared" si="55"/>
        <v>842.87101477628971</v>
      </c>
      <c r="S127" s="62">
        <f ca="1">AVERAGE(OFFSET($R$3,0,0,'Données projet'!$E$9+1,1))-AVERAGE(OFFSET($H$3,0,0,'Données projet'!$E$9+1,1))</f>
        <v>303.73499739059076</v>
      </c>
      <c r="T127" s="62">
        <f t="shared" si="88"/>
        <v>172.32171001882188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-2.2737367544323206E-13</v>
      </c>
      <c r="AJ127" s="14">
        <f>AI127*VLOOKUP('Données projet'!$B$10,Paramètres!$A$1:$I$89,3,0)*VLOOKUP('Données projet'!$B$10,Paramètres!$A$1:$I$89,5,0)</f>
        <v>-1.6671037883497774E-13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215.66498680344858</v>
      </c>
      <c r="AO127" s="62">
        <f t="shared" si="90"/>
        <v>199.86715787211114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-5.6843418860808015E-14</v>
      </c>
      <c r="BE127" s="14">
        <f>BD127*VLOOKUP('Données projet'!$B$11,Paramètres!$A$1:$I$89,3,0)*VLOOKUP('Données projet'!$B$11,Paramètres!$A$1:$I$89,5,0)</f>
        <v>-3.3992364478763198E-14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155.11440101086782</v>
      </c>
      <c r="BJ127" s="62">
        <f t="shared" si="92"/>
        <v>239.53454701506638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2.0976618206282005</v>
      </c>
      <c r="BQ127" s="23">
        <f>EXP(-LN(2)/25)*BQ126+(1-EXP(-LN(2)/25))/(LN(2)/25)*Calculateur!BL127*Calculateur!BN127*VLOOKUP('Données projet'!$B$11,Paramètres!$A$1:$I$89,3,0)*0.475*44/12</f>
        <v>0.534549503829999</v>
      </c>
      <c r="BR127" s="23">
        <f>EXP(-LN(2)/2)*BR126+(1-EXP(-LN(2)/2))/(LN(2)/2)*BL127*BO127*VLOOKUP('Données projet'!$B$11,Paramètres!$A$1:$I$89,3,0)*0.475*44/12</f>
        <v>2.0953500800595608E-14</v>
      </c>
      <c r="BS127" s="24">
        <f t="shared" si="63"/>
        <v>2.6322113244582206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-5.6843418860808015E-14</v>
      </c>
      <c r="BZ127" s="14">
        <f>BY127*VLOOKUP('Données projet'!$B$12,Paramètres!$A$1:$I$89,3,0)*VLOOKUP('Données projet'!$B$12,Paramètres!$A$1:$I$89,5,0)</f>
        <v>-3.3992364478763198E-14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155.11440101086782</v>
      </c>
      <c r="CE127" s="62">
        <f t="shared" si="94"/>
        <v>239.53454701506638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2.0976618206282005</v>
      </c>
      <c r="CL127" s="23">
        <f>EXP(-LN(2)/25)*CL126+(1-EXP(-LN(2)/25))/(LN(2)/25)*Calculateur!CG127*Calculateur!CI127*VLOOKUP('Données projet'!$B$12,Paramètres!$A$1:$I$89,3,0)*0.475*44/12</f>
        <v>0.534549503829999</v>
      </c>
      <c r="CM127" s="23">
        <f>EXP(-LN(2)/2)*CM126+(1-EXP(-LN(2)/2))/(LN(2)/2)*CG127*CJ127*VLOOKUP('Données projet'!$B$12,Paramètres!$A$1:$I$89,3,0)*0.475*44/12</f>
        <v>2.0953500800595608E-14</v>
      </c>
      <c r="CN127" s="24">
        <f t="shared" si="66"/>
        <v>2.6322113244582206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-1.1368683772161603E-13</v>
      </c>
      <c r="CU127" s="18">
        <f>CT127*VLOOKUP('Données projet'!$B$13,Paramètres!$A$1:$I$89,3,0)*VLOOKUP('Données projet'!$B$13,Paramètres!$A$1:$I$89,5,0)</f>
        <v>-9.2222762759774927E-14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191.03017979797141</v>
      </c>
      <c r="CZ127" s="62">
        <f t="shared" si="96"/>
        <v>222.78252111624278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-1.1368683772161603E-13</v>
      </c>
      <c r="DP127" s="18">
        <f>DO127*VLOOKUP('Données projet'!$B$14,Paramètres!$A$1:$I$89,3,0)*VLOOKUP('Données projet'!$B$14,Paramètres!$A$1:$I$89,5,0)</f>
        <v>-1.0818439477588981E-13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260.93525280373063</v>
      </c>
      <c r="DU127" s="62">
        <f t="shared" si="98"/>
        <v>206.83968452163816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1.2474999999999994</v>
      </c>
      <c r="EJ127" s="13">
        <f>IF('Données projet'!$A$192&gt;35,EJ126+EI127-ER126,IF(A127&lt;'Données projet'!$A$192,$EG$205^A127,IF(A127='Données projet'!$A$192,'Données projet'!$B$192,EJ126+EI127-ER126)))</f>
        <v>116.75666666666663</v>
      </c>
      <c r="EK127" s="18">
        <f>EJ127*VLOOKUP('Données projet'!$B$15,Paramètres!$A$1:$I$89,3,0)*VLOOKUP('Données projet'!$B$15,Paramètres!$A$1:$I$89,5,0)</f>
        <v>134.50367999999995</v>
      </c>
      <c r="EL127" s="14">
        <f t="shared" si="99"/>
        <v>35.034955853887169</v>
      </c>
      <c r="EM127" s="22">
        <f t="shared" si="73"/>
        <v>295.2797907788534</v>
      </c>
      <c r="EN127" s="62">
        <f t="shared" si="74"/>
        <v>588.61312411218671</v>
      </c>
      <c r="EO127" s="62">
        <f ca="1">AVERAGE(OFFSET($EN$3,0,0,'Données projet'!$E$15+1,1))-AVERAGE(OFFSET($H$3,0,0,'Données projet'!$E$15+1,1))</f>
        <v>118.01099353898547</v>
      </c>
      <c r="EP127" s="62">
        <f t="shared" si="100"/>
        <v>103.17146760845947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3.2</v>
      </c>
      <c r="FE127" s="13">
        <f>IF('Données projet'!$A$218&gt;35,FE126+FD127-FM126,IF(A127&lt;'Données projet'!$A$218,$FB$205^A127,IF(A127='Données projet'!$A$218,'Données projet'!$B$218,FE126+FD127-FM126)))</f>
        <v>280.79999999999944</v>
      </c>
      <c r="FF127" s="18">
        <f>FE127*VLOOKUP('Données projet'!$B$16,Paramètres!$A$1:$I$89,3,0)*VLOOKUP('Données projet'!$B$16,Paramètres!$A$1:$I$89,5,0)</f>
        <v>280.35071999999946</v>
      </c>
      <c r="FG127" s="14">
        <f t="shared" si="101"/>
        <v>67.041120698511705</v>
      </c>
      <c r="FH127" s="22">
        <f t="shared" si="76"/>
        <v>605.04078921657356</v>
      </c>
      <c r="FI127" s="62">
        <f t="shared" si="77"/>
        <v>898.37412254990682</v>
      </c>
      <c r="FJ127" s="62">
        <f ca="1">AVERAGE(OFFSET($FI$3,0,0,'Données projet'!$E$16+1,1))-AVERAGE(OFFSET($H$3,0,0,'Données projet'!$E$16+1,1))</f>
        <v>343.71044073996887</v>
      </c>
      <c r="FK127" s="62">
        <f t="shared" si="102"/>
        <v>193.51732627292375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3.2</v>
      </c>
      <c r="N128" s="14">
        <f>IF('Données projet'!$A$36&gt;35,N127+M128-V127,IF(A128&lt;'Données projet'!$A$36,$K$205^A128,IF(A128='Données projet'!$A$36,'Données projet'!$B$36,N127+M128-V127)))</f>
        <v>283.99999999999943</v>
      </c>
      <c r="O128" s="14">
        <f>N128*VLOOKUP('Données projet'!$B$9,Paramètres!$A$1:$I$89,3,0)*VLOOKUP('Données projet'!$B$9,Paramètres!$A$1:$I$89,5,0)</f>
        <v>256.96319999999946</v>
      </c>
      <c r="P128" s="14">
        <f t="shared" si="87"/>
        <v>62.07461295683791</v>
      </c>
      <c r="Q128" s="22">
        <f t="shared" si="107"/>
        <v>555.65752423315837</v>
      </c>
      <c r="R128" s="62">
        <f t="shared" si="55"/>
        <v>848.99085756649174</v>
      </c>
      <c r="S128" s="62">
        <f ca="1">AVERAGE(OFFSET($R$3,0,0,'Données projet'!$E$9+1,1))-AVERAGE(OFFSET($H$3,0,0,'Données projet'!$E$9+1,1))</f>
        <v>303.73499739059076</v>
      </c>
      <c r="T128" s="62">
        <f t="shared" si="88"/>
        <v>172.32171001882188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-2.2737367544323206E-13</v>
      </c>
      <c r="AJ128" s="14">
        <f>AI128*VLOOKUP('Données projet'!$B$10,Paramètres!$A$1:$I$89,3,0)*VLOOKUP('Données projet'!$B$10,Paramètres!$A$1:$I$89,5,0)</f>
        <v>-1.6671037883497774E-13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215.66498680344858</v>
      </c>
      <c r="AO128" s="62">
        <f t="shared" si="90"/>
        <v>199.86715787211114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-5.6843418860808015E-14</v>
      </c>
      <c r="BE128" s="14">
        <f>BD128*VLOOKUP('Données projet'!$B$11,Paramètres!$A$1:$I$89,3,0)*VLOOKUP('Données projet'!$B$11,Paramètres!$A$1:$I$89,5,0)</f>
        <v>-3.3992364478763198E-14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155.11440101086782</v>
      </c>
      <c r="BJ128" s="62">
        <f t="shared" si="92"/>
        <v>239.53454701506638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2.0565279517730573</v>
      </c>
      <c r="BQ128" s="23">
        <f>EXP(-LN(2)/25)*BQ127+(1-EXP(-LN(2)/25))/(LN(2)/25)*Calculateur!BL128*Calculateur!BN128*VLOOKUP('Données projet'!$B$11,Paramètres!$A$1:$I$89,3,0)*0.475*44/12</f>
        <v>0.51993221953703095</v>
      </c>
      <c r="BR128" s="23">
        <f>EXP(-LN(2)/2)*BR127+(1-EXP(-LN(2)/2))/(LN(2)/2)*BL128*BO128*VLOOKUP('Données projet'!$B$11,Paramètres!$A$1:$I$89,3,0)*0.475*44/12</f>
        <v>1.4816362505698907E-14</v>
      </c>
      <c r="BS128" s="24">
        <f t="shared" si="63"/>
        <v>2.576460171310103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-5.6843418860808015E-14</v>
      </c>
      <c r="BZ128" s="14">
        <f>BY128*VLOOKUP('Données projet'!$B$12,Paramètres!$A$1:$I$89,3,0)*VLOOKUP('Données projet'!$B$12,Paramètres!$A$1:$I$89,5,0)</f>
        <v>-3.3992364478763198E-14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155.11440101086782</v>
      </c>
      <c r="CE128" s="62">
        <f t="shared" si="94"/>
        <v>239.53454701506638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2.0565279517730573</v>
      </c>
      <c r="CL128" s="23">
        <f>EXP(-LN(2)/25)*CL127+(1-EXP(-LN(2)/25))/(LN(2)/25)*Calculateur!CG128*Calculateur!CI128*VLOOKUP('Données projet'!$B$12,Paramètres!$A$1:$I$89,3,0)*0.475*44/12</f>
        <v>0.51993221953703095</v>
      </c>
      <c r="CM128" s="23">
        <f>EXP(-LN(2)/2)*CM127+(1-EXP(-LN(2)/2))/(LN(2)/2)*CG128*CJ128*VLOOKUP('Données projet'!$B$12,Paramètres!$A$1:$I$89,3,0)*0.475*44/12</f>
        <v>1.4816362505698907E-14</v>
      </c>
      <c r="CN128" s="24">
        <f t="shared" si="66"/>
        <v>2.576460171310103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-1.1368683772161603E-13</v>
      </c>
      <c r="CU128" s="18">
        <f>CT128*VLOOKUP('Données projet'!$B$13,Paramètres!$A$1:$I$89,3,0)*VLOOKUP('Données projet'!$B$13,Paramètres!$A$1:$I$89,5,0)</f>
        <v>-9.2222762759774927E-14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191.03017979797141</v>
      </c>
      <c r="CZ128" s="62">
        <f t="shared" si="96"/>
        <v>222.78252111624278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-1.1368683772161603E-13</v>
      </c>
      <c r="DP128" s="18">
        <f>DO128*VLOOKUP('Données projet'!$B$14,Paramètres!$A$1:$I$89,3,0)*VLOOKUP('Données projet'!$B$14,Paramètres!$A$1:$I$89,5,0)</f>
        <v>-1.0818439477588981E-13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260.93525280373063</v>
      </c>
      <c r="DU128" s="62">
        <f t="shared" si="98"/>
        <v>206.83968452163816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1.2474999999999994</v>
      </c>
      <c r="EJ128" s="13">
        <f>IF('Données projet'!$A$192&gt;35,EJ127+EI128-ER127,IF(A128&lt;'Données projet'!$A$192,$EG$205^A128,IF(A128='Données projet'!$A$192,'Données projet'!$B$192,EJ127+EI128-ER127)))</f>
        <v>118.00416666666663</v>
      </c>
      <c r="EK128" s="18">
        <f>EJ128*VLOOKUP('Données projet'!$B$15,Paramètres!$A$1:$I$89,3,0)*VLOOKUP('Données projet'!$B$15,Paramètres!$A$1:$I$89,5,0)</f>
        <v>135.94079999999994</v>
      </c>
      <c r="EL128" s="14">
        <f t="shared" si="99"/>
        <v>35.365513394923219</v>
      </c>
      <c r="EM128" s="22">
        <f t="shared" si="73"/>
        <v>298.35849582949118</v>
      </c>
      <c r="EN128" s="62">
        <f t="shared" si="74"/>
        <v>591.69182916282443</v>
      </c>
      <c r="EO128" s="62">
        <f ca="1">AVERAGE(OFFSET($EN$3,0,0,'Données projet'!$E$15+1,1))-AVERAGE(OFFSET($H$3,0,0,'Données projet'!$E$15+1,1))</f>
        <v>118.01099353898547</v>
      </c>
      <c r="EP128" s="62">
        <f t="shared" si="100"/>
        <v>103.17146760845947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3.2</v>
      </c>
      <c r="FE128" s="13">
        <f>IF('Données projet'!$A$218&gt;35,FE127+FD128-FM127,IF(A128&lt;'Données projet'!$A$218,$FB$205^A128,IF(A128='Données projet'!$A$218,'Données projet'!$B$218,FE127+FD128-FM127)))</f>
        <v>283.99999999999943</v>
      </c>
      <c r="FF128" s="18">
        <f>FE128*VLOOKUP('Données projet'!$B$16,Paramètres!$A$1:$I$89,3,0)*VLOOKUP('Données projet'!$B$16,Paramètres!$A$1:$I$89,5,0)</f>
        <v>283.54559999999947</v>
      </c>
      <c r="FG128" s="14">
        <f t="shared" si="101"/>
        <v>67.715746461503485</v>
      </c>
      <c r="FH128" s="22">
        <f t="shared" si="76"/>
        <v>611.78017842045085</v>
      </c>
      <c r="FI128" s="62">
        <f t="shared" si="77"/>
        <v>905.11351175378422</v>
      </c>
      <c r="FJ128" s="62">
        <f ca="1">AVERAGE(OFFSET($FI$3,0,0,'Données projet'!$E$16+1,1))-AVERAGE(OFFSET($H$3,0,0,'Données projet'!$E$16+1,1))</f>
        <v>343.71044073996887</v>
      </c>
      <c r="FK128" s="62">
        <f t="shared" si="102"/>
        <v>193.51732627292375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3.2</v>
      </c>
      <c r="N129" s="14">
        <f>IF('Données projet'!$A$36&gt;35,N128+M129-V128,IF(A129&lt;'Données projet'!$A$36,$K$205^A129,IF(A129='Données projet'!$A$36,'Données projet'!$B$36,N128+M129-V128)))</f>
        <v>287.19999999999942</v>
      </c>
      <c r="O129" s="14">
        <f>N129*VLOOKUP('Données projet'!$B$9,Paramètres!$A$1:$I$89,3,0)*VLOOKUP('Données projet'!$B$9,Paramètres!$A$1:$I$89,5,0)</f>
        <v>259.85855999999944</v>
      </c>
      <c r="P129" s="14">
        <f t="shared" si="87"/>
        <v>62.692227709138365</v>
      </c>
      <c r="Q129" s="22">
        <f t="shared" si="107"/>
        <v>561.77595526008167</v>
      </c>
      <c r="R129" s="62">
        <f t="shared" si="55"/>
        <v>855.10928859341493</v>
      </c>
      <c r="S129" s="62">
        <f ca="1">AVERAGE(OFFSET($R$3,0,0,'Données projet'!$E$9+1,1))-AVERAGE(OFFSET($H$3,0,0,'Données projet'!$E$9+1,1))</f>
        <v>303.73499739059076</v>
      </c>
      <c r="T129" s="62">
        <f t="shared" si="88"/>
        <v>172.32171001882188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-2.2737367544323206E-13</v>
      </c>
      <c r="AJ129" s="14">
        <f>AI129*VLOOKUP('Données projet'!$B$10,Paramètres!$A$1:$I$89,3,0)*VLOOKUP('Données projet'!$B$10,Paramètres!$A$1:$I$89,5,0)</f>
        <v>-1.6671037883497774E-13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215.66498680344858</v>
      </c>
      <c r="AO129" s="62">
        <f t="shared" si="90"/>
        <v>199.86715787211114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-5.6843418860808015E-14</v>
      </c>
      <c r="BE129" s="14">
        <f>BD129*VLOOKUP('Données projet'!$B$11,Paramètres!$A$1:$I$89,3,0)*VLOOKUP('Données projet'!$B$11,Paramètres!$A$1:$I$89,5,0)</f>
        <v>-3.3992364478763198E-14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155.11440101086782</v>
      </c>
      <c r="BJ129" s="62">
        <f t="shared" si="92"/>
        <v>239.53454701506638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2.0162006929969807</v>
      </c>
      <c r="BQ129" s="23">
        <f>EXP(-LN(2)/25)*BQ128+(1-EXP(-LN(2)/25))/(LN(2)/25)*Calculateur!BL129*Calculateur!BN129*VLOOKUP('Données projet'!$B$11,Paramètres!$A$1:$I$89,3,0)*0.475*44/12</f>
        <v>0.50571464565174373</v>
      </c>
      <c r="BR129" s="23">
        <f>EXP(-LN(2)/2)*BR128+(1-EXP(-LN(2)/2))/(LN(2)/2)*BL129*BO129*VLOOKUP('Données projet'!$B$11,Paramètres!$A$1:$I$89,3,0)*0.475*44/12</f>
        <v>1.0476750400297804E-14</v>
      </c>
      <c r="BS129" s="24">
        <f t="shared" si="63"/>
        <v>2.5219153386487352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-5.6843418860808015E-14</v>
      </c>
      <c r="BZ129" s="14">
        <f>BY129*VLOOKUP('Données projet'!$B$12,Paramètres!$A$1:$I$89,3,0)*VLOOKUP('Données projet'!$B$12,Paramètres!$A$1:$I$89,5,0)</f>
        <v>-3.3992364478763198E-14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155.11440101086782</v>
      </c>
      <c r="CE129" s="62">
        <f t="shared" si="94"/>
        <v>239.53454701506638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2.0162006929969807</v>
      </c>
      <c r="CL129" s="23">
        <f>EXP(-LN(2)/25)*CL128+(1-EXP(-LN(2)/25))/(LN(2)/25)*Calculateur!CG129*Calculateur!CI129*VLOOKUP('Données projet'!$B$12,Paramètres!$A$1:$I$89,3,0)*0.475*44/12</f>
        <v>0.50571464565174373</v>
      </c>
      <c r="CM129" s="23">
        <f>EXP(-LN(2)/2)*CM128+(1-EXP(-LN(2)/2))/(LN(2)/2)*CG129*CJ129*VLOOKUP('Données projet'!$B$12,Paramètres!$A$1:$I$89,3,0)*0.475*44/12</f>
        <v>1.0476750400297804E-14</v>
      </c>
      <c r="CN129" s="24">
        <f t="shared" si="66"/>
        <v>2.5219153386487352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-1.1368683772161603E-13</v>
      </c>
      <c r="CU129" s="18">
        <f>CT129*VLOOKUP('Données projet'!$B$13,Paramètres!$A$1:$I$89,3,0)*VLOOKUP('Données projet'!$B$13,Paramètres!$A$1:$I$89,5,0)</f>
        <v>-9.2222762759774927E-14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191.03017979797141</v>
      </c>
      <c r="CZ129" s="62">
        <f t="shared" si="96"/>
        <v>222.78252111624278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-1.1368683772161603E-13</v>
      </c>
      <c r="DP129" s="18">
        <f>DO129*VLOOKUP('Données projet'!$B$14,Paramètres!$A$1:$I$89,3,0)*VLOOKUP('Données projet'!$B$14,Paramètres!$A$1:$I$89,5,0)</f>
        <v>-1.0818439477588981E-13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260.93525280373063</v>
      </c>
      <c r="DU129" s="62">
        <f t="shared" si="98"/>
        <v>206.83968452163816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1.2474999999999994</v>
      </c>
      <c r="EJ129" s="13">
        <f>IF('Données projet'!$A$192&gt;35,EJ128+EI129-ER128,IF(A129&lt;'Données projet'!$A$192,$EG$205^A129,IF(A129='Données projet'!$A$192,'Données projet'!$B$192,EJ128+EI129-ER128)))</f>
        <v>119.25166666666664</v>
      </c>
      <c r="EK129" s="18">
        <f>EJ129*VLOOKUP('Données projet'!$B$15,Paramètres!$A$1:$I$89,3,0)*VLOOKUP('Données projet'!$B$15,Paramètres!$A$1:$I$89,5,0)</f>
        <v>137.37791999999996</v>
      </c>
      <c r="EL129" s="14">
        <f t="shared" si="99"/>
        <v>35.695664413414427</v>
      </c>
      <c r="EM129" s="22">
        <f t="shared" si="73"/>
        <v>301.43649285336335</v>
      </c>
      <c r="EN129" s="62">
        <f t="shared" si="74"/>
        <v>594.76982618669672</v>
      </c>
      <c r="EO129" s="62">
        <f ca="1">AVERAGE(OFFSET($EN$3,0,0,'Données projet'!$E$15+1,1))-AVERAGE(OFFSET($H$3,0,0,'Données projet'!$E$15+1,1))</f>
        <v>118.01099353898547</v>
      </c>
      <c r="EP129" s="62">
        <f t="shared" si="100"/>
        <v>103.17146760845947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3.2</v>
      </c>
      <c r="FE129" s="13">
        <f>IF('Données projet'!$A$218&gt;35,FE128+FD129-FM128,IF(A129&lt;'Données projet'!$A$218,$FB$205^A129,IF(A129='Données projet'!$A$218,'Données projet'!$B$218,FE128+FD129-FM128)))</f>
        <v>287.19999999999942</v>
      </c>
      <c r="FF129" s="18">
        <f>FE129*VLOOKUP('Données projet'!$B$16,Paramètres!$A$1:$I$89,3,0)*VLOOKUP('Données projet'!$B$16,Paramètres!$A$1:$I$89,5,0)</f>
        <v>286.74047999999942</v>
      </c>
      <c r="FG129" s="14">
        <f t="shared" si="101"/>
        <v>68.389487979742853</v>
      </c>
      <c r="FH129" s="22">
        <f t="shared" si="76"/>
        <v>618.51802756471784</v>
      </c>
      <c r="FI129" s="62">
        <f t="shared" si="77"/>
        <v>911.8513608980511</v>
      </c>
      <c r="FJ129" s="62">
        <f ca="1">AVERAGE(OFFSET($FI$3,0,0,'Données projet'!$E$16+1,1))-AVERAGE(OFFSET($H$3,0,0,'Données projet'!$E$16+1,1))</f>
        <v>343.71044073996887</v>
      </c>
      <c r="FK129" s="62">
        <f t="shared" si="102"/>
        <v>193.51732627292375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3.2</v>
      </c>
      <c r="N130" s="14">
        <f>IF('Données projet'!$A$36&gt;35,N129+M130-V129,IF(A130&lt;'Données projet'!$A$36,$K$205^A130,IF(A130='Données projet'!$A$36,'Données projet'!$B$36,N129+M130-V129)))</f>
        <v>290.39999999999941</v>
      </c>
      <c r="O130" s="14">
        <f>N130*VLOOKUP('Données projet'!$B$9,Paramètres!$A$1:$I$89,3,0)*VLOOKUP('Données projet'!$B$9,Paramètres!$A$1:$I$89,5,0)</f>
        <v>262.75391999999948</v>
      </c>
      <c r="P130" s="14">
        <f t="shared" si="87"/>
        <v>63.309041956360211</v>
      </c>
      <c r="Q130" s="22">
        <f t="shared" si="107"/>
        <v>567.89299207399313</v>
      </c>
      <c r="R130" s="62">
        <f t="shared" si="55"/>
        <v>861.22632540732639</v>
      </c>
      <c r="S130" s="62">
        <f ca="1">AVERAGE(OFFSET($R$3,0,0,'Données projet'!$E$9+1,1))-AVERAGE(OFFSET($H$3,0,0,'Données projet'!$E$9+1,1))</f>
        <v>303.73499739059076</v>
      </c>
      <c r="T130" s="62">
        <f t="shared" si="88"/>
        <v>172.32171001882188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-2.2737367544323206E-13</v>
      </c>
      <c r="AJ130" s="14">
        <f>AI130*VLOOKUP('Données projet'!$B$10,Paramètres!$A$1:$I$89,3,0)*VLOOKUP('Données projet'!$B$10,Paramètres!$A$1:$I$89,5,0)</f>
        <v>-1.6671037883497774E-13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215.66498680344858</v>
      </c>
      <c r="AO130" s="62">
        <f t="shared" si="90"/>
        <v>199.86715787211114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-5.6843418860808015E-14</v>
      </c>
      <c r="BE130" s="14">
        <f>BD130*VLOOKUP('Données projet'!$B$11,Paramètres!$A$1:$I$89,3,0)*VLOOKUP('Données projet'!$B$11,Paramètres!$A$1:$I$89,5,0)</f>
        <v>-3.3992364478763198E-14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155.11440101086782</v>
      </c>
      <c r="BJ130" s="62">
        <f t="shared" si="92"/>
        <v>239.53454701506638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1.9766642271683037</v>
      </c>
      <c r="BQ130" s="23">
        <f>EXP(-LN(2)/25)*BQ129+(1-EXP(-LN(2)/25))/(LN(2)/25)*Calculateur!BL130*Calculateur!BN130*VLOOKUP('Données projet'!$B$11,Paramètres!$A$1:$I$89,3,0)*0.475*44/12</f>
        <v>0.4918858520720194</v>
      </c>
      <c r="BR130" s="23">
        <f>EXP(-LN(2)/2)*BR129+(1-EXP(-LN(2)/2))/(LN(2)/2)*BL130*BO130*VLOOKUP('Données projet'!$B$11,Paramètres!$A$1:$I$89,3,0)*0.475*44/12</f>
        <v>7.4081812528494533E-15</v>
      </c>
      <c r="BS130" s="24">
        <f t="shared" si="63"/>
        <v>2.4685500792403308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-5.6843418860808015E-14</v>
      </c>
      <c r="BZ130" s="14">
        <f>BY130*VLOOKUP('Données projet'!$B$12,Paramètres!$A$1:$I$89,3,0)*VLOOKUP('Données projet'!$B$12,Paramètres!$A$1:$I$89,5,0)</f>
        <v>-3.3992364478763198E-14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155.11440101086782</v>
      </c>
      <c r="CE130" s="62">
        <f t="shared" si="94"/>
        <v>239.53454701506638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1.9766642271683037</v>
      </c>
      <c r="CL130" s="23">
        <f>EXP(-LN(2)/25)*CL129+(1-EXP(-LN(2)/25))/(LN(2)/25)*Calculateur!CG130*Calculateur!CI130*VLOOKUP('Données projet'!$B$12,Paramètres!$A$1:$I$89,3,0)*0.475*44/12</f>
        <v>0.4918858520720194</v>
      </c>
      <c r="CM130" s="23">
        <f>EXP(-LN(2)/2)*CM129+(1-EXP(-LN(2)/2))/(LN(2)/2)*CG130*CJ130*VLOOKUP('Données projet'!$B$12,Paramètres!$A$1:$I$89,3,0)*0.475*44/12</f>
        <v>7.4081812528494533E-15</v>
      </c>
      <c r="CN130" s="24">
        <f t="shared" si="66"/>
        <v>2.4685500792403308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-1.1368683772161603E-13</v>
      </c>
      <c r="CU130" s="18">
        <f>CT130*VLOOKUP('Données projet'!$B$13,Paramètres!$A$1:$I$89,3,0)*VLOOKUP('Données projet'!$B$13,Paramètres!$A$1:$I$89,5,0)</f>
        <v>-9.2222762759774927E-14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191.03017979797141</v>
      </c>
      <c r="CZ130" s="62">
        <f t="shared" si="96"/>
        <v>222.78252111624278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-1.1368683772161603E-13</v>
      </c>
      <c r="DP130" s="18">
        <f>DO130*VLOOKUP('Données projet'!$B$14,Paramètres!$A$1:$I$89,3,0)*VLOOKUP('Données projet'!$B$14,Paramètres!$A$1:$I$89,5,0)</f>
        <v>-1.0818439477588981E-13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260.93525280373063</v>
      </c>
      <c r="DU130" s="62">
        <f t="shared" si="98"/>
        <v>206.83968452163816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1.2474999999999994</v>
      </c>
      <c r="EJ130" s="13">
        <f>IF('Données projet'!$A$192&gt;35,EJ129+EI130-ER129,IF(A130&lt;'Données projet'!$A$192,$EG$205^A130,IF(A130='Données projet'!$A$192,'Données projet'!$B$192,EJ129+EI130-ER129)))</f>
        <v>120.49916666666664</v>
      </c>
      <c r="EK130" s="18">
        <f>EJ130*VLOOKUP('Données projet'!$B$15,Paramètres!$A$1:$I$89,3,0)*VLOOKUP('Données projet'!$B$15,Paramètres!$A$1:$I$89,5,0)</f>
        <v>138.81503999999995</v>
      </c>
      <c r="EL130" s="14">
        <f t="shared" si="99"/>
        <v>36.02541365431572</v>
      </c>
      <c r="EM130" s="22">
        <f t="shared" si="73"/>
        <v>304.51379011459977</v>
      </c>
      <c r="EN130" s="62">
        <f t="shared" si="74"/>
        <v>597.84712344793309</v>
      </c>
      <c r="EO130" s="62">
        <f ca="1">AVERAGE(OFFSET($EN$3,0,0,'Données projet'!$E$15+1,1))-AVERAGE(OFFSET($H$3,0,0,'Données projet'!$E$15+1,1))</f>
        <v>118.01099353898547</v>
      </c>
      <c r="EP130" s="62">
        <f t="shared" si="100"/>
        <v>103.17146760845947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3.2</v>
      </c>
      <c r="FE130" s="13">
        <f>IF('Données projet'!$A$218&gt;35,FE129+FD130-FM129,IF(A130&lt;'Données projet'!$A$218,$FB$205^A130,IF(A130='Données projet'!$A$218,'Données projet'!$B$218,FE129+FD130-FM129)))</f>
        <v>290.39999999999941</v>
      </c>
      <c r="FF130" s="18">
        <f>FE130*VLOOKUP('Données projet'!$B$16,Paramètres!$A$1:$I$89,3,0)*VLOOKUP('Données projet'!$B$16,Paramètres!$A$1:$I$89,5,0)</f>
        <v>289.93535999999943</v>
      </c>
      <c r="FG130" s="14">
        <f t="shared" si="101"/>
        <v>69.062356245675602</v>
      </c>
      <c r="FH130" s="22">
        <f t="shared" si="76"/>
        <v>625.25435579455075</v>
      </c>
      <c r="FI130" s="62">
        <f t="shared" si="77"/>
        <v>918.587689127884</v>
      </c>
      <c r="FJ130" s="62">
        <f ca="1">AVERAGE(OFFSET($FI$3,0,0,'Données projet'!$E$16+1,1))-AVERAGE(OFFSET($H$3,0,0,'Données projet'!$E$16+1,1))</f>
        <v>343.71044073996887</v>
      </c>
      <c r="FK130" s="62">
        <f t="shared" si="102"/>
        <v>193.51732627292375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3.2</v>
      </c>
      <c r="N131" s="14">
        <f>IF('Données projet'!$A$36&gt;35,N130+M131-V130,IF(A131&lt;'Données projet'!$A$36,$K$205^A131,IF(A131='Données projet'!$A$36,'Données projet'!$B$36,N130+M131-V130)))</f>
        <v>293.5999999999994</v>
      </c>
      <c r="O131" s="14">
        <f>N131*VLOOKUP('Données projet'!$B$9,Paramètres!$A$1:$I$89,3,0)*VLOOKUP('Données projet'!$B$9,Paramètres!$A$1:$I$89,5,0)</f>
        <v>265.64927999999946</v>
      </c>
      <c r="P131" s="14">
        <f t="shared" si="87"/>
        <v>63.925065540346907</v>
      </c>
      <c r="Q131" s="22">
        <f t="shared" ref="Q131:Q153" si="108">(O131+P131)*0.475*44/12</f>
        <v>574.00865181610322</v>
      </c>
      <c r="R131" s="62">
        <f t="shared" ref="R131:R194" si="109">Q131+(I131+J131)*44/12</f>
        <v>867.3419851494366</v>
      </c>
      <c r="S131" s="62">
        <f ca="1">AVERAGE(OFFSET($R$3,0,0,'Données projet'!$E$9+1,1))-AVERAGE(OFFSET($H$3,0,0,'Données projet'!$E$9+1,1))</f>
        <v>303.73499739059076</v>
      </c>
      <c r="T131" s="62">
        <f t="shared" si="88"/>
        <v>172.32171001882188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-2.2737367544323206E-13</v>
      </c>
      <c r="AJ131" s="14">
        <f>AI131*VLOOKUP('Données projet'!$B$10,Paramètres!$A$1:$I$89,3,0)*VLOOKUP('Données projet'!$B$10,Paramètres!$A$1:$I$89,5,0)</f>
        <v>-1.6671037883497774E-13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215.66498680344858</v>
      </c>
      <c r="AO131" s="62">
        <f t="shared" si="90"/>
        <v>199.86715787211114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-5.6843418860808015E-14</v>
      </c>
      <c r="BE131" s="14">
        <f>BD131*VLOOKUP('Données projet'!$B$11,Paramètres!$A$1:$I$89,3,0)*VLOOKUP('Données projet'!$B$11,Paramètres!$A$1:$I$89,5,0)</f>
        <v>-3.3992364478763198E-14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155.11440101086782</v>
      </c>
      <c r="BJ131" s="62">
        <f t="shared" si="92"/>
        <v>239.53454701506638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1.9379030473196641</v>
      </c>
      <c r="BQ131" s="23">
        <f>EXP(-LN(2)/25)*BQ130+(1-EXP(-LN(2)/25))/(LN(2)/25)*Calculateur!BL131*Calculateur!BN131*VLOOKUP('Données projet'!$B$11,Paramètres!$A$1:$I$89,3,0)*0.475*44/12</f>
        <v>0.47843520757995728</v>
      </c>
      <c r="BR131" s="23">
        <f>EXP(-LN(2)/2)*BR130+(1-EXP(-LN(2)/2))/(LN(2)/2)*BL131*BO131*VLOOKUP('Données projet'!$B$11,Paramètres!$A$1:$I$89,3,0)*0.475*44/12</f>
        <v>5.238375200148902E-15</v>
      </c>
      <c r="BS131" s="24">
        <f t="shared" si="63"/>
        <v>2.4163382548996268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-5.6843418860808015E-14</v>
      </c>
      <c r="BZ131" s="14">
        <f>BY131*VLOOKUP('Données projet'!$B$12,Paramètres!$A$1:$I$89,3,0)*VLOOKUP('Données projet'!$B$12,Paramètres!$A$1:$I$89,5,0)</f>
        <v>-3.3992364478763198E-14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155.11440101086782</v>
      </c>
      <c r="CE131" s="62">
        <f t="shared" si="94"/>
        <v>239.53454701506638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1.9379030473196641</v>
      </c>
      <c r="CL131" s="23">
        <f>EXP(-LN(2)/25)*CL130+(1-EXP(-LN(2)/25))/(LN(2)/25)*Calculateur!CG131*Calculateur!CI131*VLOOKUP('Données projet'!$B$12,Paramètres!$A$1:$I$89,3,0)*0.475*44/12</f>
        <v>0.47843520757995728</v>
      </c>
      <c r="CM131" s="23">
        <f>EXP(-LN(2)/2)*CM130+(1-EXP(-LN(2)/2))/(LN(2)/2)*CG131*CJ131*VLOOKUP('Données projet'!$B$12,Paramètres!$A$1:$I$89,3,0)*0.475*44/12</f>
        <v>5.238375200148902E-15</v>
      </c>
      <c r="CN131" s="24">
        <f t="shared" si="66"/>
        <v>2.4163382548996268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-1.1368683772161603E-13</v>
      </c>
      <c r="CU131" s="18">
        <f>CT131*VLOOKUP('Données projet'!$B$13,Paramètres!$A$1:$I$89,3,0)*VLOOKUP('Données projet'!$B$13,Paramètres!$A$1:$I$89,5,0)</f>
        <v>-9.2222762759774927E-14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191.03017979797141</v>
      </c>
      <c r="CZ131" s="62">
        <f t="shared" si="96"/>
        <v>222.78252111624278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-1.1368683772161603E-13</v>
      </c>
      <c r="DP131" s="18">
        <f>DO131*VLOOKUP('Données projet'!$B$14,Paramètres!$A$1:$I$89,3,0)*VLOOKUP('Données projet'!$B$14,Paramètres!$A$1:$I$89,5,0)</f>
        <v>-1.0818439477588981E-13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260.93525280373063</v>
      </c>
      <c r="DU131" s="62">
        <f t="shared" si="98"/>
        <v>206.83968452163816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1.2474999999999994</v>
      </c>
      <c r="EJ131" s="13">
        <f>IF('Données projet'!$A$192&gt;35,EJ130+EI131-ER130,IF(A131&lt;'Données projet'!$A$192,$EG$205^A131,IF(A131='Données projet'!$A$192,'Données projet'!$B$192,EJ130+EI131-ER130)))</f>
        <v>121.74666666666664</v>
      </c>
      <c r="EK131" s="18">
        <f>EJ131*VLOOKUP('Données projet'!$B$15,Paramètres!$A$1:$I$89,3,0)*VLOOKUP('Données projet'!$B$15,Paramètres!$A$1:$I$89,5,0)</f>
        <v>140.25215999999998</v>
      </c>
      <c r="EL131" s="14">
        <f t="shared" si="99"/>
        <v>36.354765758674333</v>
      </c>
      <c r="EM131" s="22">
        <f t="shared" si="73"/>
        <v>307.59039569635775</v>
      </c>
      <c r="EN131" s="62">
        <f t="shared" si="74"/>
        <v>600.923729029691</v>
      </c>
      <c r="EO131" s="62">
        <f ca="1">AVERAGE(OFFSET($EN$3,0,0,'Données projet'!$E$15+1,1))-AVERAGE(OFFSET($H$3,0,0,'Données projet'!$E$15+1,1))</f>
        <v>118.01099353898547</v>
      </c>
      <c r="EP131" s="62">
        <f t="shared" si="100"/>
        <v>103.17146760845947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3.2</v>
      </c>
      <c r="FE131" s="13">
        <f>IF('Données projet'!$A$218&gt;35,FE130+FD131-FM130,IF(A131&lt;'Données projet'!$A$218,$FB$205^A131,IF(A131='Données projet'!$A$218,'Données projet'!$B$218,FE130+FD131-FM130)))</f>
        <v>293.5999999999994</v>
      </c>
      <c r="FF131" s="18">
        <f>FE131*VLOOKUP('Données projet'!$B$16,Paramètres!$A$1:$I$89,3,0)*VLOOKUP('Données projet'!$B$16,Paramètres!$A$1:$I$89,5,0)</f>
        <v>293.13023999999945</v>
      </c>
      <c r="FG131" s="14">
        <f t="shared" si="101"/>
        <v>69.734361995539217</v>
      </c>
      <c r="FH131" s="22">
        <f t="shared" si="76"/>
        <v>631.98918180889655</v>
      </c>
      <c r="FI131" s="62">
        <f t="shared" si="77"/>
        <v>925.3225151422298</v>
      </c>
      <c r="FJ131" s="62">
        <f ca="1">AVERAGE(OFFSET($FI$3,0,0,'Données projet'!$E$16+1,1))-AVERAGE(OFFSET($H$3,0,0,'Données projet'!$E$16+1,1))</f>
        <v>343.71044073996887</v>
      </c>
      <c r="FK131" s="62">
        <f t="shared" si="102"/>
        <v>193.51732627292375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3.2</v>
      </c>
      <c r="N132" s="14">
        <f>IF('Données projet'!$A$36&gt;35,N131+M132-V131,IF(A132&lt;'Données projet'!$A$36,$K$205^A132,IF(A132='Données projet'!$A$36,'Données projet'!$B$36,N131+M132-V131)))</f>
        <v>296.79999999999939</v>
      </c>
      <c r="O132" s="14">
        <f>N132*VLOOKUP('Données projet'!$B$9,Paramètres!$A$1:$I$89,3,0)*VLOOKUP('Données projet'!$B$9,Paramètres!$A$1:$I$89,5,0)</f>
        <v>268.54463999999945</v>
      </c>
      <c r="P132" s="14">
        <f t="shared" si="87"/>
        <v>64.540308076050593</v>
      </c>
      <c r="Q132" s="22">
        <f t="shared" si="108"/>
        <v>580.12295123245383</v>
      </c>
      <c r="R132" s="62">
        <f t="shared" si="109"/>
        <v>873.4562845657872</v>
      </c>
      <c r="S132" s="62">
        <f ca="1">AVERAGE(OFFSET($R$3,0,0,'Données projet'!$E$9+1,1))-AVERAGE(OFFSET($H$3,0,0,'Données projet'!$E$9+1,1))</f>
        <v>303.73499739059076</v>
      </c>
      <c r="T132" s="62">
        <f t="shared" si="88"/>
        <v>172.32171001882188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-2.2737367544323206E-13</v>
      </c>
      <c r="AJ132" s="14">
        <f>AI132*VLOOKUP('Données projet'!$B$10,Paramètres!$A$1:$I$89,3,0)*VLOOKUP('Données projet'!$B$10,Paramètres!$A$1:$I$89,5,0)</f>
        <v>-1.6671037883497774E-13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215.66498680344858</v>
      </c>
      <c r="AO132" s="62">
        <f t="shared" si="90"/>
        <v>199.86715787211114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-5.6843418860808015E-14</v>
      </c>
      <c r="BE132" s="14">
        <f>BD132*VLOOKUP('Données projet'!$B$11,Paramètres!$A$1:$I$89,3,0)*VLOOKUP('Données projet'!$B$11,Paramètres!$A$1:$I$89,5,0)</f>
        <v>-3.3992364478763198E-14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155.11440101086782</v>
      </c>
      <c r="BJ132" s="62">
        <f t="shared" si="92"/>
        <v>239.53454701506638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1.8999019505658712</v>
      </c>
      <c r="BQ132" s="23">
        <f>EXP(-LN(2)/25)*BQ131+(1-EXP(-LN(2)/25))/(LN(2)/25)*Calculateur!BL132*Calculateur!BN132*VLOOKUP('Données projet'!$B$11,Paramètres!$A$1:$I$89,3,0)*0.475*44/12</f>
        <v>0.46535237166886928</v>
      </c>
      <c r="BR132" s="23">
        <f>EXP(-LN(2)/2)*BR131+(1-EXP(-LN(2)/2))/(LN(2)/2)*BL132*BO132*VLOOKUP('Données projet'!$B$11,Paramètres!$A$1:$I$89,3,0)*0.475*44/12</f>
        <v>3.7040906264247267E-15</v>
      </c>
      <c r="BS132" s="24">
        <f t="shared" ref="BS132:BS153" si="117">SUM(BP132:BR132)</f>
        <v>2.365254322234744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-5.6843418860808015E-14</v>
      </c>
      <c r="BZ132" s="14">
        <f>BY132*VLOOKUP('Données projet'!$B$12,Paramètres!$A$1:$I$89,3,0)*VLOOKUP('Données projet'!$B$12,Paramètres!$A$1:$I$89,5,0)</f>
        <v>-3.3992364478763198E-14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155.11440101086782</v>
      </c>
      <c r="CE132" s="62">
        <f t="shared" si="94"/>
        <v>239.53454701506638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1.8999019505658712</v>
      </c>
      <c r="CL132" s="23">
        <f>EXP(-LN(2)/25)*CL131+(1-EXP(-LN(2)/25))/(LN(2)/25)*Calculateur!CG132*Calculateur!CI132*VLOOKUP('Données projet'!$B$12,Paramètres!$A$1:$I$89,3,0)*0.475*44/12</f>
        <v>0.46535237166886928</v>
      </c>
      <c r="CM132" s="23">
        <f>EXP(-LN(2)/2)*CM131+(1-EXP(-LN(2)/2))/(LN(2)/2)*CG132*CJ132*VLOOKUP('Données projet'!$B$12,Paramètres!$A$1:$I$89,3,0)*0.475*44/12</f>
        <v>3.7040906264247267E-15</v>
      </c>
      <c r="CN132" s="24">
        <f t="shared" ref="CN132:CN153" si="120">SUM(CK132:CM132)</f>
        <v>2.365254322234744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-1.1368683772161603E-13</v>
      </c>
      <c r="CU132" s="18">
        <f>CT132*VLOOKUP('Données projet'!$B$13,Paramètres!$A$1:$I$89,3,0)*VLOOKUP('Données projet'!$B$13,Paramètres!$A$1:$I$89,5,0)</f>
        <v>-9.2222762759774927E-14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191.03017979797141</v>
      </c>
      <c r="CZ132" s="62">
        <f t="shared" si="96"/>
        <v>222.78252111624278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-1.1368683772161603E-13</v>
      </c>
      <c r="DP132" s="18">
        <f>DO132*VLOOKUP('Données projet'!$B$14,Paramètres!$A$1:$I$89,3,0)*VLOOKUP('Données projet'!$B$14,Paramètres!$A$1:$I$89,5,0)</f>
        <v>-1.0818439477588981E-13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260.93525280373063</v>
      </c>
      <c r="DU132" s="62">
        <f t="shared" si="98"/>
        <v>206.83968452163816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1.2474999999999994</v>
      </c>
      <c r="EJ132" s="13">
        <f>IF('Données projet'!$A$192&gt;35,EJ131+EI132-ER131,IF(A132&lt;'Données projet'!$A$192,$EG$205^A132,IF(A132='Données projet'!$A$192,'Données projet'!$B$192,EJ131+EI132-ER131)))</f>
        <v>122.99416666666664</v>
      </c>
      <c r="EK132" s="18">
        <f>EJ132*VLOOKUP('Données projet'!$B$15,Paramètres!$A$1:$I$89,3,0)*VLOOKUP('Données projet'!$B$15,Paramètres!$A$1:$I$89,5,0)</f>
        <v>141.68927999999997</v>
      </c>
      <c r="EL132" s="14">
        <f t="shared" si="99"/>
        <v>36.683725266946084</v>
      </c>
      <c r="EM132" s="22">
        <f t="shared" ref="EM132:EM153" si="127">(EK132+EL132)*0.475*44/12</f>
        <v>310.66631750659769</v>
      </c>
      <c r="EN132" s="62">
        <f t="shared" ref="EN132:EN195" si="128">EM132+(EE132+EF132)*44/12</f>
        <v>603.99965083993106</v>
      </c>
      <c r="EO132" s="62">
        <f ca="1">AVERAGE(OFFSET($EN$3,0,0,'Données projet'!$E$15+1,1))-AVERAGE(OFFSET($H$3,0,0,'Données projet'!$E$15+1,1))</f>
        <v>118.01099353898547</v>
      </c>
      <c r="EP132" s="62">
        <f t="shared" si="100"/>
        <v>103.17146760845947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3.2</v>
      </c>
      <c r="FE132" s="13">
        <f>IF('Données projet'!$A$218&gt;35,FE131+FD132-FM131,IF(A132&lt;'Données projet'!$A$218,$FB$205^A132,IF(A132='Données projet'!$A$218,'Données projet'!$B$218,FE131+FD132-FM131)))</f>
        <v>296.79999999999939</v>
      </c>
      <c r="FF132" s="18">
        <f>FE132*VLOOKUP('Données projet'!$B$16,Paramètres!$A$1:$I$89,3,0)*VLOOKUP('Données projet'!$B$16,Paramètres!$A$1:$I$89,5,0)</f>
        <v>296.3251199999994</v>
      </c>
      <c r="FG132" s="14">
        <f t="shared" si="101"/>
        <v>70.405515718060343</v>
      </c>
      <c r="FH132" s="22">
        <f t="shared" ref="FH132:FH153" si="130">(FF132+FG132)*0.475*44/12</f>
        <v>638.7225238756206</v>
      </c>
      <c r="FI132" s="62">
        <f t="shared" ref="FI132:FI195" si="131">FH132+(EZ132+FA132)*44/12</f>
        <v>932.05585720895397</v>
      </c>
      <c r="FJ132" s="62">
        <f ca="1">AVERAGE(OFFSET($FI$3,0,0,'Données projet'!$E$16+1,1))-AVERAGE(OFFSET($H$3,0,0,'Données projet'!$E$16+1,1))</f>
        <v>343.71044073996887</v>
      </c>
      <c r="FK132" s="62">
        <f t="shared" si="102"/>
        <v>193.51732627292375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300</v>
      </c>
      <c r="L133" s="13">
        <f>VLOOKUP(A133,'Données projet'!$A$35:$I$55,9,0)</f>
        <v>3.2</v>
      </c>
      <c r="M133" s="13">
        <f t="array" ref="M133">INDEX(L:L,MIN(IF(ISNUMBER(L133:L329),ROW(L133:L329),"")))</f>
        <v>3.2</v>
      </c>
      <c r="N133" s="14">
        <f>IF('Données projet'!$A$36&gt;35,N132+M133-V132,IF(A133&lt;'Données projet'!$A$36,$K$205^A133,IF(A133='Données projet'!$A$36,'Données projet'!$B$36,N132+M133-V132)))</f>
        <v>299.99999999999937</v>
      </c>
      <c r="O133" s="14">
        <f>N133*VLOOKUP('Données projet'!$B$9,Paramètres!$A$1:$I$89,3,0)*VLOOKUP('Données projet'!$B$9,Paramètres!$A$1:$I$89,5,0)</f>
        <v>271.43999999999943</v>
      </c>
      <c r="P133" s="14">
        <f t="shared" ref="P133:P196" si="141">EXP(-1.0587+0.8836*LN(O133)+0.284)</f>
        <v>65.154778959151116</v>
      </c>
      <c r="Q133" s="22">
        <f t="shared" si="108"/>
        <v>586.23590668718714</v>
      </c>
      <c r="R133" s="62">
        <f t="shared" si="109"/>
        <v>879.56924002052051</v>
      </c>
      <c r="S133" s="62">
        <f ca="1">AVERAGE(OFFSET($R$3,0,0,'Données projet'!$E$9+1,1))-AVERAGE(OFFSET($H$3,0,0,'Données projet'!$E$9+1,1))</f>
        <v>303.73499739059076</v>
      </c>
      <c r="T133" s="62">
        <f t="shared" ref="T133:T196" si="142">$T$3</f>
        <v>172.32171001882188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31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-2.2737367544323206E-13</v>
      </c>
      <c r="AJ133" s="14">
        <f>AI133*VLOOKUP('Données projet'!$B$10,Paramètres!$A$1:$I$89,3,0)*VLOOKUP('Données projet'!$B$10,Paramètres!$A$1:$I$89,5,0)</f>
        <v>-1.6671037883497774E-13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215.66498680344858</v>
      </c>
      <c r="AO133" s="62">
        <f t="shared" ref="AO133:AO196" si="144">$AO$3</f>
        <v>199.86715787211114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-5.6843418860808015E-14</v>
      </c>
      <c r="BE133" s="14">
        <f>BD133*VLOOKUP('Données projet'!$B$11,Paramètres!$A$1:$I$89,3,0)*VLOOKUP('Données projet'!$B$11,Paramètres!$A$1:$I$89,5,0)</f>
        <v>-3.3992364478763198E-14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155.11440101086782</v>
      </c>
      <c r="BJ133" s="62">
        <f t="shared" ref="BJ133:BJ196" si="146">$BJ$3</f>
        <v>239.53454701506638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1.8626460321410399</v>
      </c>
      <c r="BQ133" s="23">
        <f>EXP(-LN(2)/25)*BQ132+(1-EXP(-LN(2)/25))/(LN(2)/25)*Calculateur!BL133*Calculateur!BN133*VLOOKUP('Données projet'!$B$11,Paramètres!$A$1:$I$89,3,0)*0.475*44/12</f>
        <v>0.45262728659376639</v>
      </c>
      <c r="BR133" s="23">
        <f>EXP(-LN(2)/2)*BR132+(1-EXP(-LN(2)/2))/(LN(2)/2)*BL133*BO133*VLOOKUP('Données projet'!$B$11,Paramètres!$A$1:$I$89,3,0)*0.475*44/12</f>
        <v>2.619187600074451E-15</v>
      </c>
      <c r="BS133" s="24">
        <f t="shared" si="117"/>
        <v>2.3152733187348087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-5.6843418860808015E-14</v>
      </c>
      <c r="BZ133" s="14">
        <f>BY133*VLOOKUP('Données projet'!$B$12,Paramètres!$A$1:$I$89,3,0)*VLOOKUP('Données projet'!$B$12,Paramètres!$A$1:$I$89,5,0)</f>
        <v>-3.3992364478763198E-14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155.11440101086782</v>
      </c>
      <c r="CE133" s="62">
        <f t="shared" ref="CE133:CE196" si="148">$CE$3</f>
        <v>239.53454701506638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1.8626460321410399</v>
      </c>
      <c r="CL133" s="23">
        <f>EXP(-LN(2)/25)*CL132+(1-EXP(-LN(2)/25))/(LN(2)/25)*Calculateur!CG133*Calculateur!CI133*VLOOKUP('Données projet'!$B$12,Paramètres!$A$1:$I$89,3,0)*0.475*44/12</f>
        <v>0.45262728659376639</v>
      </c>
      <c r="CM133" s="23">
        <f>EXP(-LN(2)/2)*CM132+(1-EXP(-LN(2)/2))/(LN(2)/2)*CG133*CJ133*VLOOKUP('Données projet'!$B$12,Paramètres!$A$1:$I$89,3,0)*0.475*44/12</f>
        <v>2.619187600074451E-15</v>
      </c>
      <c r="CN133" s="24">
        <f t="shared" si="120"/>
        <v>2.3152733187348087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-1.1368683772161603E-13</v>
      </c>
      <c r="CU133" s="18">
        <f>CT133*VLOOKUP('Données projet'!$B$13,Paramètres!$A$1:$I$89,3,0)*VLOOKUP('Données projet'!$B$13,Paramètres!$A$1:$I$89,5,0)</f>
        <v>-9.2222762759774927E-14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191.03017979797141</v>
      </c>
      <c r="CZ133" s="62">
        <f t="shared" ref="CZ133:CZ196" si="150">$CZ$3</f>
        <v>222.78252111624278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-1.1368683772161603E-13</v>
      </c>
      <c r="DP133" s="18">
        <f>DO133*VLOOKUP('Données projet'!$B$14,Paramètres!$A$1:$I$89,3,0)*VLOOKUP('Données projet'!$B$14,Paramètres!$A$1:$I$89,5,0)</f>
        <v>-1.0818439477588981E-13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260.93525280373063</v>
      </c>
      <c r="DU133" s="62">
        <f t="shared" ref="DU133:DU196" si="152">$DU$3</f>
        <v>206.83968452163816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>
        <f>VLOOKUP(A133,'Données projet'!$A$191:$I$211,2,0)</f>
        <v>124.24166666666667</v>
      </c>
      <c r="EH133" s="13">
        <f>VLOOKUP(A133,'Données projet'!$A$191:$I$211,9,0)</f>
        <v>1.2474999999999994</v>
      </c>
      <c r="EI133" s="13">
        <f t="array" ref="EI133">INDEX(EH:EH,MIN(IF(ISNUMBER(EH133:EH329),ROW(EH133:EH329),"")))</f>
        <v>1.2474999999999994</v>
      </c>
      <c r="EJ133" s="13">
        <f>IF('Données projet'!$A$192&gt;35,EJ132+EI133-ER132,IF(A133&lt;'Données projet'!$A$192,$EG$205^A133,IF(A133='Données projet'!$A$192,'Données projet'!$B$192,EJ132+EI133-ER132)))</f>
        <v>124.24166666666665</v>
      </c>
      <c r="EK133" s="18">
        <f>EJ133*VLOOKUP('Données projet'!$B$15,Paramètres!$A$1:$I$89,3,0)*VLOOKUP('Données projet'!$B$15,Paramètres!$A$1:$I$89,5,0)</f>
        <v>143.12639999999996</v>
      </c>
      <c r="EL133" s="14">
        <f t="shared" ref="EL133:EL153" si="153">EXP(-1.0587+0.8836*LN(EK133)+0.284)</f>
        <v>37.012296622173274</v>
      </c>
      <c r="EM133" s="22">
        <f t="shared" si="127"/>
        <v>313.74156328361835</v>
      </c>
      <c r="EN133" s="62">
        <f t="shared" si="128"/>
        <v>607.07489661695172</v>
      </c>
      <c r="EO133" s="62">
        <f ca="1">AVERAGE(OFFSET($EN$3,0,0,'Données projet'!$E$15+1,1))-AVERAGE(OFFSET($H$3,0,0,'Données projet'!$E$15+1,1))</f>
        <v>118.01099353898547</v>
      </c>
      <c r="EP133" s="62">
        <f t="shared" ref="EP133:EP196" si="154">$EP$3</f>
        <v>103.17146760845947</v>
      </c>
      <c r="EQ133" s="16">
        <f>IF(ISNA(VLOOKUP(A133,'Données projet'!$A$191:$I$211,3,0)),0,VLOOKUP(A133,'Données projet'!$A$191:$I$211,3,0))</f>
        <v>11</v>
      </c>
      <c r="ER133" s="16">
        <f>IF(ISNA(VLOOKUP(A133,'Données projet'!$A$191:$I$211,4,0)),0,VLOOKUP(A133,'Données projet'!$A$191:$I$211,4,0))</f>
        <v>8.7083333333333339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>
        <f>VLOOKUP(A133,'Données projet'!$A$217:$I$237,2,0)</f>
        <v>300</v>
      </c>
      <c r="FC133" s="13">
        <f>VLOOKUP(A133,'Données projet'!$A$217:$I$237,9,0)</f>
        <v>3.2</v>
      </c>
      <c r="FD133" s="13">
        <f t="array" ref="FD133">INDEX(FC:FC,MIN(IF(ISNUMBER(FC133:FC329),ROW(FC133:FC329),"")))</f>
        <v>3.2</v>
      </c>
      <c r="FE133" s="13">
        <f>IF('Données projet'!$A$218&gt;35,FE132+FD133-FM132,IF(A133&lt;'Données projet'!$A$218,$FB$205^A133,IF(A133='Données projet'!$A$218,'Données projet'!$B$218,FE132+FD133-FM132)))</f>
        <v>299.99999999999937</v>
      </c>
      <c r="FF133" s="18">
        <f>FE133*VLOOKUP('Données projet'!$B$16,Paramètres!$A$1:$I$89,3,0)*VLOOKUP('Données projet'!$B$16,Paramètres!$A$1:$I$89,5,0)</f>
        <v>299.51999999999941</v>
      </c>
      <c r="FG133" s="14">
        <f t="shared" ref="FG133:FG153" si="155">EXP(-1.0587+0.8836*LN(FF133)+0.284)</f>
        <v>71.075827662766997</v>
      </c>
      <c r="FH133" s="22">
        <f t="shared" si="130"/>
        <v>645.45439984598477</v>
      </c>
      <c r="FI133" s="62">
        <f t="shared" si="131"/>
        <v>938.78773317931814</v>
      </c>
      <c r="FJ133" s="62">
        <f ca="1">AVERAGE(OFFSET($FI$3,0,0,'Données projet'!$E$16+1,1))-AVERAGE(OFFSET($H$3,0,0,'Données projet'!$E$16+1,1))</f>
        <v>343.71044073996887</v>
      </c>
      <c r="FK133" s="62">
        <f t="shared" ref="FK133:FK196" si="156">$FK$3</f>
        <v>193.51732627292375</v>
      </c>
      <c r="FL133" s="16">
        <f>IF(ISNA(VLOOKUP(A133,'Données projet'!$A$217:$I$237,3,0)),0,VLOOKUP(A133,'Données projet'!$A$217:$I$237,3,0))</f>
        <v>11</v>
      </c>
      <c r="FM133" s="16">
        <f>IF(ISNA(VLOOKUP(A133,'Données projet'!$A$217:$I$237,4,0)),0,VLOOKUP(A133,'Données projet'!$A$217:$I$237,4,0))</f>
        <v>31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2.7</v>
      </c>
      <c r="N134" s="14">
        <f>IF('Données projet'!$A$36&gt;35,N133+M134-V133,IF(A134&lt;'Données projet'!$A$36,$K$205^A134,IF(A134='Données projet'!$A$36,'Données projet'!$B$36,N133+M134-V133)))</f>
        <v>271.69999999999936</v>
      </c>
      <c r="O134" s="14">
        <f>N134*VLOOKUP('Données projet'!$B$9,Paramètres!$A$1:$I$89,3,0)*VLOOKUP('Données projet'!$B$9,Paramètres!$A$1:$I$89,5,0)</f>
        <v>245.8341599999994</v>
      </c>
      <c r="P134" s="14">
        <f t="shared" si="141"/>
        <v>59.693018383856675</v>
      </c>
      <c r="Q134" s="22">
        <f t="shared" si="108"/>
        <v>532.12650235188266</v>
      </c>
      <c r="R134" s="62">
        <f t="shared" si="109"/>
        <v>825.45983568521592</v>
      </c>
      <c r="S134" s="62">
        <f ca="1">AVERAGE(OFFSET($R$3,0,0,'Données projet'!$E$9+1,1))-AVERAGE(OFFSET($H$3,0,0,'Données projet'!$E$9+1,1))</f>
        <v>303.73499739059076</v>
      </c>
      <c r="T134" s="62">
        <f t="shared" si="142"/>
        <v>172.32171001882188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-2.2737367544323206E-13</v>
      </c>
      <c r="AJ134" s="14">
        <f>AI134*VLOOKUP('Données projet'!$B$10,Paramètres!$A$1:$I$89,3,0)*VLOOKUP('Données projet'!$B$10,Paramètres!$A$1:$I$89,5,0)</f>
        <v>-1.6671037883497774E-13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215.66498680344858</v>
      </c>
      <c r="AO134" s="62">
        <f t="shared" si="144"/>
        <v>199.86715787211114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-5.6843418860808015E-14</v>
      </c>
      <c r="BE134" s="14">
        <f>BD134*VLOOKUP('Données projet'!$B$11,Paramètres!$A$1:$I$89,3,0)*VLOOKUP('Données projet'!$B$11,Paramètres!$A$1:$I$89,5,0)</f>
        <v>-3.3992364478763198E-14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155.11440101086782</v>
      </c>
      <c r="BJ134" s="62">
        <f t="shared" si="146"/>
        <v>239.53454701506638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1.826120679552653</v>
      </c>
      <c r="BQ134" s="23">
        <f>EXP(-LN(2)/25)*BQ133+(1-EXP(-LN(2)/25))/(LN(2)/25)*Calculateur!BL134*Calculateur!BN134*VLOOKUP('Données projet'!$B$11,Paramètres!$A$1:$I$89,3,0)*0.475*44/12</f>
        <v>0.44025016963922536</v>
      </c>
      <c r="BR134" s="23">
        <f>EXP(-LN(2)/2)*BR133+(1-EXP(-LN(2)/2))/(LN(2)/2)*BL134*BO134*VLOOKUP('Données projet'!$B$11,Paramètres!$A$1:$I$89,3,0)*0.475*44/12</f>
        <v>1.8520453132123633E-15</v>
      </c>
      <c r="BS134" s="24">
        <f t="shared" si="117"/>
        <v>2.2663708491918801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-5.6843418860808015E-14</v>
      </c>
      <c r="BZ134" s="14">
        <f>BY134*VLOOKUP('Données projet'!$B$12,Paramètres!$A$1:$I$89,3,0)*VLOOKUP('Données projet'!$B$12,Paramètres!$A$1:$I$89,5,0)</f>
        <v>-3.3992364478763198E-14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155.11440101086782</v>
      </c>
      <c r="CE134" s="62">
        <f t="shared" si="148"/>
        <v>239.53454701506638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1.826120679552653</v>
      </c>
      <c r="CL134" s="23">
        <f>EXP(-LN(2)/25)*CL133+(1-EXP(-LN(2)/25))/(LN(2)/25)*Calculateur!CG134*Calculateur!CI134*VLOOKUP('Données projet'!$B$12,Paramètres!$A$1:$I$89,3,0)*0.475*44/12</f>
        <v>0.44025016963922536</v>
      </c>
      <c r="CM134" s="23">
        <f>EXP(-LN(2)/2)*CM133+(1-EXP(-LN(2)/2))/(LN(2)/2)*CG134*CJ134*VLOOKUP('Données projet'!$B$12,Paramètres!$A$1:$I$89,3,0)*0.475*44/12</f>
        <v>1.8520453132123633E-15</v>
      </c>
      <c r="CN134" s="24">
        <f t="shared" si="120"/>
        <v>2.2663708491918801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-1.1368683772161603E-13</v>
      </c>
      <c r="CU134" s="18">
        <f>CT134*VLOOKUP('Données projet'!$B$13,Paramètres!$A$1:$I$89,3,0)*VLOOKUP('Données projet'!$B$13,Paramètres!$A$1:$I$89,5,0)</f>
        <v>-9.2222762759774927E-14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191.03017979797141</v>
      </c>
      <c r="CZ134" s="62">
        <f t="shared" si="150"/>
        <v>222.78252111624278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-1.1368683772161603E-13</v>
      </c>
      <c r="DP134" s="18">
        <f>DO134*VLOOKUP('Données projet'!$B$14,Paramètres!$A$1:$I$89,3,0)*VLOOKUP('Données projet'!$B$14,Paramètres!$A$1:$I$89,5,0)</f>
        <v>-1.0818439477588981E-13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260.93525280373063</v>
      </c>
      <c r="DU134" s="62">
        <f t="shared" si="152"/>
        <v>206.83968452163816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1.1879166666666663</v>
      </c>
      <c r="EJ134" s="13">
        <f>IF('Données projet'!$A$192&gt;35,EJ133+EI134-ER133,IF(A134&lt;'Données projet'!$A$192,$EG$205^A134,IF(A134='Données projet'!$A$192,'Données projet'!$B$192,EJ133+EI134-ER133)))</f>
        <v>116.72124999999998</v>
      </c>
      <c r="EK134" s="18">
        <f>EJ134*VLOOKUP('Données projet'!$B$15,Paramètres!$A$1:$I$89,3,0)*VLOOKUP('Données projet'!$B$15,Paramètres!$A$1:$I$89,5,0)</f>
        <v>134.46287999999996</v>
      </c>
      <c r="EL134" s="14">
        <f t="shared" si="153"/>
        <v>35.02556530568927</v>
      </c>
      <c r="EM134" s="22">
        <f t="shared" si="127"/>
        <v>295.19237557407541</v>
      </c>
      <c r="EN134" s="62">
        <f t="shared" si="128"/>
        <v>588.52570890740867</v>
      </c>
      <c r="EO134" s="62">
        <f ca="1">AVERAGE(OFFSET($EN$3,0,0,'Données projet'!$E$15+1,1))-AVERAGE(OFFSET($H$3,0,0,'Données projet'!$E$15+1,1))</f>
        <v>118.01099353898547</v>
      </c>
      <c r="EP134" s="62">
        <f t="shared" si="154"/>
        <v>103.17146760845947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2.7</v>
      </c>
      <c r="FE134" s="13">
        <f>IF('Données projet'!$A$218&gt;35,FE133+FD134-FM133,IF(A134&lt;'Données projet'!$A$218,$FB$205^A134,IF(A134='Données projet'!$A$218,'Données projet'!$B$218,FE133+FD134-FM133)))</f>
        <v>271.69999999999936</v>
      </c>
      <c r="FF134" s="18">
        <f>FE134*VLOOKUP('Données projet'!$B$16,Paramètres!$A$1:$I$89,3,0)*VLOOKUP('Données projet'!$B$16,Paramètres!$A$1:$I$89,5,0)</f>
        <v>271.26527999999939</v>
      </c>
      <c r="FG134" s="14">
        <f t="shared" si="155"/>
        <v>65.117720527935006</v>
      </c>
      <c r="FH134" s="22">
        <f t="shared" si="130"/>
        <v>585.8670592528191</v>
      </c>
      <c r="FI134" s="62">
        <f t="shared" si="131"/>
        <v>879.20039258615247</v>
      </c>
      <c r="FJ134" s="62">
        <f ca="1">AVERAGE(OFFSET($FI$3,0,0,'Données projet'!$E$16+1,1))-AVERAGE(OFFSET($H$3,0,0,'Données projet'!$E$16+1,1))</f>
        <v>343.71044073996887</v>
      </c>
      <c r="FK134" s="62">
        <f t="shared" si="156"/>
        <v>193.51732627292375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2.7</v>
      </c>
      <c r="N135" s="14">
        <f>IF('Données projet'!$A$36&gt;35,N134+M135-V134,IF(A135&lt;'Données projet'!$A$36,$K$205^A135,IF(A135='Données projet'!$A$36,'Données projet'!$B$36,N134+M135-V134)))</f>
        <v>274.39999999999935</v>
      </c>
      <c r="O135" s="14">
        <f>N135*VLOOKUP('Données projet'!$B$9,Paramètres!$A$1:$I$89,3,0)*VLOOKUP('Données projet'!$B$9,Paramètres!$A$1:$I$89,5,0)</f>
        <v>248.2771199999994</v>
      </c>
      <c r="P135" s="14">
        <f t="shared" si="141"/>
        <v>60.216863677580257</v>
      </c>
      <c r="Q135" s="22">
        <f t="shared" si="108"/>
        <v>537.29368823845118</v>
      </c>
      <c r="R135" s="62">
        <f t="shared" si="109"/>
        <v>830.62702157178455</v>
      </c>
      <c r="S135" s="62">
        <f ca="1">AVERAGE(OFFSET($R$3,0,0,'Données projet'!$E$9+1,1))-AVERAGE(OFFSET($H$3,0,0,'Données projet'!$E$9+1,1))</f>
        <v>303.73499739059076</v>
      </c>
      <c r="T135" s="62">
        <f t="shared" si="142"/>
        <v>172.32171001882188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-2.2737367544323206E-13</v>
      </c>
      <c r="AJ135" s="14">
        <f>AI135*VLOOKUP('Données projet'!$B$10,Paramètres!$A$1:$I$89,3,0)*VLOOKUP('Données projet'!$B$10,Paramètres!$A$1:$I$89,5,0)</f>
        <v>-1.6671037883497774E-13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215.66498680344858</v>
      </c>
      <c r="AO135" s="62">
        <f t="shared" si="144"/>
        <v>199.86715787211114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-5.6843418860808015E-14</v>
      </c>
      <c r="BE135" s="14">
        <f>BD135*VLOOKUP('Données projet'!$B$11,Paramètres!$A$1:$I$89,3,0)*VLOOKUP('Données projet'!$B$11,Paramètres!$A$1:$I$89,5,0)</f>
        <v>-3.3992364478763198E-14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155.11440101086782</v>
      </c>
      <c r="BJ135" s="62">
        <f t="shared" si="146"/>
        <v>239.53454701506638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1.7903115668502592</v>
      </c>
      <c r="BQ135" s="23">
        <f>EXP(-LN(2)/25)*BQ134+(1-EXP(-LN(2)/25))/(LN(2)/25)*Calculateur!BL135*Calculateur!BN135*VLOOKUP('Données projet'!$B$11,Paramètres!$A$1:$I$89,3,0)*0.475*44/12</f>
        <v>0.42821150559869053</v>
      </c>
      <c r="BR135" s="23">
        <f>EXP(-LN(2)/2)*BR134+(1-EXP(-LN(2)/2))/(LN(2)/2)*BL135*BO135*VLOOKUP('Données projet'!$B$11,Paramètres!$A$1:$I$89,3,0)*0.475*44/12</f>
        <v>1.3095938000372255E-15</v>
      </c>
      <c r="BS135" s="24">
        <f t="shared" si="117"/>
        <v>2.2185230724489511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-5.6843418860808015E-14</v>
      </c>
      <c r="BZ135" s="14">
        <f>BY135*VLOOKUP('Données projet'!$B$12,Paramètres!$A$1:$I$89,3,0)*VLOOKUP('Données projet'!$B$12,Paramètres!$A$1:$I$89,5,0)</f>
        <v>-3.3992364478763198E-14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155.11440101086782</v>
      </c>
      <c r="CE135" s="62">
        <f t="shared" si="148"/>
        <v>239.53454701506638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1.7903115668502592</v>
      </c>
      <c r="CL135" s="23">
        <f>EXP(-LN(2)/25)*CL134+(1-EXP(-LN(2)/25))/(LN(2)/25)*Calculateur!CG135*Calculateur!CI135*VLOOKUP('Données projet'!$B$12,Paramètres!$A$1:$I$89,3,0)*0.475*44/12</f>
        <v>0.42821150559869053</v>
      </c>
      <c r="CM135" s="23">
        <f>EXP(-LN(2)/2)*CM134+(1-EXP(-LN(2)/2))/(LN(2)/2)*CG135*CJ135*VLOOKUP('Données projet'!$B$12,Paramètres!$A$1:$I$89,3,0)*0.475*44/12</f>
        <v>1.3095938000372255E-15</v>
      </c>
      <c r="CN135" s="24">
        <f t="shared" si="120"/>
        <v>2.2185230724489511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-1.1368683772161603E-13</v>
      </c>
      <c r="CU135" s="18">
        <f>CT135*VLOOKUP('Données projet'!$B$13,Paramètres!$A$1:$I$89,3,0)*VLOOKUP('Données projet'!$B$13,Paramètres!$A$1:$I$89,5,0)</f>
        <v>-9.2222762759774927E-14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191.03017979797141</v>
      </c>
      <c r="CZ135" s="62">
        <f t="shared" si="150"/>
        <v>222.78252111624278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-1.1368683772161603E-13</v>
      </c>
      <c r="DP135" s="18">
        <f>DO135*VLOOKUP('Données projet'!$B$14,Paramètres!$A$1:$I$89,3,0)*VLOOKUP('Données projet'!$B$14,Paramètres!$A$1:$I$89,5,0)</f>
        <v>-1.0818439477588981E-13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260.93525280373063</v>
      </c>
      <c r="DU135" s="62">
        <f t="shared" si="152"/>
        <v>206.83968452163816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1.1879166666666663</v>
      </c>
      <c r="EJ135" s="13">
        <f>IF('Données projet'!$A$192&gt;35,EJ134+EI135-ER134,IF(A135&lt;'Données projet'!$A$192,$EG$205^A135,IF(A135='Données projet'!$A$192,'Données projet'!$B$192,EJ134+EI135-ER134)))</f>
        <v>117.90916666666665</v>
      </c>
      <c r="EK135" s="18">
        <f>EJ135*VLOOKUP('Données projet'!$B$15,Paramètres!$A$1:$I$89,3,0)*VLOOKUP('Données projet'!$B$15,Paramètres!$A$1:$I$89,5,0)</f>
        <v>135.83135999999996</v>
      </c>
      <c r="EL135" s="14">
        <f t="shared" si="153"/>
        <v>35.340355037002603</v>
      </c>
      <c r="EM135" s="22">
        <f t="shared" si="127"/>
        <v>298.12407035611278</v>
      </c>
      <c r="EN135" s="62">
        <f t="shared" si="128"/>
        <v>591.4574036894461</v>
      </c>
      <c r="EO135" s="62">
        <f ca="1">AVERAGE(OFFSET($EN$3,0,0,'Données projet'!$E$15+1,1))-AVERAGE(OFFSET($H$3,0,0,'Données projet'!$E$15+1,1))</f>
        <v>118.01099353898547</v>
      </c>
      <c r="EP135" s="62">
        <f t="shared" si="154"/>
        <v>103.17146760845947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2.7</v>
      </c>
      <c r="FE135" s="13">
        <f>IF('Données projet'!$A$218&gt;35,FE134+FD135-FM134,IF(A135&lt;'Données projet'!$A$218,$FB$205^A135,IF(A135='Données projet'!$A$218,'Données projet'!$B$218,FE134+FD135-FM134)))</f>
        <v>274.39999999999935</v>
      </c>
      <c r="FF135" s="18">
        <f>FE135*VLOOKUP('Données projet'!$B$16,Paramètres!$A$1:$I$89,3,0)*VLOOKUP('Données projet'!$B$16,Paramètres!$A$1:$I$89,5,0)</f>
        <v>273.96095999999937</v>
      </c>
      <c r="FG135" s="14">
        <f t="shared" si="155"/>
        <v>65.689171132379371</v>
      </c>
      <c r="FH135" s="22">
        <f t="shared" si="130"/>
        <v>591.55731172222636</v>
      </c>
      <c r="FI135" s="62">
        <f t="shared" si="131"/>
        <v>884.89064505555962</v>
      </c>
      <c r="FJ135" s="62">
        <f ca="1">AVERAGE(OFFSET($FI$3,0,0,'Données projet'!$E$16+1,1))-AVERAGE(OFFSET($H$3,0,0,'Données projet'!$E$16+1,1))</f>
        <v>343.71044073996887</v>
      </c>
      <c r="FK135" s="62">
        <f t="shared" si="156"/>
        <v>193.51732627292375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2.7</v>
      </c>
      <c r="N136" s="14">
        <f>IF('Données projet'!$A$36&gt;35,N135+M136-V135,IF(A136&lt;'Données projet'!$A$36,$K$205^A136,IF(A136='Données projet'!$A$36,'Données projet'!$B$36,N135+M136-V135)))</f>
        <v>277.09999999999934</v>
      </c>
      <c r="O136" s="14">
        <f>N136*VLOOKUP('Données projet'!$B$9,Paramètres!$A$1:$I$89,3,0)*VLOOKUP('Données projet'!$B$9,Paramètres!$A$1:$I$89,5,0)</f>
        <v>250.72007999999943</v>
      </c>
      <c r="P136" s="14">
        <f t="shared" si="141"/>
        <v>60.740109326032709</v>
      </c>
      <c r="Q136" s="22">
        <f t="shared" si="108"/>
        <v>542.45982974283925</v>
      </c>
      <c r="R136" s="62">
        <f t="shared" si="109"/>
        <v>835.7931630761725</v>
      </c>
      <c r="S136" s="62">
        <f ca="1">AVERAGE(OFFSET($R$3,0,0,'Données projet'!$E$9+1,1))-AVERAGE(OFFSET($H$3,0,0,'Données projet'!$E$9+1,1))</f>
        <v>303.73499739059076</v>
      </c>
      <c r="T136" s="62">
        <f t="shared" si="142"/>
        <v>172.32171001882188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-2.2737367544323206E-13</v>
      </c>
      <c r="AJ136" s="14">
        <f>AI136*VLOOKUP('Données projet'!$B$10,Paramètres!$A$1:$I$89,3,0)*VLOOKUP('Données projet'!$B$10,Paramètres!$A$1:$I$89,5,0)</f>
        <v>-1.6671037883497774E-13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215.66498680344858</v>
      </c>
      <c r="AO136" s="62">
        <f t="shared" si="144"/>
        <v>199.86715787211114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-5.6843418860808015E-14</v>
      </c>
      <c r="BE136" s="14">
        <f>BD136*VLOOKUP('Données projet'!$B$11,Paramètres!$A$1:$I$89,3,0)*VLOOKUP('Données projet'!$B$11,Paramètres!$A$1:$I$89,5,0)</f>
        <v>-3.3992364478763198E-14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155.11440101086782</v>
      </c>
      <c r="BJ136" s="62">
        <f t="shared" si="146"/>
        <v>239.53454701506638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1.7552046490065571</v>
      </c>
      <c r="BQ136" s="23">
        <f>EXP(-LN(2)/25)*BQ135+(1-EXP(-LN(2)/25))/(LN(2)/25)*Calculateur!BL136*Calculateur!BN136*VLOOKUP('Données projet'!$B$11,Paramètres!$A$1:$I$89,3,0)*0.475*44/12</f>
        <v>0.41650203945942993</v>
      </c>
      <c r="BR136" s="23">
        <f>EXP(-LN(2)/2)*BR135+(1-EXP(-LN(2)/2))/(LN(2)/2)*BL136*BO136*VLOOKUP('Données projet'!$B$11,Paramètres!$A$1:$I$89,3,0)*0.475*44/12</f>
        <v>9.2602265660618167E-16</v>
      </c>
      <c r="BS136" s="24">
        <f t="shared" si="117"/>
        <v>2.1717066884659881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-5.6843418860808015E-14</v>
      </c>
      <c r="BZ136" s="14">
        <f>BY136*VLOOKUP('Données projet'!$B$12,Paramètres!$A$1:$I$89,3,0)*VLOOKUP('Données projet'!$B$12,Paramètres!$A$1:$I$89,5,0)</f>
        <v>-3.3992364478763198E-14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155.11440101086782</v>
      </c>
      <c r="CE136" s="62">
        <f t="shared" si="148"/>
        <v>239.53454701506638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1.7552046490065571</v>
      </c>
      <c r="CL136" s="23">
        <f>EXP(-LN(2)/25)*CL135+(1-EXP(-LN(2)/25))/(LN(2)/25)*Calculateur!CG136*Calculateur!CI136*VLOOKUP('Données projet'!$B$12,Paramètres!$A$1:$I$89,3,0)*0.475*44/12</f>
        <v>0.41650203945942993</v>
      </c>
      <c r="CM136" s="23">
        <f>EXP(-LN(2)/2)*CM135+(1-EXP(-LN(2)/2))/(LN(2)/2)*CG136*CJ136*VLOOKUP('Données projet'!$B$12,Paramètres!$A$1:$I$89,3,0)*0.475*44/12</f>
        <v>9.2602265660618167E-16</v>
      </c>
      <c r="CN136" s="24">
        <f t="shared" si="120"/>
        <v>2.1717066884659881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-1.1368683772161603E-13</v>
      </c>
      <c r="CU136" s="18">
        <f>CT136*VLOOKUP('Données projet'!$B$13,Paramètres!$A$1:$I$89,3,0)*VLOOKUP('Données projet'!$B$13,Paramètres!$A$1:$I$89,5,0)</f>
        <v>-9.2222762759774927E-14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191.03017979797141</v>
      </c>
      <c r="CZ136" s="62">
        <f t="shared" si="150"/>
        <v>222.78252111624278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-1.1368683772161603E-13</v>
      </c>
      <c r="DP136" s="18">
        <f>DO136*VLOOKUP('Données projet'!$B$14,Paramètres!$A$1:$I$89,3,0)*VLOOKUP('Données projet'!$B$14,Paramètres!$A$1:$I$89,5,0)</f>
        <v>-1.0818439477588981E-13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260.93525280373063</v>
      </c>
      <c r="DU136" s="62">
        <f t="shared" si="152"/>
        <v>206.83968452163816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1.1879166666666663</v>
      </c>
      <c r="EJ136" s="13">
        <f>IF('Données projet'!$A$192&gt;35,EJ135+EI136-ER135,IF(A136&lt;'Données projet'!$A$192,$EG$205^A136,IF(A136='Données projet'!$A$192,'Données projet'!$B$192,EJ135+EI136-ER135)))</f>
        <v>119.09708333333332</v>
      </c>
      <c r="EK136" s="18">
        <f>EJ136*VLOOKUP('Données projet'!$B$15,Paramètres!$A$1:$I$89,3,0)*VLOOKUP('Données projet'!$B$15,Paramètres!$A$1:$I$89,5,0)</f>
        <v>137.19983999999997</v>
      </c>
      <c r="EL136" s="14">
        <f t="shared" si="153"/>
        <v>35.65477582037844</v>
      </c>
      <c r="EM136" s="22">
        <f t="shared" si="127"/>
        <v>301.0551225538257</v>
      </c>
      <c r="EN136" s="62">
        <f t="shared" si="128"/>
        <v>594.38845588715901</v>
      </c>
      <c r="EO136" s="62">
        <f ca="1">AVERAGE(OFFSET($EN$3,0,0,'Données projet'!$E$15+1,1))-AVERAGE(OFFSET($H$3,0,0,'Données projet'!$E$15+1,1))</f>
        <v>118.01099353898547</v>
      </c>
      <c r="EP136" s="62">
        <f t="shared" si="154"/>
        <v>103.17146760845947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2.7</v>
      </c>
      <c r="FE136" s="13">
        <f>IF('Données projet'!$A$218&gt;35,FE135+FD136-FM135,IF(A136&lt;'Données projet'!$A$218,$FB$205^A136,IF(A136='Données projet'!$A$218,'Données projet'!$B$218,FE135+FD136-FM135)))</f>
        <v>277.09999999999934</v>
      </c>
      <c r="FF136" s="18">
        <f>FE136*VLOOKUP('Données projet'!$B$16,Paramètres!$A$1:$I$89,3,0)*VLOOKUP('Données projet'!$B$16,Paramètres!$A$1:$I$89,5,0)</f>
        <v>276.65663999999936</v>
      </c>
      <c r="FG136" s="14">
        <f t="shared" si="155"/>
        <v>66.259967597793135</v>
      </c>
      <c r="FH136" s="22">
        <f t="shared" si="130"/>
        <v>597.2464248994886</v>
      </c>
      <c r="FI136" s="62">
        <f t="shared" si="131"/>
        <v>890.57975823282186</v>
      </c>
      <c r="FJ136" s="62">
        <f ca="1">AVERAGE(OFFSET($FI$3,0,0,'Données projet'!$E$16+1,1))-AVERAGE(OFFSET($H$3,0,0,'Données projet'!$E$16+1,1))</f>
        <v>343.71044073996887</v>
      </c>
      <c r="FK136" s="62">
        <f t="shared" si="156"/>
        <v>193.51732627292375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2.7</v>
      </c>
      <c r="N137" s="14">
        <f>IF('Données projet'!$A$36&gt;35,N136+M137-V136,IF(A137&lt;'Données projet'!$A$36,$K$205^A137,IF(A137='Données projet'!$A$36,'Données projet'!$B$36,N136+M137-V136)))</f>
        <v>279.79999999999933</v>
      </c>
      <c r="O137" s="14">
        <f>N137*VLOOKUP('Données projet'!$B$9,Paramètres!$A$1:$I$89,3,0)*VLOOKUP('Données projet'!$B$9,Paramètres!$A$1:$I$89,5,0)</f>
        <v>253.16303999999937</v>
      </c>
      <c r="P137" s="14">
        <f t="shared" si="141"/>
        <v>61.262761848634923</v>
      </c>
      <c r="Q137" s="22">
        <f t="shared" si="108"/>
        <v>547.62493821970475</v>
      </c>
      <c r="R137" s="62">
        <f t="shared" si="109"/>
        <v>840.958271553038</v>
      </c>
      <c r="S137" s="62">
        <f ca="1">AVERAGE(OFFSET($R$3,0,0,'Données projet'!$E$9+1,1))-AVERAGE(OFFSET($H$3,0,0,'Données projet'!$E$9+1,1))</f>
        <v>303.73499739059076</v>
      </c>
      <c r="T137" s="62">
        <f t="shared" si="142"/>
        <v>172.32171001882188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-2.2737367544323206E-13</v>
      </c>
      <c r="AJ137" s="14">
        <f>AI137*VLOOKUP('Données projet'!$B$10,Paramètres!$A$1:$I$89,3,0)*VLOOKUP('Données projet'!$B$10,Paramètres!$A$1:$I$89,5,0)</f>
        <v>-1.6671037883497774E-13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215.66498680344858</v>
      </c>
      <c r="AO137" s="62">
        <f t="shared" si="144"/>
        <v>199.86715787211114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-5.6843418860808015E-14</v>
      </c>
      <c r="BE137" s="14">
        <f>BD137*VLOOKUP('Données projet'!$B$11,Paramètres!$A$1:$I$89,3,0)*VLOOKUP('Données projet'!$B$11,Paramètres!$A$1:$I$89,5,0)</f>
        <v>-3.3992364478763198E-14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155.11440101086782</v>
      </c>
      <c r="BJ137" s="62">
        <f t="shared" si="146"/>
        <v>239.53454701506638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1.7207861564086646</v>
      </c>
      <c r="BQ137" s="23">
        <f>EXP(-LN(2)/25)*BQ136+(1-EXP(-LN(2)/25))/(LN(2)/25)*Calculateur!BL137*Calculateur!BN137*VLOOKUP('Données projet'!$B$11,Paramètres!$A$1:$I$89,3,0)*0.475*44/12</f>
        <v>0.40511276928752149</v>
      </c>
      <c r="BR137" s="23">
        <f>EXP(-LN(2)/2)*BR136+(1-EXP(-LN(2)/2))/(LN(2)/2)*BL137*BO137*VLOOKUP('Données projet'!$B$11,Paramètres!$A$1:$I$89,3,0)*0.475*44/12</f>
        <v>6.5479690001861276E-16</v>
      </c>
      <c r="BS137" s="24">
        <f t="shared" si="117"/>
        <v>2.1258989256961867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-5.6843418860808015E-14</v>
      </c>
      <c r="BZ137" s="14">
        <f>BY137*VLOOKUP('Données projet'!$B$12,Paramètres!$A$1:$I$89,3,0)*VLOOKUP('Données projet'!$B$12,Paramètres!$A$1:$I$89,5,0)</f>
        <v>-3.3992364478763198E-14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155.11440101086782</v>
      </c>
      <c r="CE137" s="62">
        <f t="shared" si="148"/>
        <v>239.53454701506638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1.7207861564086646</v>
      </c>
      <c r="CL137" s="23">
        <f>EXP(-LN(2)/25)*CL136+(1-EXP(-LN(2)/25))/(LN(2)/25)*Calculateur!CG137*Calculateur!CI137*VLOOKUP('Données projet'!$B$12,Paramètres!$A$1:$I$89,3,0)*0.475*44/12</f>
        <v>0.40511276928752149</v>
      </c>
      <c r="CM137" s="23">
        <f>EXP(-LN(2)/2)*CM136+(1-EXP(-LN(2)/2))/(LN(2)/2)*CG137*CJ137*VLOOKUP('Données projet'!$B$12,Paramètres!$A$1:$I$89,3,0)*0.475*44/12</f>
        <v>6.5479690001861276E-16</v>
      </c>
      <c r="CN137" s="24">
        <f t="shared" si="120"/>
        <v>2.1258989256961867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-1.1368683772161603E-13</v>
      </c>
      <c r="CU137" s="18">
        <f>CT137*VLOOKUP('Données projet'!$B$13,Paramètres!$A$1:$I$89,3,0)*VLOOKUP('Données projet'!$B$13,Paramètres!$A$1:$I$89,5,0)</f>
        <v>-9.2222762759774927E-14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191.03017979797141</v>
      </c>
      <c r="CZ137" s="62">
        <f t="shared" si="150"/>
        <v>222.78252111624278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-1.1368683772161603E-13</v>
      </c>
      <c r="DP137" s="18">
        <f>DO137*VLOOKUP('Données projet'!$B$14,Paramètres!$A$1:$I$89,3,0)*VLOOKUP('Données projet'!$B$14,Paramètres!$A$1:$I$89,5,0)</f>
        <v>-1.0818439477588981E-13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260.93525280373063</v>
      </c>
      <c r="DU137" s="62">
        <f t="shared" si="152"/>
        <v>206.83968452163816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1.1879166666666663</v>
      </c>
      <c r="EJ137" s="13">
        <f>IF('Données projet'!$A$192&gt;35,EJ136+EI137-ER136,IF(A137&lt;'Données projet'!$A$192,$EG$205^A137,IF(A137='Données projet'!$A$192,'Données projet'!$B$192,EJ136+EI137-ER136)))</f>
        <v>120.28499999999998</v>
      </c>
      <c r="EK137" s="18">
        <f>EJ137*VLOOKUP('Données projet'!$B$15,Paramètres!$A$1:$I$89,3,0)*VLOOKUP('Données projet'!$B$15,Paramètres!$A$1:$I$89,5,0)</f>
        <v>138.56831999999997</v>
      </c>
      <c r="EL137" s="14">
        <f t="shared" si="153"/>
        <v>35.968831761941608</v>
      </c>
      <c r="EM137" s="22">
        <f t="shared" si="127"/>
        <v>303.98553931871487</v>
      </c>
      <c r="EN137" s="62">
        <f t="shared" si="128"/>
        <v>597.31887265204819</v>
      </c>
      <c r="EO137" s="62">
        <f ca="1">AVERAGE(OFFSET($EN$3,0,0,'Données projet'!$E$15+1,1))-AVERAGE(OFFSET($H$3,0,0,'Données projet'!$E$15+1,1))</f>
        <v>118.01099353898547</v>
      </c>
      <c r="EP137" s="62">
        <f t="shared" si="154"/>
        <v>103.17146760845947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2.7</v>
      </c>
      <c r="FE137" s="13">
        <f>IF('Données projet'!$A$218&gt;35,FE136+FD137-FM136,IF(A137&lt;'Données projet'!$A$218,$FB$205^A137,IF(A137='Données projet'!$A$218,'Données projet'!$B$218,FE136+FD137-FM136)))</f>
        <v>279.79999999999933</v>
      </c>
      <c r="FF137" s="18">
        <f>FE137*VLOOKUP('Données projet'!$B$16,Paramètres!$A$1:$I$89,3,0)*VLOOKUP('Données projet'!$B$16,Paramètres!$A$1:$I$89,5,0)</f>
        <v>279.35231999999934</v>
      </c>
      <c r="FG137" s="14">
        <f t="shared" si="155"/>
        <v>66.830117036060372</v>
      </c>
      <c r="FH137" s="22">
        <f t="shared" si="130"/>
        <v>602.93441117113719</v>
      </c>
      <c r="FI137" s="62">
        <f t="shared" si="131"/>
        <v>896.26774450447056</v>
      </c>
      <c r="FJ137" s="62">
        <f ca="1">AVERAGE(OFFSET($FI$3,0,0,'Données projet'!$E$16+1,1))-AVERAGE(OFFSET($H$3,0,0,'Données projet'!$E$16+1,1))</f>
        <v>343.71044073996887</v>
      </c>
      <c r="FK137" s="62">
        <f t="shared" si="156"/>
        <v>193.51732627292375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2.7</v>
      </c>
      <c r="N138" s="14">
        <f>IF('Données projet'!$A$36&gt;35,N137+M138-V137,IF(A138&lt;'Données projet'!$A$36,$K$205^A138,IF(A138='Données projet'!$A$36,'Données projet'!$B$36,N137+M138-V137)))</f>
        <v>282.49999999999932</v>
      </c>
      <c r="O138" s="14">
        <f>N138*VLOOKUP('Données projet'!$B$9,Paramètres!$A$1:$I$89,3,0)*VLOOKUP('Données projet'!$B$9,Paramètres!$A$1:$I$89,5,0)</f>
        <v>255.60599999999937</v>
      </c>
      <c r="P138" s="14">
        <f t="shared" si="141"/>
        <v>61.784827631732192</v>
      </c>
      <c r="Q138" s="22">
        <f t="shared" si="108"/>
        <v>552.78902479193243</v>
      </c>
      <c r="R138" s="62">
        <f t="shared" si="109"/>
        <v>846.12235812526569</v>
      </c>
      <c r="S138" s="62">
        <f ca="1">AVERAGE(OFFSET($R$3,0,0,'Données projet'!$E$9+1,1))-AVERAGE(OFFSET($H$3,0,0,'Données projet'!$E$9+1,1))</f>
        <v>303.73499739059076</v>
      </c>
      <c r="T138" s="62">
        <f t="shared" si="142"/>
        <v>172.32171001882188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-2.2737367544323206E-13</v>
      </c>
      <c r="AJ138" s="14">
        <f>AI138*VLOOKUP('Données projet'!$B$10,Paramètres!$A$1:$I$89,3,0)*VLOOKUP('Données projet'!$B$10,Paramètres!$A$1:$I$89,5,0)</f>
        <v>-1.6671037883497774E-13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215.66498680344858</v>
      </c>
      <c r="AO138" s="62">
        <f t="shared" si="144"/>
        <v>199.86715787211114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-5.6843418860808015E-14</v>
      </c>
      <c r="BE138" s="14">
        <f>BD138*VLOOKUP('Données projet'!$B$11,Paramètres!$A$1:$I$89,3,0)*VLOOKUP('Données projet'!$B$11,Paramètres!$A$1:$I$89,5,0)</f>
        <v>-3.3992364478763198E-14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155.11440101086782</v>
      </c>
      <c r="BJ138" s="62">
        <f t="shared" si="146"/>
        <v>239.53454701506638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1.687042589457409</v>
      </c>
      <c r="BQ138" s="23">
        <f>EXP(-LN(2)/25)*BQ137+(1-EXP(-LN(2)/25))/(LN(2)/25)*Calculateur!BL138*Calculateur!BN138*VLOOKUP('Données projet'!$B$11,Paramètres!$A$1:$I$89,3,0)*0.475*44/12</f>
        <v>0.39403493930739958</v>
      </c>
      <c r="BR138" s="23">
        <f>EXP(-LN(2)/2)*BR137+(1-EXP(-LN(2)/2))/(LN(2)/2)*BL138*BO138*VLOOKUP('Données projet'!$B$11,Paramètres!$A$1:$I$89,3,0)*0.475*44/12</f>
        <v>4.6301132830309083E-16</v>
      </c>
      <c r="BS138" s="24">
        <f t="shared" si="117"/>
        <v>2.0810775287648089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-5.6843418860808015E-14</v>
      </c>
      <c r="BZ138" s="14">
        <f>BY138*VLOOKUP('Données projet'!$B$12,Paramètres!$A$1:$I$89,3,0)*VLOOKUP('Données projet'!$B$12,Paramètres!$A$1:$I$89,5,0)</f>
        <v>-3.3992364478763198E-14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155.11440101086782</v>
      </c>
      <c r="CE138" s="62">
        <f t="shared" si="148"/>
        <v>239.53454701506638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1.687042589457409</v>
      </c>
      <c r="CL138" s="23">
        <f>EXP(-LN(2)/25)*CL137+(1-EXP(-LN(2)/25))/(LN(2)/25)*Calculateur!CG138*Calculateur!CI138*VLOOKUP('Données projet'!$B$12,Paramètres!$A$1:$I$89,3,0)*0.475*44/12</f>
        <v>0.39403493930739958</v>
      </c>
      <c r="CM138" s="23">
        <f>EXP(-LN(2)/2)*CM137+(1-EXP(-LN(2)/2))/(LN(2)/2)*CG138*CJ138*VLOOKUP('Données projet'!$B$12,Paramètres!$A$1:$I$89,3,0)*0.475*44/12</f>
        <v>4.6301132830309083E-16</v>
      </c>
      <c r="CN138" s="24">
        <f t="shared" si="120"/>
        <v>2.0810775287648089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-1.1368683772161603E-13</v>
      </c>
      <c r="CU138" s="18">
        <f>CT138*VLOOKUP('Données projet'!$B$13,Paramètres!$A$1:$I$89,3,0)*VLOOKUP('Données projet'!$B$13,Paramètres!$A$1:$I$89,5,0)</f>
        <v>-9.2222762759774927E-14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191.03017979797141</v>
      </c>
      <c r="CZ138" s="62">
        <f t="shared" si="150"/>
        <v>222.78252111624278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-1.1368683772161603E-13</v>
      </c>
      <c r="DP138" s="18">
        <f>DO138*VLOOKUP('Données projet'!$B$14,Paramètres!$A$1:$I$89,3,0)*VLOOKUP('Données projet'!$B$14,Paramètres!$A$1:$I$89,5,0)</f>
        <v>-1.0818439477588981E-13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260.93525280373063</v>
      </c>
      <c r="DU138" s="62">
        <f t="shared" si="152"/>
        <v>206.83968452163816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1.1879166666666663</v>
      </c>
      <c r="EJ138" s="13">
        <f>IF('Données projet'!$A$192&gt;35,EJ137+EI138-ER137,IF(A138&lt;'Données projet'!$A$192,$EG$205^A138,IF(A138='Données projet'!$A$192,'Données projet'!$B$192,EJ137+EI138-ER137)))</f>
        <v>121.47291666666665</v>
      </c>
      <c r="EK138" s="18">
        <f>EJ138*VLOOKUP('Données projet'!$B$15,Paramètres!$A$1:$I$89,3,0)*VLOOKUP('Données projet'!$B$15,Paramètres!$A$1:$I$89,5,0)</f>
        <v>139.93679999999998</v>
      </c>
      <c r="EL138" s="14">
        <f t="shared" si="153"/>
        <v>36.282526882038972</v>
      </c>
      <c r="EM138" s="22">
        <f t="shared" si="127"/>
        <v>306.91532765288451</v>
      </c>
      <c r="EN138" s="62">
        <f t="shared" si="128"/>
        <v>600.24866098621783</v>
      </c>
      <c r="EO138" s="62">
        <f ca="1">AVERAGE(OFFSET($EN$3,0,0,'Données projet'!$E$15+1,1))-AVERAGE(OFFSET($H$3,0,0,'Données projet'!$E$15+1,1))</f>
        <v>118.01099353898547</v>
      </c>
      <c r="EP138" s="62">
        <f t="shared" si="154"/>
        <v>103.17146760845947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2.7</v>
      </c>
      <c r="FE138" s="13">
        <f>IF('Données projet'!$A$218&gt;35,FE137+FD138-FM137,IF(A138&lt;'Données projet'!$A$218,$FB$205^A138,IF(A138='Données projet'!$A$218,'Données projet'!$B$218,FE137+FD138-FM137)))</f>
        <v>282.49999999999932</v>
      </c>
      <c r="FF138" s="18">
        <f>FE138*VLOOKUP('Données projet'!$B$16,Paramètres!$A$1:$I$89,3,0)*VLOOKUP('Données projet'!$B$16,Paramètres!$A$1:$I$89,5,0)</f>
        <v>282.04799999999932</v>
      </c>
      <c r="FG138" s="14">
        <f t="shared" si="155"/>
        <v>67.399626413896073</v>
      </c>
      <c r="FH138" s="22">
        <f t="shared" si="130"/>
        <v>608.62128267086769</v>
      </c>
      <c r="FI138" s="62">
        <f t="shared" si="131"/>
        <v>901.95461600420094</v>
      </c>
      <c r="FJ138" s="62">
        <f ca="1">AVERAGE(OFFSET($FI$3,0,0,'Données projet'!$E$16+1,1))-AVERAGE(OFFSET($H$3,0,0,'Données projet'!$E$16+1,1))</f>
        <v>343.71044073996887</v>
      </c>
      <c r="FK138" s="62">
        <f t="shared" si="156"/>
        <v>193.51732627292375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2.7</v>
      </c>
      <c r="N139" s="14">
        <f>IF('Données projet'!$A$36&gt;35,N138+M139-V138,IF(A139&lt;'Données projet'!$A$36,$K$205^A139,IF(A139='Données projet'!$A$36,'Données projet'!$B$36,N138+M139-V138)))</f>
        <v>285.19999999999931</v>
      </c>
      <c r="O139" s="14">
        <f>N139*VLOOKUP('Données projet'!$B$9,Paramètres!$A$1:$I$89,3,0)*VLOOKUP('Données projet'!$B$9,Paramètres!$A$1:$I$89,5,0)</f>
        <v>258.0489599999994</v>
      </c>
      <c r="P139" s="14">
        <f t="shared" si="141"/>
        <v>62.306312932555649</v>
      </c>
      <c r="Q139" s="22">
        <f t="shared" si="108"/>
        <v>557.95210035753337</v>
      </c>
      <c r="R139" s="62">
        <f t="shared" si="109"/>
        <v>851.28543369086674</v>
      </c>
      <c r="S139" s="62">
        <f ca="1">AVERAGE(OFFSET($R$3,0,0,'Données projet'!$E$9+1,1))-AVERAGE(OFFSET($H$3,0,0,'Données projet'!$E$9+1,1))</f>
        <v>303.73499739059076</v>
      </c>
      <c r="T139" s="62">
        <f t="shared" si="142"/>
        <v>172.32171001882188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-2.2737367544323206E-13</v>
      </c>
      <c r="AJ139" s="14">
        <f>AI139*VLOOKUP('Données projet'!$B$10,Paramètres!$A$1:$I$89,3,0)*VLOOKUP('Données projet'!$B$10,Paramètres!$A$1:$I$89,5,0)</f>
        <v>-1.6671037883497774E-13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215.66498680344858</v>
      </c>
      <c r="AO139" s="62">
        <f t="shared" si="144"/>
        <v>199.86715787211114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-5.6843418860808015E-14</v>
      </c>
      <c r="BE139" s="14">
        <f>BD139*VLOOKUP('Données projet'!$B$11,Paramètres!$A$1:$I$89,3,0)*VLOOKUP('Données projet'!$B$11,Paramètres!$A$1:$I$89,5,0)</f>
        <v>-3.3992364478763198E-14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155.11440101086782</v>
      </c>
      <c r="BJ139" s="62">
        <f t="shared" si="146"/>
        <v>239.53454701506638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1.653960713272524</v>
      </c>
      <c r="BQ139" s="23">
        <f>EXP(-LN(2)/25)*BQ138+(1-EXP(-LN(2)/25))/(LN(2)/25)*Calculateur!BL139*Calculateur!BN139*VLOOKUP('Données projet'!$B$11,Paramètres!$A$1:$I$89,3,0)*0.475*44/12</f>
        <v>0.38326003317064183</v>
      </c>
      <c r="BR139" s="23">
        <f>EXP(-LN(2)/2)*BR138+(1-EXP(-LN(2)/2))/(LN(2)/2)*BL139*BO139*VLOOKUP('Données projet'!$B$11,Paramètres!$A$1:$I$89,3,0)*0.475*44/12</f>
        <v>3.2739845000930638E-16</v>
      </c>
      <c r="BS139" s="24">
        <f t="shared" si="117"/>
        <v>2.0372207464431664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-5.6843418860808015E-14</v>
      </c>
      <c r="BZ139" s="14">
        <f>BY139*VLOOKUP('Données projet'!$B$12,Paramètres!$A$1:$I$89,3,0)*VLOOKUP('Données projet'!$B$12,Paramètres!$A$1:$I$89,5,0)</f>
        <v>-3.3992364478763198E-14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155.11440101086782</v>
      </c>
      <c r="CE139" s="62">
        <f t="shared" si="148"/>
        <v>239.53454701506638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1.653960713272524</v>
      </c>
      <c r="CL139" s="23">
        <f>EXP(-LN(2)/25)*CL138+(1-EXP(-LN(2)/25))/(LN(2)/25)*Calculateur!CG139*Calculateur!CI139*VLOOKUP('Données projet'!$B$12,Paramètres!$A$1:$I$89,3,0)*0.475*44/12</f>
        <v>0.38326003317064183</v>
      </c>
      <c r="CM139" s="23">
        <f>EXP(-LN(2)/2)*CM138+(1-EXP(-LN(2)/2))/(LN(2)/2)*CG139*CJ139*VLOOKUP('Données projet'!$B$12,Paramètres!$A$1:$I$89,3,0)*0.475*44/12</f>
        <v>3.2739845000930638E-16</v>
      </c>
      <c r="CN139" s="24">
        <f t="shared" si="120"/>
        <v>2.0372207464431664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-1.1368683772161603E-13</v>
      </c>
      <c r="CU139" s="18">
        <f>CT139*VLOOKUP('Données projet'!$B$13,Paramètres!$A$1:$I$89,3,0)*VLOOKUP('Données projet'!$B$13,Paramètres!$A$1:$I$89,5,0)</f>
        <v>-9.2222762759774927E-14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191.03017979797141</v>
      </c>
      <c r="CZ139" s="62">
        <f t="shared" si="150"/>
        <v>222.78252111624278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-1.1368683772161603E-13</v>
      </c>
      <c r="DP139" s="18">
        <f>DO139*VLOOKUP('Données projet'!$B$14,Paramètres!$A$1:$I$89,3,0)*VLOOKUP('Données projet'!$B$14,Paramètres!$A$1:$I$89,5,0)</f>
        <v>-1.0818439477588981E-13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260.93525280373063</v>
      </c>
      <c r="DU139" s="62">
        <f t="shared" si="152"/>
        <v>206.83968452163816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1.1879166666666663</v>
      </c>
      <c r="EJ139" s="13">
        <f>IF('Données projet'!$A$192&gt;35,EJ138+EI139-ER138,IF(A139&lt;'Données projet'!$A$192,$EG$205^A139,IF(A139='Données projet'!$A$192,'Données projet'!$B$192,EJ138+EI139-ER138)))</f>
        <v>122.66083333333331</v>
      </c>
      <c r="EK139" s="18">
        <f>EJ139*VLOOKUP('Données projet'!$B$15,Paramètres!$A$1:$I$89,3,0)*VLOOKUP('Données projet'!$B$15,Paramètres!$A$1:$I$89,5,0)</f>
        <v>141.30527999999995</v>
      </c>
      <c r="EL139" s="14">
        <f t="shared" si="153"/>
        <v>36.595865117852185</v>
      </c>
      <c r="EM139" s="22">
        <f t="shared" si="127"/>
        <v>309.84449441359243</v>
      </c>
      <c r="EN139" s="62">
        <f t="shared" si="128"/>
        <v>603.17782774692569</v>
      </c>
      <c r="EO139" s="62">
        <f ca="1">AVERAGE(OFFSET($EN$3,0,0,'Données projet'!$E$15+1,1))-AVERAGE(OFFSET($H$3,0,0,'Données projet'!$E$15+1,1))</f>
        <v>118.01099353898547</v>
      </c>
      <c r="EP139" s="62">
        <f t="shared" si="154"/>
        <v>103.17146760845947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2.7</v>
      </c>
      <c r="FE139" s="13">
        <f>IF('Données projet'!$A$218&gt;35,FE138+FD139-FM138,IF(A139&lt;'Données projet'!$A$218,$FB$205^A139,IF(A139='Données projet'!$A$218,'Données projet'!$B$218,FE138+FD139-FM138)))</f>
        <v>285.19999999999931</v>
      </c>
      <c r="FF139" s="18">
        <f>FE139*VLOOKUP('Données projet'!$B$16,Paramètres!$A$1:$I$89,3,0)*VLOOKUP('Données projet'!$B$16,Paramètres!$A$1:$I$89,5,0)</f>
        <v>284.74367999999936</v>
      </c>
      <c r="FG139" s="14">
        <f t="shared" si="155"/>
        <v>67.96850255716771</v>
      </c>
      <c r="FH139" s="22">
        <f t="shared" si="130"/>
        <v>614.30705128706597</v>
      </c>
      <c r="FI139" s="62">
        <f t="shared" si="131"/>
        <v>907.64038462039935</v>
      </c>
      <c r="FJ139" s="62">
        <f ca="1">AVERAGE(OFFSET($FI$3,0,0,'Données projet'!$E$16+1,1))-AVERAGE(OFFSET($H$3,0,0,'Données projet'!$E$16+1,1))</f>
        <v>343.71044073996887</v>
      </c>
      <c r="FK139" s="62">
        <f t="shared" si="156"/>
        <v>193.51732627292375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2.7</v>
      </c>
      <c r="N140" s="14">
        <f>IF('Données projet'!$A$36&gt;35,N139+M140-V139,IF(A140&lt;'Données projet'!$A$36,$K$205^A140,IF(A140='Données projet'!$A$36,'Données projet'!$B$36,N139+M140-V139)))</f>
        <v>287.8999999999993</v>
      </c>
      <c r="O140" s="14">
        <f>N140*VLOOKUP('Données projet'!$B$9,Paramètres!$A$1:$I$89,3,0)*VLOOKUP('Données projet'!$B$9,Paramètres!$A$1:$I$89,5,0)</f>
        <v>260.49191999999937</v>
      </c>
      <c r="P140" s="14">
        <f t="shared" si="141"/>
        <v>62.827223883029681</v>
      </c>
      <c r="Q140" s="22">
        <f t="shared" si="108"/>
        <v>563.11417559627546</v>
      </c>
      <c r="R140" s="62">
        <f t="shared" si="109"/>
        <v>856.44750892960883</v>
      </c>
      <c r="S140" s="62">
        <f ca="1">AVERAGE(OFFSET($R$3,0,0,'Données projet'!$E$9+1,1))-AVERAGE(OFFSET($H$3,0,0,'Données projet'!$E$9+1,1))</f>
        <v>303.73499739059076</v>
      </c>
      <c r="T140" s="62">
        <f t="shared" si="142"/>
        <v>172.32171001882188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-2.2737367544323206E-13</v>
      </c>
      <c r="AJ140" s="14">
        <f>AI140*VLOOKUP('Données projet'!$B$10,Paramètres!$A$1:$I$89,3,0)*VLOOKUP('Données projet'!$B$10,Paramètres!$A$1:$I$89,5,0)</f>
        <v>-1.6671037883497774E-13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215.66498680344858</v>
      </c>
      <c r="AO140" s="62">
        <f t="shared" si="144"/>
        <v>199.86715787211114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-5.6843418860808015E-14</v>
      </c>
      <c r="BE140" s="14">
        <f>BD140*VLOOKUP('Données projet'!$B$11,Paramètres!$A$1:$I$89,3,0)*VLOOKUP('Données projet'!$B$11,Paramètres!$A$1:$I$89,5,0)</f>
        <v>-3.3992364478763198E-14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155.11440101086782</v>
      </c>
      <c r="BJ140" s="62">
        <f t="shared" si="146"/>
        <v>239.53454701506638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1.6215275525016726</v>
      </c>
      <c r="BQ140" s="23">
        <f>EXP(-LN(2)/25)*BQ139+(1-EXP(-LN(2)/25))/(LN(2)/25)*Calculateur!BL140*Calculateur!BN140*VLOOKUP('Données projet'!$B$11,Paramètres!$A$1:$I$89,3,0)*0.475*44/12</f>
        <v>0.37277976740882146</v>
      </c>
      <c r="BR140" s="23">
        <f>EXP(-LN(2)/2)*BR139+(1-EXP(-LN(2)/2))/(LN(2)/2)*BL140*BO140*VLOOKUP('Données projet'!$B$11,Paramètres!$A$1:$I$89,3,0)*0.475*44/12</f>
        <v>2.3150566415154542E-16</v>
      </c>
      <c r="BS140" s="24">
        <f t="shared" si="117"/>
        <v>1.9943073199104944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-5.6843418860808015E-14</v>
      </c>
      <c r="BZ140" s="14">
        <f>BY140*VLOOKUP('Données projet'!$B$12,Paramètres!$A$1:$I$89,3,0)*VLOOKUP('Données projet'!$B$12,Paramètres!$A$1:$I$89,5,0)</f>
        <v>-3.3992364478763198E-14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155.11440101086782</v>
      </c>
      <c r="CE140" s="62">
        <f t="shared" si="148"/>
        <v>239.53454701506638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1.6215275525016726</v>
      </c>
      <c r="CL140" s="23">
        <f>EXP(-LN(2)/25)*CL139+(1-EXP(-LN(2)/25))/(LN(2)/25)*Calculateur!CG140*Calculateur!CI140*VLOOKUP('Données projet'!$B$12,Paramètres!$A$1:$I$89,3,0)*0.475*44/12</f>
        <v>0.37277976740882146</v>
      </c>
      <c r="CM140" s="23">
        <f>EXP(-LN(2)/2)*CM139+(1-EXP(-LN(2)/2))/(LN(2)/2)*CG140*CJ140*VLOOKUP('Données projet'!$B$12,Paramètres!$A$1:$I$89,3,0)*0.475*44/12</f>
        <v>2.3150566415154542E-16</v>
      </c>
      <c r="CN140" s="24">
        <f t="shared" si="120"/>
        <v>1.9943073199104944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-1.1368683772161603E-13</v>
      </c>
      <c r="CU140" s="18">
        <f>CT140*VLOOKUP('Données projet'!$B$13,Paramètres!$A$1:$I$89,3,0)*VLOOKUP('Données projet'!$B$13,Paramètres!$A$1:$I$89,5,0)</f>
        <v>-9.2222762759774927E-14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191.03017979797141</v>
      </c>
      <c r="CZ140" s="62">
        <f t="shared" si="150"/>
        <v>222.78252111624278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-1.1368683772161603E-13</v>
      </c>
      <c r="DP140" s="18">
        <f>DO140*VLOOKUP('Données projet'!$B$14,Paramètres!$A$1:$I$89,3,0)*VLOOKUP('Données projet'!$B$14,Paramètres!$A$1:$I$89,5,0)</f>
        <v>-1.0818439477588981E-13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260.93525280373063</v>
      </c>
      <c r="DU140" s="62">
        <f t="shared" si="152"/>
        <v>206.83968452163816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1.1879166666666663</v>
      </c>
      <c r="EJ140" s="13">
        <f>IF('Données projet'!$A$192&gt;35,EJ139+EI140-ER139,IF(A140&lt;'Données projet'!$A$192,$EG$205^A140,IF(A140='Données projet'!$A$192,'Données projet'!$B$192,EJ139+EI140-ER139)))</f>
        <v>123.84874999999998</v>
      </c>
      <c r="EK140" s="18">
        <f>EJ140*VLOOKUP('Données projet'!$B$15,Paramètres!$A$1:$I$89,3,0)*VLOOKUP('Données projet'!$B$15,Paramètres!$A$1:$I$89,5,0)</f>
        <v>142.67375999999996</v>
      </c>
      <c r="EL140" s="14">
        <f t="shared" si="153"/>
        <v>36.908850325906613</v>
      </c>
      <c r="EM140" s="22">
        <f t="shared" si="127"/>
        <v>312.77304631762058</v>
      </c>
      <c r="EN140" s="62">
        <f t="shared" si="128"/>
        <v>606.10637965095384</v>
      </c>
      <c r="EO140" s="62">
        <f ca="1">AVERAGE(OFFSET($EN$3,0,0,'Données projet'!$E$15+1,1))-AVERAGE(OFFSET($H$3,0,0,'Données projet'!$E$15+1,1))</f>
        <v>118.01099353898547</v>
      </c>
      <c r="EP140" s="62">
        <f t="shared" si="154"/>
        <v>103.17146760845947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2.7</v>
      </c>
      <c r="FE140" s="13">
        <f>IF('Données projet'!$A$218&gt;35,FE139+FD140-FM139,IF(A140&lt;'Données projet'!$A$218,$FB$205^A140,IF(A140='Données projet'!$A$218,'Données projet'!$B$218,FE139+FD140-FM139)))</f>
        <v>287.8999999999993</v>
      </c>
      <c r="FF140" s="18">
        <f>FE140*VLOOKUP('Données projet'!$B$16,Paramètres!$A$1:$I$89,3,0)*VLOOKUP('Données projet'!$B$16,Paramètres!$A$1:$I$89,5,0)</f>
        <v>287.43935999999928</v>
      </c>
      <c r="FG140" s="14">
        <f t="shared" si="155"/>
        <v>68.536752155048362</v>
      </c>
      <c r="FH140" s="22">
        <f t="shared" si="130"/>
        <v>619.99172867004131</v>
      </c>
      <c r="FI140" s="62">
        <f t="shared" si="131"/>
        <v>913.32506200337457</v>
      </c>
      <c r="FJ140" s="62">
        <f ca="1">AVERAGE(OFFSET($FI$3,0,0,'Données projet'!$E$16+1,1))-AVERAGE(OFFSET($H$3,0,0,'Données projet'!$E$16+1,1))</f>
        <v>343.71044073996887</v>
      </c>
      <c r="FK140" s="62">
        <f t="shared" si="156"/>
        <v>193.51732627292375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2.7</v>
      </c>
      <c r="N141" s="14">
        <f>IF('Données projet'!$A$36&gt;35,N140+M141-V140,IF(A141&lt;'Données projet'!$A$36,$K$205^A141,IF(A141='Données projet'!$A$36,'Données projet'!$B$36,N140+M141-V140)))</f>
        <v>290.59999999999928</v>
      </c>
      <c r="O141" s="14">
        <f>N141*VLOOKUP('Données projet'!$B$9,Paramètres!$A$1:$I$89,3,0)*VLOOKUP('Données projet'!$B$9,Paramètres!$A$1:$I$89,5,0)</f>
        <v>262.93487999999934</v>
      </c>
      <c r="P141" s="14">
        <f t="shared" si="141"/>
        <v>63.347566493432652</v>
      </c>
      <c r="Q141" s="22">
        <f t="shared" si="108"/>
        <v>568.27526097606062</v>
      </c>
      <c r="R141" s="62">
        <f t="shared" si="109"/>
        <v>861.60859430939399</v>
      </c>
      <c r="S141" s="62">
        <f ca="1">AVERAGE(OFFSET($R$3,0,0,'Données projet'!$E$9+1,1))-AVERAGE(OFFSET($H$3,0,0,'Données projet'!$E$9+1,1))</f>
        <v>303.73499739059076</v>
      </c>
      <c r="T141" s="62">
        <f t="shared" si="142"/>
        <v>172.32171001882188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-2.2737367544323206E-13</v>
      </c>
      <c r="AJ141" s="14">
        <f>AI141*VLOOKUP('Données projet'!$B$10,Paramètres!$A$1:$I$89,3,0)*VLOOKUP('Données projet'!$B$10,Paramètres!$A$1:$I$89,5,0)</f>
        <v>-1.6671037883497774E-13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215.66498680344858</v>
      </c>
      <c r="AO141" s="62">
        <f t="shared" si="144"/>
        <v>199.86715787211114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-5.6843418860808015E-14</v>
      </c>
      <c r="BE141" s="14">
        <f>BD141*VLOOKUP('Données projet'!$B$11,Paramètres!$A$1:$I$89,3,0)*VLOOKUP('Données projet'!$B$11,Paramètres!$A$1:$I$89,5,0)</f>
        <v>-3.3992364478763198E-14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155.11440101086782</v>
      </c>
      <c r="BJ141" s="62">
        <f t="shared" si="146"/>
        <v>239.53454701506638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1.5897303862312628</v>
      </c>
      <c r="BQ141" s="23">
        <f>EXP(-LN(2)/25)*BQ140+(1-EXP(-LN(2)/25))/(LN(2)/25)*Calculateur!BL141*Calculateur!BN141*VLOOKUP('Données projet'!$B$11,Paramètres!$A$1:$I$89,3,0)*0.475*44/12</f>
        <v>0.36258608506539125</v>
      </c>
      <c r="BR141" s="23">
        <f>EXP(-LN(2)/2)*BR140+(1-EXP(-LN(2)/2))/(LN(2)/2)*BL141*BO141*VLOOKUP('Données projet'!$B$11,Paramètres!$A$1:$I$89,3,0)*0.475*44/12</f>
        <v>1.6369922500465319E-16</v>
      </c>
      <c r="BS141" s="24">
        <f t="shared" si="117"/>
        <v>1.9523164712966543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-5.6843418860808015E-14</v>
      </c>
      <c r="BZ141" s="14">
        <f>BY141*VLOOKUP('Données projet'!$B$12,Paramètres!$A$1:$I$89,3,0)*VLOOKUP('Données projet'!$B$12,Paramètres!$A$1:$I$89,5,0)</f>
        <v>-3.3992364478763198E-14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155.11440101086782</v>
      </c>
      <c r="CE141" s="62">
        <f t="shared" si="148"/>
        <v>239.53454701506638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1.5897303862312628</v>
      </c>
      <c r="CL141" s="23">
        <f>EXP(-LN(2)/25)*CL140+(1-EXP(-LN(2)/25))/(LN(2)/25)*Calculateur!CG141*Calculateur!CI141*VLOOKUP('Données projet'!$B$12,Paramètres!$A$1:$I$89,3,0)*0.475*44/12</f>
        <v>0.36258608506539125</v>
      </c>
      <c r="CM141" s="23">
        <f>EXP(-LN(2)/2)*CM140+(1-EXP(-LN(2)/2))/(LN(2)/2)*CG141*CJ141*VLOOKUP('Données projet'!$B$12,Paramètres!$A$1:$I$89,3,0)*0.475*44/12</f>
        <v>1.6369922500465319E-16</v>
      </c>
      <c r="CN141" s="24">
        <f t="shared" si="120"/>
        <v>1.9523164712966543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-1.1368683772161603E-13</v>
      </c>
      <c r="CU141" s="18">
        <f>CT141*VLOOKUP('Données projet'!$B$13,Paramètres!$A$1:$I$89,3,0)*VLOOKUP('Données projet'!$B$13,Paramètres!$A$1:$I$89,5,0)</f>
        <v>-9.2222762759774927E-14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191.03017979797141</v>
      </c>
      <c r="CZ141" s="62">
        <f t="shared" si="150"/>
        <v>222.78252111624278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-1.1368683772161603E-13</v>
      </c>
      <c r="DP141" s="18">
        <f>DO141*VLOOKUP('Données projet'!$B$14,Paramètres!$A$1:$I$89,3,0)*VLOOKUP('Données projet'!$B$14,Paramètres!$A$1:$I$89,5,0)</f>
        <v>-1.0818439477588981E-13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260.93525280373063</v>
      </c>
      <c r="DU141" s="62">
        <f t="shared" si="152"/>
        <v>206.83968452163816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1.1879166666666663</v>
      </c>
      <c r="EJ141" s="13">
        <f>IF('Données projet'!$A$192&gt;35,EJ140+EI141-ER140,IF(A141&lt;'Données projet'!$A$192,$EG$205^A141,IF(A141='Données projet'!$A$192,'Données projet'!$B$192,EJ140+EI141-ER140)))</f>
        <v>125.03666666666665</v>
      </c>
      <c r="EK141" s="18">
        <f>EJ141*VLOOKUP('Données projet'!$B$15,Paramètres!$A$1:$I$89,3,0)*VLOOKUP('Données projet'!$B$15,Paramètres!$A$1:$I$89,5,0)</f>
        <v>144.04223999999996</v>
      </c>
      <c r="EL141" s="14">
        <f t="shared" si="153"/>
        <v>37.221486284480982</v>
      </c>
      <c r="EM141" s="22">
        <f t="shared" si="127"/>
        <v>315.70098994547101</v>
      </c>
      <c r="EN141" s="62">
        <f t="shared" si="128"/>
        <v>609.03432327880432</v>
      </c>
      <c r="EO141" s="62">
        <f ca="1">AVERAGE(OFFSET($EN$3,0,0,'Données projet'!$E$15+1,1))-AVERAGE(OFFSET($H$3,0,0,'Données projet'!$E$15+1,1))</f>
        <v>118.01099353898547</v>
      </c>
      <c r="EP141" s="62">
        <f t="shared" si="154"/>
        <v>103.17146760845947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2.7</v>
      </c>
      <c r="FE141" s="13">
        <f>IF('Données projet'!$A$218&gt;35,FE140+FD141-FM140,IF(A141&lt;'Données projet'!$A$218,$FB$205^A141,IF(A141='Données projet'!$A$218,'Données projet'!$B$218,FE140+FD141-FM140)))</f>
        <v>290.59999999999928</v>
      </c>
      <c r="FF141" s="18">
        <f>FE141*VLOOKUP('Données projet'!$B$16,Paramètres!$A$1:$I$89,3,0)*VLOOKUP('Données projet'!$B$16,Paramètres!$A$1:$I$89,5,0)</f>
        <v>290.13503999999932</v>
      </c>
      <c r="FG141" s="14">
        <f t="shared" si="155"/>
        <v>69.104381764010427</v>
      </c>
      <c r="FH141" s="22">
        <f t="shared" si="130"/>
        <v>625.67532623898353</v>
      </c>
      <c r="FI141" s="62">
        <f t="shared" si="131"/>
        <v>919.0086595723169</v>
      </c>
      <c r="FJ141" s="62">
        <f ca="1">AVERAGE(OFFSET($FI$3,0,0,'Données projet'!$E$16+1,1))-AVERAGE(OFFSET($H$3,0,0,'Données projet'!$E$16+1,1))</f>
        <v>343.71044073996887</v>
      </c>
      <c r="FK141" s="62">
        <f t="shared" si="156"/>
        <v>193.51732627292375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2.7</v>
      </c>
      <c r="N142" s="14">
        <f>IF('Données projet'!$A$36&gt;35,N141+M142-V141,IF(A142&lt;'Données projet'!$A$36,$K$205^A142,IF(A142='Données projet'!$A$36,'Données projet'!$B$36,N141+M142-V141)))</f>
        <v>293.29999999999927</v>
      </c>
      <c r="O142" s="14">
        <f>N142*VLOOKUP('Données projet'!$B$9,Paramètres!$A$1:$I$89,3,0)*VLOOKUP('Données projet'!$B$9,Paramètres!$A$1:$I$89,5,0)</f>
        <v>265.37783999999937</v>
      </c>
      <c r="P142" s="14">
        <f t="shared" si="141"/>
        <v>63.867346655917089</v>
      </c>
      <c r="Q142" s="22">
        <f t="shared" si="108"/>
        <v>573.43536675905443</v>
      </c>
      <c r="R142" s="62">
        <f t="shared" si="109"/>
        <v>866.76870009238769</v>
      </c>
      <c r="S142" s="62">
        <f ca="1">AVERAGE(OFFSET($R$3,0,0,'Données projet'!$E$9+1,1))-AVERAGE(OFFSET($H$3,0,0,'Données projet'!$E$9+1,1))</f>
        <v>303.73499739059076</v>
      </c>
      <c r="T142" s="62">
        <f t="shared" si="142"/>
        <v>172.32171001882188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-2.2737367544323206E-13</v>
      </c>
      <c r="AJ142" s="14">
        <f>AI142*VLOOKUP('Données projet'!$B$10,Paramètres!$A$1:$I$89,3,0)*VLOOKUP('Données projet'!$B$10,Paramètres!$A$1:$I$89,5,0)</f>
        <v>-1.6671037883497774E-13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215.66498680344858</v>
      </c>
      <c r="AO142" s="62">
        <f t="shared" si="144"/>
        <v>199.86715787211114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-5.6843418860808015E-14</v>
      </c>
      <c r="BE142" s="14">
        <f>BD142*VLOOKUP('Données projet'!$B$11,Paramètres!$A$1:$I$89,3,0)*VLOOKUP('Données projet'!$B$11,Paramètres!$A$1:$I$89,5,0)</f>
        <v>-3.3992364478763198E-14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155.11440101086782</v>
      </c>
      <c r="BJ142" s="62">
        <f t="shared" si="146"/>
        <v>239.53454701506638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1.5585567429970595</v>
      </c>
      <c r="BQ142" s="23">
        <f>EXP(-LN(2)/25)*BQ141+(1-EXP(-LN(2)/25))/(LN(2)/25)*Calculateur!BL142*Calculateur!BN142*VLOOKUP('Données projet'!$B$11,Paramètres!$A$1:$I$89,3,0)*0.475*44/12</f>
        <v>0.35267114950170464</v>
      </c>
      <c r="BR142" s="23">
        <f>EXP(-LN(2)/2)*BR141+(1-EXP(-LN(2)/2))/(LN(2)/2)*BL142*BO142*VLOOKUP('Données projet'!$B$11,Paramètres!$A$1:$I$89,3,0)*0.475*44/12</f>
        <v>1.1575283207577271E-16</v>
      </c>
      <c r="BS142" s="24">
        <f t="shared" si="117"/>
        <v>1.9112278924987642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-5.6843418860808015E-14</v>
      </c>
      <c r="BZ142" s="14">
        <f>BY142*VLOOKUP('Données projet'!$B$12,Paramètres!$A$1:$I$89,3,0)*VLOOKUP('Données projet'!$B$12,Paramètres!$A$1:$I$89,5,0)</f>
        <v>-3.3992364478763198E-14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155.11440101086782</v>
      </c>
      <c r="CE142" s="62">
        <f t="shared" si="148"/>
        <v>239.53454701506638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1.5585567429970595</v>
      </c>
      <c r="CL142" s="23">
        <f>EXP(-LN(2)/25)*CL141+(1-EXP(-LN(2)/25))/(LN(2)/25)*Calculateur!CG142*Calculateur!CI142*VLOOKUP('Données projet'!$B$12,Paramètres!$A$1:$I$89,3,0)*0.475*44/12</f>
        <v>0.35267114950170464</v>
      </c>
      <c r="CM142" s="23">
        <f>EXP(-LN(2)/2)*CM141+(1-EXP(-LN(2)/2))/(LN(2)/2)*CG142*CJ142*VLOOKUP('Données projet'!$B$12,Paramètres!$A$1:$I$89,3,0)*0.475*44/12</f>
        <v>1.1575283207577271E-16</v>
      </c>
      <c r="CN142" s="24">
        <f t="shared" si="120"/>
        <v>1.9112278924987642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-1.1368683772161603E-13</v>
      </c>
      <c r="CU142" s="18">
        <f>CT142*VLOOKUP('Données projet'!$B$13,Paramètres!$A$1:$I$89,3,0)*VLOOKUP('Données projet'!$B$13,Paramètres!$A$1:$I$89,5,0)</f>
        <v>-9.2222762759774927E-14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191.03017979797141</v>
      </c>
      <c r="CZ142" s="62">
        <f t="shared" si="150"/>
        <v>222.78252111624278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-1.1368683772161603E-13</v>
      </c>
      <c r="DP142" s="18">
        <f>DO142*VLOOKUP('Données projet'!$B$14,Paramètres!$A$1:$I$89,3,0)*VLOOKUP('Données projet'!$B$14,Paramètres!$A$1:$I$89,5,0)</f>
        <v>-1.0818439477588981E-13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260.93525280373063</v>
      </c>
      <c r="DU142" s="62">
        <f t="shared" si="152"/>
        <v>206.83968452163816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1.1879166666666663</v>
      </c>
      <c r="EJ142" s="13">
        <f>IF('Données projet'!$A$192&gt;35,EJ141+EI142-ER141,IF(A142&lt;'Données projet'!$A$192,$EG$205^A142,IF(A142='Données projet'!$A$192,'Données projet'!$B$192,EJ141+EI142-ER141)))</f>
        <v>126.22458333333331</v>
      </c>
      <c r="EK142" s="18">
        <f>EJ142*VLOOKUP('Données projet'!$B$15,Paramètres!$A$1:$I$89,3,0)*VLOOKUP('Données projet'!$B$15,Paramètres!$A$1:$I$89,5,0)</f>
        <v>145.41071999999997</v>
      </c>
      <c r="EL142" s="14">
        <f t="shared" si="153"/>
        <v>37.533776695922867</v>
      </c>
      <c r="EM142" s="22">
        <f t="shared" si="127"/>
        <v>318.62833174539895</v>
      </c>
      <c r="EN142" s="62">
        <f t="shared" si="128"/>
        <v>611.96166507873227</v>
      </c>
      <c r="EO142" s="62">
        <f ca="1">AVERAGE(OFFSET($EN$3,0,0,'Données projet'!$E$15+1,1))-AVERAGE(OFFSET($H$3,0,0,'Données projet'!$E$15+1,1))</f>
        <v>118.01099353898547</v>
      </c>
      <c r="EP142" s="62">
        <f t="shared" si="154"/>
        <v>103.17146760845947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2.7</v>
      </c>
      <c r="FE142" s="13">
        <f>IF('Données projet'!$A$218&gt;35,FE141+FD142-FM141,IF(A142&lt;'Données projet'!$A$218,$FB$205^A142,IF(A142='Données projet'!$A$218,'Données projet'!$B$218,FE141+FD142-FM141)))</f>
        <v>293.29999999999927</v>
      </c>
      <c r="FF142" s="18">
        <f>FE142*VLOOKUP('Données projet'!$B$16,Paramètres!$A$1:$I$89,3,0)*VLOOKUP('Données projet'!$B$16,Paramètres!$A$1:$I$89,5,0)</f>
        <v>292.8307199999993</v>
      </c>
      <c r="FG142" s="14">
        <f t="shared" si="155"/>
        <v>69.67139781166567</v>
      </c>
      <c r="FH142" s="22">
        <f t="shared" si="130"/>
        <v>631.35785518864975</v>
      </c>
      <c r="FI142" s="62">
        <f t="shared" si="131"/>
        <v>924.69118852198312</v>
      </c>
      <c r="FJ142" s="62">
        <f ca="1">AVERAGE(OFFSET($FI$3,0,0,'Données projet'!$E$16+1,1))-AVERAGE(OFFSET($H$3,0,0,'Données projet'!$E$16+1,1))</f>
        <v>343.71044073996887</v>
      </c>
      <c r="FK142" s="62">
        <f t="shared" si="156"/>
        <v>193.51732627292375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296</v>
      </c>
      <c r="L143" s="13">
        <f>VLOOKUP(A143,'Données projet'!$A$35:$I$55,9,0)</f>
        <v>2.7</v>
      </c>
      <c r="M143" s="13">
        <f t="array" ref="M143">INDEX(L:L,MIN(IF(ISNUMBER(L143:L339),ROW(L143:L339),"")))</f>
        <v>2.7</v>
      </c>
      <c r="N143" s="14">
        <f>IF('Données projet'!$A$36&gt;35,N142+M143-V142,IF(A143&lt;'Données projet'!$A$36,$K$205^A143,IF(A143='Données projet'!$A$36,'Données projet'!$B$36,N142+M143-V142)))</f>
        <v>295.99999999999926</v>
      </c>
      <c r="O143" s="14">
        <f>N143*VLOOKUP('Données projet'!$B$9,Paramètres!$A$1:$I$89,3,0)*VLOOKUP('Données projet'!$B$9,Paramètres!$A$1:$I$89,5,0)</f>
        <v>267.82079999999934</v>
      </c>
      <c r="P143" s="14">
        <f t="shared" si="141"/>
        <v>64.386570147897245</v>
      </c>
      <c r="Q143" s="22">
        <f t="shared" si="108"/>
        <v>578.59450300758647</v>
      </c>
      <c r="R143" s="62">
        <f t="shared" si="109"/>
        <v>871.92783634091984</v>
      </c>
      <c r="S143" s="62">
        <f ca="1">AVERAGE(OFFSET($R$3,0,0,'Données projet'!$E$9+1,1))-AVERAGE(OFFSET($H$3,0,0,'Données projet'!$E$9+1,1))</f>
        <v>303.73499739059076</v>
      </c>
      <c r="T143" s="62">
        <f t="shared" si="142"/>
        <v>172.32171001882188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27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-2.2737367544323206E-13</v>
      </c>
      <c r="AJ143" s="14">
        <f>AI143*VLOOKUP('Données projet'!$B$10,Paramètres!$A$1:$I$89,3,0)*VLOOKUP('Données projet'!$B$10,Paramètres!$A$1:$I$89,5,0)</f>
        <v>-1.6671037883497774E-13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215.66498680344858</v>
      </c>
      <c r="AO143" s="62">
        <f t="shared" si="144"/>
        <v>199.86715787211114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-5.6843418860808015E-14</v>
      </c>
      <c r="BE143" s="14">
        <f>BD143*VLOOKUP('Données projet'!$B$11,Paramètres!$A$1:$I$89,3,0)*VLOOKUP('Données projet'!$B$11,Paramètres!$A$1:$I$89,5,0)</f>
        <v>-3.3992364478763198E-14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155.11440101086782</v>
      </c>
      <c r="BJ143" s="62">
        <f t="shared" si="146"/>
        <v>239.53454701506638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1.5279943958926339</v>
      </c>
      <c r="BQ143" s="23">
        <f>EXP(-LN(2)/25)*BQ142+(1-EXP(-LN(2)/25))/(LN(2)/25)*Calculateur!BL143*Calculateur!BN143*VLOOKUP('Données projet'!$B$11,Paramètres!$A$1:$I$89,3,0)*0.475*44/12</f>
        <v>0.34302733837241084</v>
      </c>
      <c r="BR143" s="23">
        <f>EXP(-LN(2)/2)*BR142+(1-EXP(-LN(2)/2))/(LN(2)/2)*BL143*BO143*VLOOKUP('Données projet'!$B$11,Paramètres!$A$1:$I$89,3,0)*0.475*44/12</f>
        <v>8.1849612502326594E-17</v>
      </c>
      <c r="BS143" s="24">
        <f t="shared" si="117"/>
        <v>1.8710217342650446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-5.6843418860808015E-14</v>
      </c>
      <c r="BZ143" s="14">
        <f>BY143*VLOOKUP('Données projet'!$B$12,Paramètres!$A$1:$I$89,3,0)*VLOOKUP('Données projet'!$B$12,Paramètres!$A$1:$I$89,5,0)</f>
        <v>-3.3992364478763198E-14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155.11440101086782</v>
      </c>
      <c r="CE143" s="62">
        <f t="shared" si="148"/>
        <v>239.53454701506638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1.5279943958926339</v>
      </c>
      <c r="CL143" s="23">
        <f>EXP(-LN(2)/25)*CL142+(1-EXP(-LN(2)/25))/(LN(2)/25)*Calculateur!CG143*Calculateur!CI143*VLOOKUP('Données projet'!$B$12,Paramètres!$A$1:$I$89,3,0)*0.475*44/12</f>
        <v>0.34302733837241084</v>
      </c>
      <c r="CM143" s="23">
        <f>EXP(-LN(2)/2)*CM142+(1-EXP(-LN(2)/2))/(LN(2)/2)*CG143*CJ143*VLOOKUP('Données projet'!$B$12,Paramètres!$A$1:$I$89,3,0)*0.475*44/12</f>
        <v>8.1849612502326594E-17</v>
      </c>
      <c r="CN143" s="24">
        <f t="shared" si="120"/>
        <v>1.8710217342650446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-1.1368683772161603E-13</v>
      </c>
      <c r="CU143" s="18">
        <f>CT143*VLOOKUP('Données projet'!$B$13,Paramètres!$A$1:$I$89,3,0)*VLOOKUP('Données projet'!$B$13,Paramètres!$A$1:$I$89,5,0)</f>
        <v>-9.2222762759774927E-14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191.03017979797141</v>
      </c>
      <c r="CZ143" s="62">
        <f t="shared" si="150"/>
        <v>222.78252111624278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-1.1368683772161603E-13</v>
      </c>
      <c r="DP143" s="18">
        <f>DO143*VLOOKUP('Données projet'!$B$14,Paramètres!$A$1:$I$89,3,0)*VLOOKUP('Données projet'!$B$14,Paramètres!$A$1:$I$89,5,0)</f>
        <v>-1.0818439477588981E-13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260.93525280373063</v>
      </c>
      <c r="DU143" s="62">
        <f t="shared" si="152"/>
        <v>206.83968452163816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>
        <f>VLOOKUP(A143,'Données projet'!$A$191:$I$211,2,0)</f>
        <v>127.41250000000001</v>
      </c>
      <c r="EH143" s="13">
        <f>VLOOKUP(A143,'Données projet'!$A$191:$I$211,9,0)</f>
        <v>1.1879166666666663</v>
      </c>
      <c r="EI143" s="13">
        <f t="array" ref="EI143">INDEX(EH:EH,MIN(IF(ISNUMBER(EH143:EH339),ROW(EH143:EH339),"")))</f>
        <v>1.1879166666666663</v>
      </c>
      <c r="EJ143" s="13">
        <f>IF('Données projet'!$A$192&gt;35,EJ142+EI143-ER142,IF(A143&lt;'Données projet'!$A$192,$EG$205^A143,IF(A143='Données projet'!$A$192,'Données projet'!$B$192,EJ142+EI143-ER142)))</f>
        <v>127.41249999999998</v>
      </c>
      <c r="EK143" s="18">
        <f>EJ143*VLOOKUP('Données projet'!$B$15,Paramètres!$A$1:$I$89,3,0)*VLOOKUP('Données projet'!$B$15,Paramètres!$A$1:$I$89,5,0)</f>
        <v>146.77919999999997</v>
      </c>
      <c r="EL143" s="14">
        <f t="shared" si="153"/>
        <v>37.845725188874766</v>
      </c>
      <c r="EM143" s="22">
        <f t="shared" si="127"/>
        <v>321.55507803729012</v>
      </c>
      <c r="EN143" s="62">
        <f t="shared" si="128"/>
        <v>614.88841137062343</v>
      </c>
      <c r="EO143" s="62">
        <f ca="1">AVERAGE(OFFSET($EN$3,0,0,'Données projet'!$E$15+1,1))-AVERAGE(OFFSET($H$3,0,0,'Données projet'!$E$15+1,1))</f>
        <v>118.01099353898547</v>
      </c>
      <c r="EP143" s="62">
        <f t="shared" si="154"/>
        <v>103.17146760845947</v>
      </c>
      <c r="EQ143" s="16">
        <f>IF(ISNA(VLOOKUP(A143,'Données projet'!$A$191:$I$211,3,0)),0,VLOOKUP(A143,'Données projet'!$A$191:$I$211,3,0))</f>
        <v>12</v>
      </c>
      <c r="ER143" s="16">
        <f>IF(ISNA(VLOOKUP(A143,'Données projet'!$A$191:$I$211,4,0)),0,VLOOKUP(A143,'Données projet'!$A$191:$I$211,4,0))</f>
        <v>8.5416666666666679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>
        <f>VLOOKUP(A143,'Données projet'!$A$217:$I$237,2,0)</f>
        <v>296</v>
      </c>
      <c r="FC143" s="13">
        <f>VLOOKUP(A143,'Données projet'!$A$217:$I$237,9,0)</f>
        <v>2.7</v>
      </c>
      <c r="FD143" s="13">
        <f t="array" ref="FD143">INDEX(FC:FC,MIN(IF(ISNUMBER(FC143:FC339),ROW(FC143:FC339),"")))</f>
        <v>2.7</v>
      </c>
      <c r="FE143" s="13">
        <f>IF('Données projet'!$A$218&gt;35,FE142+FD143-FM142,IF(A143&lt;'Données projet'!$A$218,$FB$205^A143,IF(A143='Données projet'!$A$218,'Données projet'!$B$218,FE142+FD143-FM142)))</f>
        <v>295.99999999999926</v>
      </c>
      <c r="FF143" s="18">
        <f>FE143*VLOOKUP('Données projet'!$B$16,Paramètres!$A$1:$I$89,3,0)*VLOOKUP('Données projet'!$B$16,Paramètres!$A$1:$I$89,5,0)</f>
        <v>295.52639999999928</v>
      </c>
      <c r="FG143" s="14">
        <f t="shared" si="155"/>
        <v>70.237806600460402</v>
      </c>
      <c r="FH143" s="22">
        <f t="shared" si="130"/>
        <v>637.03932649580065</v>
      </c>
      <c r="FI143" s="62">
        <f t="shared" si="131"/>
        <v>930.37265982913391</v>
      </c>
      <c r="FJ143" s="62">
        <f ca="1">AVERAGE(OFFSET($FI$3,0,0,'Données projet'!$E$16+1,1))-AVERAGE(OFFSET($H$3,0,0,'Données projet'!$E$16+1,1))</f>
        <v>343.71044073996887</v>
      </c>
      <c r="FK143" s="62">
        <f t="shared" si="156"/>
        <v>193.51732627292375</v>
      </c>
      <c r="FL143" s="16">
        <f>IF(ISNA(VLOOKUP(A143,'Données projet'!$A$217:$I$237,3,0)),0,VLOOKUP(A143,'Données projet'!$A$217:$I$237,3,0))</f>
        <v>12</v>
      </c>
      <c r="FM143" s="16">
        <f>IF(ISNA(VLOOKUP(A143,'Données projet'!$A$217:$I$237,4,0)),0,VLOOKUP(A143,'Données projet'!$A$217:$I$237,4,0))</f>
        <v>27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</v>
      </c>
      <c r="N144" s="14">
        <f>IF('Données projet'!$A$36&gt;35,N143+M144-V143,IF(A144&lt;'Données projet'!$A$36,$K$205^A144,IF(A144='Données projet'!$A$36,'Données projet'!$B$36,N143+M144-V143)))</f>
        <v>271.39999999999924</v>
      </c>
      <c r="O144" s="14">
        <f>N144*VLOOKUP('Données projet'!$B$9,Paramètres!$A$1:$I$89,3,0)*VLOOKUP('Données projet'!$B$9,Paramètres!$A$1:$I$89,5,0)</f>
        <v>245.5627199999993</v>
      </c>
      <c r="P144" s="14">
        <f t="shared" si="141"/>
        <v>59.634776048276741</v>
      </c>
      <c r="Q144" s="22">
        <f t="shared" si="108"/>
        <v>531.55230561741405</v>
      </c>
      <c r="R144" s="62">
        <f t="shared" si="109"/>
        <v>824.88563895074731</v>
      </c>
      <c r="S144" s="62">
        <f ca="1">AVERAGE(OFFSET($R$3,0,0,'Données projet'!$E$9+1,1))-AVERAGE(OFFSET($H$3,0,0,'Données projet'!$E$9+1,1))</f>
        <v>303.73499739059076</v>
      </c>
      <c r="T144" s="62">
        <f t="shared" si="142"/>
        <v>172.32171001882188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-2.2737367544323206E-13</v>
      </c>
      <c r="AJ144" s="14">
        <f>AI144*VLOOKUP('Données projet'!$B$10,Paramètres!$A$1:$I$89,3,0)*VLOOKUP('Données projet'!$B$10,Paramètres!$A$1:$I$89,5,0)</f>
        <v>-1.6671037883497774E-13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215.66498680344858</v>
      </c>
      <c r="AO144" s="62">
        <f t="shared" si="144"/>
        <v>199.86715787211114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-5.6843418860808015E-14</v>
      </c>
      <c r="BE144" s="14">
        <f>BD144*VLOOKUP('Données projet'!$B$11,Paramètres!$A$1:$I$89,3,0)*VLOOKUP('Données projet'!$B$11,Paramètres!$A$1:$I$89,5,0)</f>
        <v>-3.3992364478763198E-14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155.11440101086782</v>
      </c>
      <c r="BJ144" s="62">
        <f t="shared" si="146"/>
        <v>239.53454701506638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1.498031357773735</v>
      </c>
      <c r="BQ144" s="23">
        <f>EXP(-LN(2)/25)*BQ143+(1-EXP(-LN(2)/25))/(LN(2)/25)*Calculateur!BL144*Calculateur!BN144*VLOOKUP('Données projet'!$B$11,Paramètres!$A$1:$I$89,3,0)*0.475*44/12</f>
        <v>0.33364723776559352</v>
      </c>
      <c r="BR144" s="23">
        <f>EXP(-LN(2)/2)*BR143+(1-EXP(-LN(2)/2))/(LN(2)/2)*BL144*BO144*VLOOKUP('Données projet'!$B$11,Paramètres!$A$1:$I$89,3,0)*0.475*44/12</f>
        <v>5.7876416037886354E-17</v>
      </c>
      <c r="BS144" s="24">
        <f t="shared" si="117"/>
        <v>1.8316785955393284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-5.6843418860808015E-14</v>
      </c>
      <c r="BZ144" s="14">
        <f>BY144*VLOOKUP('Données projet'!$B$12,Paramètres!$A$1:$I$89,3,0)*VLOOKUP('Données projet'!$B$12,Paramètres!$A$1:$I$89,5,0)</f>
        <v>-3.3992364478763198E-14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155.11440101086782</v>
      </c>
      <c r="CE144" s="62">
        <f t="shared" si="148"/>
        <v>239.53454701506638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1.498031357773735</v>
      </c>
      <c r="CL144" s="23">
        <f>EXP(-LN(2)/25)*CL143+(1-EXP(-LN(2)/25))/(LN(2)/25)*Calculateur!CG144*Calculateur!CI144*VLOOKUP('Données projet'!$B$12,Paramètres!$A$1:$I$89,3,0)*0.475*44/12</f>
        <v>0.33364723776559352</v>
      </c>
      <c r="CM144" s="23">
        <f>EXP(-LN(2)/2)*CM143+(1-EXP(-LN(2)/2))/(LN(2)/2)*CG144*CJ144*VLOOKUP('Données projet'!$B$12,Paramètres!$A$1:$I$89,3,0)*0.475*44/12</f>
        <v>5.7876416037886354E-17</v>
      </c>
      <c r="CN144" s="24">
        <f t="shared" si="120"/>
        <v>1.8316785955393284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-1.1368683772161603E-13</v>
      </c>
      <c r="CU144" s="18">
        <f>CT144*VLOOKUP('Données projet'!$B$13,Paramètres!$A$1:$I$89,3,0)*VLOOKUP('Données projet'!$B$13,Paramètres!$A$1:$I$89,5,0)</f>
        <v>-9.2222762759774927E-14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191.03017979797141</v>
      </c>
      <c r="CZ144" s="62">
        <f t="shared" si="150"/>
        <v>222.78252111624278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-1.1368683772161603E-13</v>
      </c>
      <c r="DP144" s="18">
        <f>DO144*VLOOKUP('Données projet'!$B$14,Paramètres!$A$1:$I$89,3,0)*VLOOKUP('Données projet'!$B$14,Paramètres!$A$1:$I$89,5,0)</f>
        <v>-1.0818439477588981E-13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260.93525280373063</v>
      </c>
      <c r="DU144" s="62">
        <f t="shared" si="152"/>
        <v>206.83968452163816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1.1341666666666668</v>
      </c>
      <c r="EJ144" s="13">
        <f>IF('Données projet'!$A$192&gt;35,EJ143+EI144-ER143,IF(A144&lt;'Données projet'!$A$192,$EG$205^A144,IF(A144='Données projet'!$A$192,'Données projet'!$B$192,EJ143+EI144-ER143)))</f>
        <v>120.00499999999998</v>
      </c>
      <c r="EK144" s="18">
        <f>EJ144*VLOOKUP('Données projet'!$B$15,Paramètres!$A$1:$I$89,3,0)*VLOOKUP('Données projet'!$B$15,Paramètres!$A$1:$I$89,5,0)</f>
        <v>138.24575999999996</v>
      </c>
      <c r="EL144" s="14">
        <f t="shared" si="153"/>
        <v>35.89483929910822</v>
      </c>
      <c r="EM144" s="22">
        <f t="shared" si="127"/>
        <v>303.29487711261339</v>
      </c>
      <c r="EN144" s="62">
        <f t="shared" si="128"/>
        <v>596.62821044594671</v>
      </c>
      <c r="EO144" s="62">
        <f ca="1">AVERAGE(OFFSET($EN$3,0,0,'Données projet'!$E$15+1,1))-AVERAGE(OFFSET($H$3,0,0,'Données projet'!$E$15+1,1))</f>
        <v>118.01099353898547</v>
      </c>
      <c r="EP144" s="62">
        <f t="shared" si="154"/>
        <v>103.17146760845947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2.4</v>
      </c>
      <c r="FE144" s="13">
        <f>IF('Données projet'!$A$218&gt;35,FE143+FD144-FM143,IF(A144&lt;'Données projet'!$A$218,$FB$205^A144,IF(A144='Données projet'!$A$218,'Données projet'!$B$218,FE143+FD144-FM143)))</f>
        <v>271.39999999999924</v>
      </c>
      <c r="FF144" s="18">
        <f>FE144*VLOOKUP('Données projet'!$B$16,Paramètres!$A$1:$I$89,3,0)*VLOOKUP('Données projet'!$B$16,Paramètres!$A$1:$I$89,5,0)</f>
        <v>270.96575999999925</v>
      </c>
      <c r="FG144" s="14">
        <f t="shared" si="155"/>
        <v>65.054185323419134</v>
      </c>
      <c r="FH144" s="22">
        <f t="shared" si="130"/>
        <v>585.23473810495364</v>
      </c>
      <c r="FI144" s="62">
        <f t="shared" si="131"/>
        <v>878.56807143828701</v>
      </c>
      <c r="FJ144" s="62">
        <f ca="1">AVERAGE(OFFSET($FI$3,0,0,'Données projet'!$E$16+1,1))-AVERAGE(OFFSET($H$3,0,0,'Données projet'!$E$16+1,1))</f>
        <v>343.71044073996887</v>
      </c>
      <c r="FK144" s="62">
        <f t="shared" si="156"/>
        <v>193.51732627292375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</v>
      </c>
      <c r="N145" s="14">
        <f>IF('Données projet'!$A$36&gt;35,N144+M145-V144,IF(A145&lt;'Données projet'!$A$36,$K$205^A145,IF(A145='Données projet'!$A$36,'Données projet'!$B$36,N144+M145-V144)))</f>
        <v>273.79999999999922</v>
      </c>
      <c r="O145" s="14">
        <f>N145*VLOOKUP('Données projet'!$B$9,Paramètres!$A$1:$I$89,3,0)*VLOOKUP('Données projet'!$B$9,Paramètres!$A$1:$I$89,5,0)</f>
        <v>247.73423999999929</v>
      </c>
      <c r="P145" s="14">
        <f t="shared" si="141"/>
        <v>60.100505665694953</v>
      </c>
      <c r="Q145" s="22">
        <f t="shared" si="108"/>
        <v>536.14551536775082</v>
      </c>
      <c r="R145" s="62">
        <f t="shared" si="109"/>
        <v>829.47884870108419</v>
      </c>
      <c r="S145" s="62">
        <f ca="1">AVERAGE(OFFSET($R$3,0,0,'Données projet'!$E$9+1,1))-AVERAGE(OFFSET($H$3,0,0,'Données projet'!$E$9+1,1))</f>
        <v>303.73499739059076</v>
      </c>
      <c r="T145" s="62">
        <f t="shared" si="142"/>
        <v>172.32171001882188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-2.2737367544323206E-13</v>
      </c>
      <c r="AJ145" s="14">
        <f>AI145*VLOOKUP('Données projet'!$B$10,Paramètres!$A$1:$I$89,3,0)*VLOOKUP('Données projet'!$B$10,Paramètres!$A$1:$I$89,5,0)</f>
        <v>-1.6671037883497774E-13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215.66498680344858</v>
      </c>
      <c r="AO145" s="62">
        <f t="shared" si="144"/>
        <v>199.86715787211114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-5.6843418860808015E-14</v>
      </c>
      <c r="BE145" s="14">
        <f>BD145*VLOOKUP('Données projet'!$B$11,Paramètres!$A$1:$I$89,3,0)*VLOOKUP('Données projet'!$B$11,Paramètres!$A$1:$I$89,5,0)</f>
        <v>-3.3992364478763198E-14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155.11440101086782</v>
      </c>
      <c r="BJ145" s="62">
        <f t="shared" si="146"/>
        <v>239.53454701506638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1.468655876556699</v>
      </c>
      <c r="BQ145" s="23">
        <f>EXP(-LN(2)/25)*BQ144+(1-EXP(-LN(2)/25))/(LN(2)/25)*Calculateur!BL145*Calculateur!BN145*VLOOKUP('Données projet'!$B$11,Paramètres!$A$1:$I$89,3,0)*0.475*44/12</f>
        <v>0.32452363650314769</v>
      </c>
      <c r="BR145" s="23">
        <f>EXP(-LN(2)/2)*BR144+(1-EXP(-LN(2)/2))/(LN(2)/2)*BL145*BO145*VLOOKUP('Données projet'!$B$11,Paramètres!$A$1:$I$89,3,0)*0.475*44/12</f>
        <v>4.0924806251163297E-17</v>
      </c>
      <c r="BS145" s="24">
        <f t="shared" si="117"/>
        <v>1.7931795130598467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-5.6843418860808015E-14</v>
      </c>
      <c r="BZ145" s="14">
        <f>BY145*VLOOKUP('Données projet'!$B$12,Paramètres!$A$1:$I$89,3,0)*VLOOKUP('Données projet'!$B$12,Paramètres!$A$1:$I$89,5,0)</f>
        <v>-3.3992364478763198E-14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155.11440101086782</v>
      </c>
      <c r="CE145" s="62">
        <f t="shared" si="148"/>
        <v>239.53454701506638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1.468655876556699</v>
      </c>
      <c r="CL145" s="23">
        <f>EXP(-LN(2)/25)*CL144+(1-EXP(-LN(2)/25))/(LN(2)/25)*Calculateur!CG145*Calculateur!CI145*VLOOKUP('Données projet'!$B$12,Paramètres!$A$1:$I$89,3,0)*0.475*44/12</f>
        <v>0.32452363650314769</v>
      </c>
      <c r="CM145" s="23">
        <f>EXP(-LN(2)/2)*CM144+(1-EXP(-LN(2)/2))/(LN(2)/2)*CG145*CJ145*VLOOKUP('Données projet'!$B$12,Paramètres!$A$1:$I$89,3,0)*0.475*44/12</f>
        <v>4.0924806251163297E-17</v>
      </c>
      <c r="CN145" s="24">
        <f t="shared" si="120"/>
        <v>1.7931795130598467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-1.1368683772161603E-13</v>
      </c>
      <c r="CU145" s="18">
        <f>CT145*VLOOKUP('Données projet'!$B$13,Paramètres!$A$1:$I$89,3,0)*VLOOKUP('Données projet'!$B$13,Paramètres!$A$1:$I$89,5,0)</f>
        <v>-9.2222762759774927E-14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191.03017979797141</v>
      </c>
      <c r="CZ145" s="62">
        <f t="shared" si="150"/>
        <v>222.78252111624278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-1.1368683772161603E-13</v>
      </c>
      <c r="DP145" s="18">
        <f>DO145*VLOOKUP('Données projet'!$B$14,Paramètres!$A$1:$I$89,3,0)*VLOOKUP('Données projet'!$B$14,Paramètres!$A$1:$I$89,5,0)</f>
        <v>-1.0818439477588981E-13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260.93525280373063</v>
      </c>
      <c r="DU145" s="62">
        <f t="shared" si="152"/>
        <v>206.83968452163816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1.1341666666666668</v>
      </c>
      <c r="EJ145" s="13">
        <f>IF('Données projet'!$A$192&gt;35,EJ144+EI145-ER144,IF(A145&lt;'Données projet'!$A$192,$EG$205^A145,IF(A145='Données projet'!$A$192,'Données projet'!$B$192,EJ144+EI145-ER144)))</f>
        <v>121.13916666666665</v>
      </c>
      <c r="EK145" s="18">
        <f>EJ145*VLOOKUP('Données projet'!$B$15,Paramètres!$A$1:$I$89,3,0)*VLOOKUP('Données projet'!$B$15,Paramètres!$A$1:$I$89,5,0)</f>
        <v>139.55231999999998</v>
      </c>
      <c r="EL145" s="14">
        <f t="shared" si="153"/>
        <v>36.194429184175888</v>
      </c>
      <c r="EM145" s="22">
        <f t="shared" si="127"/>
        <v>306.09225482910631</v>
      </c>
      <c r="EN145" s="62">
        <f t="shared" si="128"/>
        <v>599.42558816243968</v>
      </c>
      <c r="EO145" s="62">
        <f ca="1">AVERAGE(OFFSET($EN$3,0,0,'Données projet'!$E$15+1,1))-AVERAGE(OFFSET($H$3,0,0,'Données projet'!$E$15+1,1))</f>
        <v>118.01099353898547</v>
      </c>
      <c r="EP145" s="62">
        <f t="shared" si="154"/>
        <v>103.17146760845947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2.4</v>
      </c>
      <c r="FE145" s="13">
        <f>IF('Données projet'!$A$218&gt;35,FE144+FD145-FM144,IF(A145&lt;'Données projet'!$A$218,$FB$205^A145,IF(A145='Données projet'!$A$218,'Données projet'!$B$218,FE144+FD145-FM144)))</f>
        <v>273.79999999999922</v>
      </c>
      <c r="FF145" s="18">
        <f>FE145*VLOOKUP('Données projet'!$B$16,Paramètres!$A$1:$I$89,3,0)*VLOOKUP('Données projet'!$B$16,Paramètres!$A$1:$I$89,5,0)</f>
        <v>273.3619199999992</v>
      </c>
      <c r="FG145" s="14">
        <f t="shared" si="155"/>
        <v>65.562238892994074</v>
      </c>
      <c r="FH145" s="22">
        <f t="shared" si="130"/>
        <v>590.29291007196321</v>
      </c>
      <c r="FI145" s="62">
        <f t="shared" si="131"/>
        <v>883.62624340529646</v>
      </c>
      <c r="FJ145" s="62">
        <f ca="1">AVERAGE(OFFSET($FI$3,0,0,'Données projet'!$E$16+1,1))-AVERAGE(OFFSET($H$3,0,0,'Données projet'!$E$16+1,1))</f>
        <v>343.71044073996887</v>
      </c>
      <c r="FK145" s="62">
        <f t="shared" si="156"/>
        <v>193.51732627292375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</v>
      </c>
      <c r="N146" s="14">
        <f>IF('Données projet'!$A$36&gt;35,N145+M146-V145,IF(A146&lt;'Données projet'!$A$36,$K$205^A146,IF(A146='Données projet'!$A$36,'Données projet'!$B$36,N145+M146-V145)))</f>
        <v>276.19999999999919</v>
      </c>
      <c r="O146" s="14">
        <f>N146*VLOOKUP('Données projet'!$B$9,Paramètres!$A$1:$I$89,3,0)*VLOOKUP('Données projet'!$B$9,Paramètres!$A$1:$I$89,5,0)</f>
        <v>249.90575999999925</v>
      </c>
      <c r="P146" s="14">
        <f t="shared" si="141"/>
        <v>60.565760331923727</v>
      </c>
      <c r="Q146" s="22">
        <f t="shared" si="108"/>
        <v>540.73789791143247</v>
      </c>
      <c r="R146" s="62">
        <f t="shared" si="109"/>
        <v>834.07123124476584</v>
      </c>
      <c r="S146" s="62">
        <f ca="1">AVERAGE(OFFSET($R$3,0,0,'Données projet'!$E$9+1,1))-AVERAGE(OFFSET($H$3,0,0,'Données projet'!$E$9+1,1))</f>
        <v>303.73499739059076</v>
      </c>
      <c r="T146" s="62">
        <f t="shared" si="142"/>
        <v>172.32171001882188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-2.2737367544323206E-13</v>
      </c>
      <c r="AJ146" s="14">
        <f>AI146*VLOOKUP('Données projet'!$B$10,Paramètres!$A$1:$I$89,3,0)*VLOOKUP('Données projet'!$B$10,Paramètres!$A$1:$I$89,5,0)</f>
        <v>-1.6671037883497774E-13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215.66498680344858</v>
      </c>
      <c r="AO146" s="62">
        <f t="shared" si="144"/>
        <v>199.86715787211114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-5.6843418860808015E-14</v>
      </c>
      <c r="BE146" s="14">
        <f>BD146*VLOOKUP('Données projet'!$B$11,Paramètres!$A$1:$I$89,3,0)*VLOOKUP('Données projet'!$B$11,Paramètres!$A$1:$I$89,5,0)</f>
        <v>-3.3992364478763198E-14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155.11440101086782</v>
      </c>
      <c r="BJ146" s="62">
        <f t="shared" si="146"/>
        <v>239.53454701506638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1.4398564306090549</v>
      </c>
      <c r="BQ146" s="23">
        <f>EXP(-LN(2)/25)*BQ145+(1-EXP(-LN(2)/25))/(LN(2)/25)*Calculateur!BL146*Calculateur!BN146*VLOOKUP('Données projet'!$B$11,Paramètres!$A$1:$I$89,3,0)*0.475*44/12</f>
        <v>0.31564952059701279</v>
      </c>
      <c r="BR146" s="23">
        <f>EXP(-LN(2)/2)*BR145+(1-EXP(-LN(2)/2))/(LN(2)/2)*BL146*BO146*VLOOKUP('Données projet'!$B$11,Paramètres!$A$1:$I$89,3,0)*0.475*44/12</f>
        <v>2.8938208018943177E-17</v>
      </c>
      <c r="BS146" s="24">
        <f t="shared" si="117"/>
        <v>1.7555059512060676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-5.6843418860808015E-14</v>
      </c>
      <c r="BZ146" s="14">
        <f>BY146*VLOOKUP('Données projet'!$B$12,Paramètres!$A$1:$I$89,3,0)*VLOOKUP('Données projet'!$B$12,Paramètres!$A$1:$I$89,5,0)</f>
        <v>-3.3992364478763198E-14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155.11440101086782</v>
      </c>
      <c r="CE146" s="62">
        <f t="shared" si="148"/>
        <v>239.53454701506638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1.4398564306090549</v>
      </c>
      <c r="CL146" s="23">
        <f>EXP(-LN(2)/25)*CL145+(1-EXP(-LN(2)/25))/(LN(2)/25)*Calculateur!CG146*Calculateur!CI146*VLOOKUP('Données projet'!$B$12,Paramètres!$A$1:$I$89,3,0)*0.475*44/12</f>
        <v>0.31564952059701279</v>
      </c>
      <c r="CM146" s="23">
        <f>EXP(-LN(2)/2)*CM145+(1-EXP(-LN(2)/2))/(LN(2)/2)*CG146*CJ146*VLOOKUP('Données projet'!$B$12,Paramètres!$A$1:$I$89,3,0)*0.475*44/12</f>
        <v>2.8938208018943177E-17</v>
      </c>
      <c r="CN146" s="24">
        <f t="shared" si="120"/>
        <v>1.7555059512060676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-1.1368683772161603E-13</v>
      </c>
      <c r="CU146" s="18">
        <f>CT146*VLOOKUP('Données projet'!$B$13,Paramètres!$A$1:$I$89,3,0)*VLOOKUP('Données projet'!$B$13,Paramètres!$A$1:$I$89,5,0)</f>
        <v>-9.2222762759774927E-14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191.03017979797141</v>
      </c>
      <c r="CZ146" s="62">
        <f t="shared" si="150"/>
        <v>222.78252111624278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-1.1368683772161603E-13</v>
      </c>
      <c r="DP146" s="18">
        <f>DO146*VLOOKUP('Données projet'!$B$14,Paramètres!$A$1:$I$89,3,0)*VLOOKUP('Données projet'!$B$14,Paramètres!$A$1:$I$89,5,0)</f>
        <v>-1.0818439477588981E-13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260.93525280373063</v>
      </c>
      <c r="DU146" s="62">
        <f t="shared" si="152"/>
        <v>206.83968452163816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1.1341666666666668</v>
      </c>
      <c r="EJ146" s="13">
        <f>IF('Données projet'!$A$192&gt;35,EJ145+EI146-ER145,IF(A146&lt;'Données projet'!$A$192,$EG$205^A146,IF(A146='Données projet'!$A$192,'Données projet'!$B$192,EJ145+EI146-ER145)))</f>
        <v>122.27333333333333</v>
      </c>
      <c r="EK146" s="18">
        <f>EJ146*VLOOKUP('Données projet'!$B$15,Paramètres!$A$1:$I$89,3,0)*VLOOKUP('Données projet'!$B$15,Paramètres!$A$1:$I$89,5,0)</f>
        <v>140.85887999999997</v>
      </c>
      <c r="EL146" s="14">
        <f t="shared" si="153"/>
        <v>36.49369275013197</v>
      </c>
      <c r="EM146" s="22">
        <f t="shared" si="127"/>
        <v>308.88906420647976</v>
      </c>
      <c r="EN146" s="62">
        <f t="shared" si="128"/>
        <v>602.22239753981307</v>
      </c>
      <c r="EO146" s="62">
        <f ca="1">AVERAGE(OFFSET($EN$3,0,0,'Données projet'!$E$15+1,1))-AVERAGE(OFFSET($H$3,0,0,'Données projet'!$E$15+1,1))</f>
        <v>118.01099353898547</v>
      </c>
      <c r="EP146" s="62">
        <f t="shared" si="154"/>
        <v>103.17146760845947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2.4</v>
      </c>
      <c r="FE146" s="13">
        <f>IF('Données projet'!$A$218&gt;35,FE145+FD146-FM145,IF(A146&lt;'Données projet'!$A$218,$FB$205^A146,IF(A146='Données projet'!$A$218,'Données projet'!$B$218,FE145+FD146-FM145)))</f>
        <v>276.19999999999919</v>
      </c>
      <c r="FF146" s="18">
        <f>FE146*VLOOKUP('Données projet'!$B$16,Paramètres!$A$1:$I$89,3,0)*VLOOKUP('Données projet'!$B$16,Paramètres!$A$1:$I$89,5,0)</f>
        <v>275.75807999999921</v>
      </c>
      <c r="FG146" s="14">
        <f t="shared" si="155"/>
        <v>66.069774349401712</v>
      </c>
      <c r="FH146" s="22">
        <f t="shared" si="130"/>
        <v>595.3501796585399</v>
      </c>
      <c r="FI146" s="62">
        <f t="shared" si="131"/>
        <v>888.68351299187316</v>
      </c>
      <c r="FJ146" s="62">
        <f ca="1">AVERAGE(OFFSET($FI$3,0,0,'Données projet'!$E$16+1,1))-AVERAGE(OFFSET($H$3,0,0,'Données projet'!$E$16+1,1))</f>
        <v>343.71044073996887</v>
      </c>
      <c r="FK146" s="62">
        <f t="shared" si="156"/>
        <v>193.51732627292375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</v>
      </c>
      <c r="N147" s="14">
        <f>IF('Données projet'!$A$36&gt;35,N146+M147-V146,IF(A147&lt;'Données projet'!$A$36,$K$205^A147,IF(A147='Données projet'!$A$36,'Données projet'!$B$36,N146+M147-V146)))</f>
        <v>278.59999999999917</v>
      </c>
      <c r="O147" s="14">
        <f>N147*VLOOKUP('Données projet'!$B$9,Paramètres!$A$1:$I$89,3,0)*VLOOKUP('Données projet'!$B$9,Paramètres!$A$1:$I$89,5,0)</f>
        <v>252.07727999999923</v>
      </c>
      <c r="P147" s="14">
        <f t="shared" si="141"/>
        <v>61.030544652154823</v>
      </c>
      <c r="Q147" s="22">
        <f t="shared" si="108"/>
        <v>545.32946126916829</v>
      </c>
      <c r="R147" s="62">
        <f t="shared" si="109"/>
        <v>838.66279460250166</v>
      </c>
      <c r="S147" s="62">
        <f ca="1">AVERAGE(OFFSET($R$3,0,0,'Données projet'!$E$9+1,1))-AVERAGE(OFFSET($H$3,0,0,'Données projet'!$E$9+1,1))</f>
        <v>303.73499739059076</v>
      </c>
      <c r="T147" s="62">
        <f t="shared" si="142"/>
        <v>172.32171001882188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-2.2737367544323206E-13</v>
      </c>
      <c r="AJ147" s="14">
        <f>AI147*VLOOKUP('Données projet'!$B$10,Paramètres!$A$1:$I$89,3,0)*VLOOKUP('Données projet'!$B$10,Paramètres!$A$1:$I$89,5,0)</f>
        <v>-1.6671037883497774E-13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215.66498680344858</v>
      </c>
      <c r="AO147" s="62">
        <f t="shared" si="144"/>
        <v>199.86715787211114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-5.6843418860808015E-14</v>
      </c>
      <c r="BE147" s="14">
        <f>BD147*VLOOKUP('Données projet'!$B$11,Paramètres!$A$1:$I$89,3,0)*VLOOKUP('Données projet'!$B$11,Paramètres!$A$1:$I$89,5,0)</f>
        <v>-3.3992364478763198E-14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155.11440101086782</v>
      </c>
      <c r="BJ147" s="62">
        <f t="shared" si="146"/>
        <v>239.53454701506638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1.4116217242305165</v>
      </c>
      <c r="BQ147" s="23">
        <f>EXP(-LN(2)/25)*BQ146+(1-EXP(-LN(2)/25))/(LN(2)/25)*Calculateur!BL147*Calculateur!BN147*VLOOKUP('Données projet'!$B$11,Paramètres!$A$1:$I$89,3,0)*0.475*44/12</f>
        <v>0.30701806785700059</v>
      </c>
      <c r="BR147" s="23">
        <f>EXP(-LN(2)/2)*BR146+(1-EXP(-LN(2)/2))/(LN(2)/2)*BL147*BO147*VLOOKUP('Données projet'!$B$11,Paramètres!$A$1:$I$89,3,0)*0.475*44/12</f>
        <v>2.0462403125581649E-17</v>
      </c>
      <c r="BS147" s="24">
        <f t="shared" si="117"/>
        <v>1.7186397920875169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-5.6843418860808015E-14</v>
      </c>
      <c r="BZ147" s="14">
        <f>BY147*VLOOKUP('Données projet'!$B$12,Paramètres!$A$1:$I$89,3,0)*VLOOKUP('Données projet'!$B$12,Paramètres!$A$1:$I$89,5,0)</f>
        <v>-3.3992364478763198E-14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155.11440101086782</v>
      </c>
      <c r="CE147" s="62">
        <f t="shared" si="148"/>
        <v>239.53454701506638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1.4116217242305165</v>
      </c>
      <c r="CL147" s="23">
        <f>EXP(-LN(2)/25)*CL146+(1-EXP(-LN(2)/25))/(LN(2)/25)*Calculateur!CG147*Calculateur!CI147*VLOOKUP('Données projet'!$B$12,Paramètres!$A$1:$I$89,3,0)*0.475*44/12</f>
        <v>0.30701806785700059</v>
      </c>
      <c r="CM147" s="23">
        <f>EXP(-LN(2)/2)*CM146+(1-EXP(-LN(2)/2))/(LN(2)/2)*CG147*CJ147*VLOOKUP('Données projet'!$B$12,Paramètres!$A$1:$I$89,3,0)*0.475*44/12</f>
        <v>2.0462403125581649E-17</v>
      </c>
      <c r="CN147" s="24">
        <f t="shared" si="120"/>
        <v>1.7186397920875169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-1.1368683772161603E-13</v>
      </c>
      <c r="CU147" s="18">
        <f>CT147*VLOOKUP('Données projet'!$B$13,Paramètres!$A$1:$I$89,3,0)*VLOOKUP('Données projet'!$B$13,Paramètres!$A$1:$I$89,5,0)</f>
        <v>-9.2222762759774927E-14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191.03017979797141</v>
      </c>
      <c r="CZ147" s="62">
        <f t="shared" si="150"/>
        <v>222.78252111624278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-1.1368683772161603E-13</v>
      </c>
      <c r="DP147" s="18">
        <f>DO147*VLOOKUP('Données projet'!$B$14,Paramètres!$A$1:$I$89,3,0)*VLOOKUP('Données projet'!$B$14,Paramètres!$A$1:$I$89,5,0)</f>
        <v>-1.0818439477588981E-13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260.93525280373063</v>
      </c>
      <c r="DU147" s="62">
        <f t="shared" si="152"/>
        <v>206.83968452163816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1.1341666666666668</v>
      </c>
      <c r="EJ147" s="13">
        <f>IF('Données projet'!$A$192&gt;35,EJ146+EI147-ER146,IF(A147&lt;'Données projet'!$A$192,$EG$205^A147,IF(A147='Données projet'!$A$192,'Données projet'!$B$192,EJ146+EI147-ER146)))</f>
        <v>123.4075</v>
      </c>
      <c r="EK147" s="18">
        <f>EJ147*VLOOKUP('Données projet'!$B$15,Paramètres!$A$1:$I$89,3,0)*VLOOKUP('Données projet'!$B$15,Paramètres!$A$1:$I$89,5,0)</f>
        <v>142.16543999999999</v>
      </c>
      <c r="EL147" s="14">
        <f t="shared" si="153"/>
        <v>36.792633374400118</v>
      </c>
      <c r="EM147" s="22">
        <f t="shared" si="127"/>
        <v>311.68531112708018</v>
      </c>
      <c r="EN147" s="62">
        <f t="shared" si="128"/>
        <v>605.0186444604135</v>
      </c>
      <c r="EO147" s="62">
        <f ca="1">AVERAGE(OFFSET($EN$3,0,0,'Données projet'!$E$15+1,1))-AVERAGE(OFFSET($H$3,0,0,'Données projet'!$E$15+1,1))</f>
        <v>118.01099353898547</v>
      </c>
      <c r="EP147" s="62">
        <f t="shared" si="154"/>
        <v>103.17146760845947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2.4</v>
      </c>
      <c r="FE147" s="13">
        <f>IF('Données projet'!$A$218&gt;35,FE146+FD147-FM146,IF(A147&lt;'Données projet'!$A$218,$FB$205^A147,IF(A147='Données projet'!$A$218,'Données projet'!$B$218,FE146+FD147-FM146)))</f>
        <v>278.59999999999917</v>
      </c>
      <c r="FF147" s="18">
        <f>FE147*VLOOKUP('Données projet'!$B$16,Paramètres!$A$1:$I$89,3,0)*VLOOKUP('Données projet'!$B$16,Paramètres!$A$1:$I$89,5,0)</f>
        <v>278.15423999999916</v>
      </c>
      <c r="FG147" s="14">
        <f t="shared" si="155"/>
        <v>66.576796716338393</v>
      </c>
      <c r="FH147" s="22">
        <f t="shared" si="130"/>
        <v>600.40655561428787</v>
      </c>
      <c r="FI147" s="62">
        <f t="shared" si="131"/>
        <v>893.73988894762124</v>
      </c>
      <c r="FJ147" s="62">
        <f ca="1">AVERAGE(OFFSET($FI$3,0,0,'Données projet'!$E$16+1,1))-AVERAGE(OFFSET($H$3,0,0,'Données projet'!$E$16+1,1))</f>
        <v>343.71044073996887</v>
      </c>
      <c r="FK147" s="62">
        <f t="shared" si="156"/>
        <v>193.51732627292375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</v>
      </c>
      <c r="N148" s="14">
        <f>IF('Données projet'!$A$36&gt;35,N147+M148-V147,IF(A148&lt;'Données projet'!$A$36,$K$205^A148,IF(A148='Données projet'!$A$36,'Données projet'!$B$36,N147+M148-V147)))</f>
        <v>280.99999999999915</v>
      </c>
      <c r="O148" s="14">
        <f>N148*VLOOKUP('Données projet'!$B$9,Paramètres!$A$1:$I$89,3,0)*VLOOKUP('Données projet'!$B$9,Paramètres!$A$1:$I$89,5,0)</f>
        <v>254.24879999999925</v>
      </c>
      <c r="P148" s="14">
        <f t="shared" si="141"/>
        <v>61.494863147658698</v>
      </c>
      <c r="Q148" s="22">
        <f t="shared" si="108"/>
        <v>549.92021331550427</v>
      </c>
      <c r="R148" s="62">
        <f t="shared" si="109"/>
        <v>843.25354664883753</v>
      </c>
      <c r="S148" s="62">
        <f ca="1">AVERAGE(OFFSET($R$3,0,0,'Données projet'!$E$9+1,1))-AVERAGE(OFFSET($H$3,0,0,'Données projet'!$E$9+1,1))</f>
        <v>303.73499739059076</v>
      </c>
      <c r="T148" s="62">
        <f t="shared" si="142"/>
        <v>172.32171001882188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-2.2737367544323206E-13</v>
      </c>
      <c r="AJ148" s="14">
        <f>AI148*VLOOKUP('Données projet'!$B$10,Paramètres!$A$1:$I$89,3,0)*VLOOKUP('Données projet'!$B$10,Paramètres!$A$1:$I$89,5,0)</f>
        <v>-1.6671037883497774E-13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215.66498680344858</v>
      </c>
      <c r="AO148" s="62">
        <f t="shared" si="144"/>
        <v>199.86715787211114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-5.6843418860808015E-14</v>
      </c>
      <c r="BE148" s="14">
        <f>BD148*VLOOKUP('Données projet'!$B$11,Paramètres!$A$1:$I$89,3,0)*VLOOKUP('Données projet'!$B$11,Paramètres!$A$1:$I$89,5,0)</f>
        <v>-3.3992364478763198E-14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155.11440101086782</v>
      </c>
      <c r="BJ148" s="62">
        <f t="shared" si="146"/>
        <v>239.53454701506638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1.3839406832225907</v>
      </c>
      <c r="BQ148" s="23">
        <f>EXP(-LN(2)/25)*BQ147+(1-EXP(-LN(2)/25))/(LN(2)/25)*Calculateur!BL148*Calculateur!BN148*VLOOKUP('Données projet'!$B$11,Paramètres!$A$1:$I$89,3,0)*0.475*44/12</f>
        <v>0.29862264264607241</v>
      </c>
      <c r="BR148" s="23">
        <f>EXP(-LN(2)/2)*BR147+(1-EXP(-LN(2)/2))/(LN(2)/2)*BL148*BO148*VLOOKUP('Données projet'!$B$11,Paramètres!$A$1:$I$89,3,0)*0.475*44/12</f>
        <v>1.4469104009471589E-17</v>
      </c>
      <c r="BS148" s="24">
        <f t="shared" si="117"/>
        <v>1.6825633258686632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-5.6843418860808015E-14</v>
      </c>
      <c r="BZ148" s="14">
        <f>BY148*VLOOKUP('Données projet'!$B$12,Paramètres!$A$1:$I$89,3,0)*VLOOKUP('Données projet'!$B$12,Paramètres!$A$1:$I$89,5,0)</f>
        <v>-3.3992364478763198E-14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155.11440101086782</v>
      </c>
      <c r="CE148" s="62">
        <f t="shared" si="148"/>
        <v>239.53454701506638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1.3839406832225907</v>
      </c>
      <c r="CL148" s="23">
        <f>EXP(-LN(2)/25)*CL147+(1-EXP(-LN(2)/25))/(LN(2)/25)*Calculateur!CG148*Calculateur!CI148*VLOOKUP('Données projet'!$B$12,Paramètres!$A$1:$I$89,3,0)*0.475*44/12</f>
        <v>0.29862264264607241</v>
      </c>
      <c r="CM148" s="23">
        <f>EXP(-LN(2)/2)*CM147+(1-EXP(-LN(2)/2))/(LN(2)/2)*CG148*CJ148*VLOOKUP('Données projet'!$B$12,Paramètres!$A$1:$I$89,3,0)*0.475*44/12</f>
        <v>1.4469104009471589E-17</v>
      </c>
      <c r="CN148" s="24">
        <f t="shared" si="120"/>
        <v>1.6825633258686632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-1.1368683772161603E-13</v>
      </c>
      <c r="CU148" s="18">
        <f>CT148*VLOOKUP('Données projet'!$B$13,Paramètres!$A$1:$I$89,3,0)*VLOOKUP('Données projet'!$B$13,Paramètres!$A$1:$I$89,5,0)</f>
        <v>-9.2222762759774927E-14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191.03017979797141</v>
      </c>
      <c r="CZ148" s="62">
        <f t="shared" si="150"/>
        <v>222.78252111624278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-1.1368683772161603E-13</v>
      </c>
      <c r="DP148" s="18">
        <f>DO148*VLOOKUP('Données projet'!$B$14,Paramètres!$A$1:$I$89,3,0)*VLOOKUP('Données projet'!$B$14,Paramètres!$A$1:$I$89,5,0)</f>
        <v>-1.0818439477588981E-13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260.93525280373063</v>
      </c>
      <c r="DU148" s="62">
        <f t="shared" si="152"/>
        <v>206.83968452163816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1.1341666666666668</v>
      </c>
      <c r="EJ148" s="13">
        <f>IF('Données projet'!$A$192&gt;35,EJ147+EI148-ER147,IF(A148&lt;'Données projet'!$A$192,$EG$205^A148,IF(A148='Données projet'!$A$192,'Données projet'!$B$192,EJ147+EI148-ER147)))</f>
        <v>124.54166666666667</v>
      </c>
      <c r="EK148" s="18">
        <f>EJ148*VLOOKUP('Données projet'!$B$15,Paramètres!$A$1:$I$89,3,0)*VLOOKUP('Données projet'!$B$15,Paramètres!$A$1:$I$89,5,0)</f>
        <v>143.47200000000001</v>
      </c>
      <c r="EL148" s="14">
        <f t="shared" si="153"/>
        <v>37.091254368743478</v>
      </c>
      <c r="EM148" s="22">
        <f t="shared" si="127"/>
        <v>314.4810013588949</v>
      </c>
      <c r="EN148" s="62">
        <f t="shared" si="128"/>
        <v>607.81433469222816</v>
      </c>
      <c r="EO148" s="62">
        <f ca="1">AVERAGE(OFFSET($EN$3,0,0,'Données projet'!$E$15+1,1))-AVERAGE(OFFSET($H$3,0,0,'Données projet'!$E$15+1,1))</f>
        <v>118.01099353898547</v>
      </c>
      <c r="EP148" s="62">
        <f t="shared" si="154"/>
        <v>103.17146760845947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2.4</v>
      </c>
      <c r="FE148" s="13">
        <f>IF('Données projet'!$A$218&gt;35,FE147+FD148-FM147,IF(A148&lt;'Données projet'!$A$218,$FB$205^A148,IF(A148='Données projet'!$A$218,'Données projet'!$B$218,FE147+FD148-FM147)))</f>
        <v>280.99999999999915</v>
      </c>
      <c r="FF148" s="18">
        <f>FE148*VLOOKUP('Données projet'!$B$16,Paramètres!$A$1:$I$89,3,0)*VLOOKUP('Données projet'!$B$16,Paramètres!$A$1:$I$89,5,0)</f>
        <v>280.55039999999917</v>
      </c>
      <c r="FG148" s="14">
        <f t="shared" si="155"/>
        <v>67.083310925952389</v>
      </c>
      <c r="FH148" s="22">
        <f t="shared" si="130"/>
        <v>605.46204652936558</v>
      </c>
      <c r="FI148" s="62">
        <f t="shared" si="131"/>
        <v>898.79537986269884</v>
      </c>
      <c r="FJ148" s="62">
        <f ca="1">AVERAGE(OFFSET($FI$3,0,0,'Données projet'!$E$16+1,1))-AVERAGE(OFFSET($H$3,0,0,'Données projet'!$E$16+1,1))</f>
        <v>343.71044073996887</v>
      </c>
      <c r="FK148" s="62">
        <f t="shared" si="156"/>
        <v>193.51732627292375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</v>
      </c>
      <c r="N149" s="14">
        <f>IF('Données projet'!$A$36&gt;35,N148+M149-V148,IF(A149&lt;'Données projet'!$A$36,$K$205^A149,IF(A149='Données projet'!$A$36,'Données projet'!$B$36,N148+M149-V148)))</f>
        <v>283.39999999999912</v>
      </c>
      <c r="O149" s="14">
        <f>N149*VLOOKUP('Données projet'!$B$9,Paramètres!$A$1:$I$89,3,0)*VLOOKUP('Données projet'!$B$9,Paramètres!$A$1:$I$89,5,0)</f>
        <v>256.42031999999921</v>
      </c>
      <c r="P149" s="14">
        <f t="shared" si="141"/>
        <v>61.958720258016747</v>
      </c>
      <c r="Q149" s="22">
        <f t="shared" si="108"/>
        <v>554.51016178271107</v>
      </c>
      <c r="R149" s="62">
        <f t="shared" si="109"/>
        <v>847.84349511604432</v>
      </c>
      <c r="S149" s="62">
        <f ca="1">AVERAGE(OFFSET($R$3,0,0,'Données projet'!$E$9+1,1))-AVERAGE(OFFSET($H$3,0,0,'Données projet'!$E$9+1,1))</f>
        <v>303.73499739059076</v>
      </c>
      <c r="T149" s="62">
        <f t="shared" si="142"/>
        <v>172.32171001882188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-2.2737367544323206E-13</v>
      </c>
      <c r="AJ149" s="14">
        <f>AI149*VLOOKUP('Données projet'!$B$10,Paramètres!$A$1:$I$89,3,0)*VLOOKUP('Données projet'!$B$10,Paramètres!$A$1:$I$89,5,0)</f>
        <v>-1.6671037883497774E-13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215.66498680344858</v>
      </c>
      <c r="AO149" s="62">
        <f t="shared" si="144"/>
        <v>199.86715787211114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-5.6843418860808015E-14</v>
      </c>
      <c r="BE149" s="14">
        <f>BD149*VLOOKUP('Données projet'!$B$11,Paramètres!$A$1:$I$89,3,0)*VLOOKUP('Données projet'!$B$11,Paramètres!$A$1:$I$89,5,0)</f>
        <v>-3.3992364478763198E-14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155.11440101086782</v>
      </c>
      <c r="BJ149" s="62">
        <f t="shared" si="146"/>
        <v>239.53454701506638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1.3568024505450624</v>
      </c>
      <c r="BQ149" s="23">
        <f>EXP(-LN(2)/25)*BQ148+(1-EXP(-LN(2)/25))/(LN(2)/25)*Calculateur!BL149*Calculateur!BN149*VLOOKUP('Données projet'!$B$11,Paramètres!$A$1:$I$89,3,0)*0.475*44/12</f>
        <v>0.2904567907790333</v>
      </c>
      <c r="BR149" s="23">
        <f>EXP(-LN(2)/2)*BR148+(1-EXP(-LN(2)/2))/(LN(2)/2)*BL149*BO149*VLOOKUP('Données projet'!$B$11,Paramètres!$A$1:$I$89,3,0)*0.475*44/12</f>
        <v>1.0231201562790824E-17</v>
      </c>
      <c r="BS149" s="24">
        <f t="shared" si="117"/>
        <v>1.6472592413240958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-5.6843418860808015E-14</v>
      </c>
      <c r="BZ149" s="14">
        <f>BY149*VLOOKUP('Données projet'!$B$12,Paramètres!$A$1:$I$89,3,0)*VLOOKUP('Données projet'!$B$12,Paramètres!$A$1:$I$89,5,0)</f>
        <v>-3.3992364478763198E-14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155.11440101086782</v>
      </c>
      <c r="CE149" s="62">
        <f t="shared" si="148"/>
        <v>239.53454701506638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1.3568024505450624</v>
      </c>
      <c r="CL149" s="23">
        <f>EXP(-LN(2)/25)*CL148+(1-EXP(-LN(2)/25))/(LN(2)/25)*Calculateur!CG149*Calculateur!CI149*VLOOKUP('Données projet'!$B$12,Paramètres!$A$1:$I$89,3,0)*0.475*44/12</f>
        <v>0.2904567907790333</v>
      </c>
      <c r="CM149" s="23">
        <f>EXP(-LN(2)/2)*CM148+(1-EXP(-LN(2)/2))/(LN(2)/2)*CG149*CJ149*VLOOKUP('Données projet'!$B$12,Paramètres!$A$1:$I$89,3,0)*0.475*44/12</f>
        <v>1.0231201562790824E-17</v>
      </c>
      <c r="CN149" s="24">
        <f t="shared" si="120"/>
        <v>1.6472592413240958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-1.1368683772161603E-13</v>
      </c>
      <c r="CU149" s="18">
        <f>CT149*VLOOKUP('Données projet'!$B$13,Paramètres!$A$1:$I$89,3,0)*VLOOKUP('Données projet'!$B$13,Paramètres!$A$1:$I$89,5,0)</f>
        <v>-9.2222762759774927E-14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191.03017979797141</v>
      </c>
      <c r="CZ149" s="62">
        <f t="shared" si="150"/>
        <v>222.78252111624278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-1.1368683772161603E-13</v>
      </c>
      <c r="DP149" s="18">
        <f>DO149*VLOOKUP('Données projet'!$B$14,Paramètres!$A$1:$I$89,3,0)*VLOOKUP('Données projet'!$B$14,Paramètres!$A$1:$I$89,5,0)</f>
        <v>-1.0818439477588981E-13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260.93525280373063</v>
      </c>
      <c r="DU149" s="62">
        <f t="shared" si="152"/>
        <v>206.83968452163816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1.1341666666666668</v>
      </c>
      <c r="EJ149" s="13">
        <f>IF('Données projet'!$A$192&gt;35,EJ148+EI149-ER148,IF(A149&lt;'Données projet'!$A$192,$EG$205^A149,IF(A149='Données projet'!$A$192,'Données projet'!$B$192,EJ148+EI149-ER148)))</f>
        <v>125.67583333333334</v>
      </c>
      <c r="EK149" s="18">
        <f>EJ149*VLOOKUP('Données projet'!$B$15,Paramètres!$A$1:$I$89,3,0)*VLOOKUP('Données projet'!$B$15,Paramètres!$A$1:$I$89,5,0)</f>
        <v>144.77856</v>
      </c>
      <c r="EL149" s="14">
        <f t="shared" si="153"/>
        <v>37.389558981127166</v>
      </c>
      <c r="EM149" s="22">
        <f t="shared" si="127"/>
        <v>317.2761405587965</v>
      </c>
      <c r="EN149" s="62">
        <f t="shared" si="128"/>
        <v>610.60947389212981</v>
      </c>
      <c r="EO149" s="62">
        <f ca="1">AVERAGE(OFFSET($EN$3,0,0,'Données projet'!$E$15+1,1))-AVERAGE(OFFSET($H$3,0,0,'Données projet'!$E$15+1,1))</f>
        <v>118.01099353898547</v>
      </c>
      <c r="EP149" s="62">
        <f t="shared" si="154"/>
        <v>103.17146760845947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2.4</v>
      </c>
      <c r="FE149" s="13">
        <f>IF('Données projet'!$A$218&gt;35,FE148+FD149-FM148,IF(A149&lt;'Données projet'!$A$218,$FB$205^A149,IF(A149='Données projet'!$A$218,'Données projet'!$B$218,FE148+FD149-FM148)))</f>
        <v>283.39999999999912</v>
      </c>
      <c r="FF149" s="18">
        <f>FE149*VLOOKUP('Données projet'!$B$16,Paramètres!$A$1:$I$89,3,0)*VLOOKUP('Données projet'!$B$16,Paramètres!$A$1:$I$89,5,0)</f>
        <v>282.94655999999912</v>
      </c>
      <c r="FG149" s="14">
        <f t="shared" si="155"/>
        <v>67.589321821279469</v>
      </c>
      <c r="FH149" s="22">
        <f t="shared" si="130"/>
        <v>610.51666083872692</v>
      </c>
      <c r="FI149" s="62">
        <f t="shared" si="131"/>
        <v>903.84999417206018</v>
      </c>
      <c r="FJ149" s="62">
        <f ca="1">AVERAGE(OFFSET($FI$3,0,0,'Données projet'!$E$16+1,1))-AVERAGE(OFFSET($H$3,0,0,'Données projet'!$E$16+1,1))</f>
        <v>343.71044073996887</v>
      </c>
      <c r="FK149" s="62">
        <f t="shared" si="156"/>
        <v>193.51732627292375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</v>
      </c>
      <c r="N150" s="14">
        <f>IF('Données projet'!$A$36&gt;35,N149+M150-V149,IF(A150&lt;'Données projet'!$A$36,$K$205^A150,IF(A150='Données projet'!$A$36,'Données projet'!$B$36,N149+M150-V149)))</f>
        <v>285.7999999999991</v>
      </c>
      <c r="O150" s="14">
        <f>N150*VLOOKUP('Données projet'!$B$9,Paramètres!$A$1:$I$89,3,0)*VLOOKUP('Données projet'!$B$9,Paramètres!$A$1:$I$89,5,0)</f>
        <v>258.59183999999919</v>
      </c>
      <c r="P150" s="14">
        <f t="shared" si="141"/>
        <v>62.422120343276475</v>
      </c>
      <c r="Q150" s="22">
        <f t="shared" si="108"/>
        <v>559.09931426453841</v>
      </c>
      <c r="R150" s="62">
        <f t="shared" si="109"/>
        <v>852.43264759787166</v>
      </c>
      <c r="S150" s="62">
        <f ca="1">AVERAGE(OFFSET($R$3,0,0,'Données projet'!$E$9+1,1))-AVERAGE(OFFSET($H$3,0,0,'Données projet'!$E$9+1,1))</f>
        <v>303.73499739059076</v>
      </c>
      <c r="T150" s="62">
        <f t="shared" si="142"/>
        <v>172.32171001882188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-2.2737367544323206E-13</v>
      </c>
      <c r="AJ150" s="14">
        <f>AI150*VLOOKUP('Données projet'!$B$10,Paramètres!$A$1:$I$89,3,0)*VLOOKUP('Données projet'!$B$10,Paramètres!$A$1:$I$89,5,0)</f>
        <v>-1.6671037883497774E-13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215.66498680344858</v>
      </c>
      <c r="AO150" s="62">
        <f t="shared" si="144"/>
        <v>199.86715787211114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-5.6843418860808015E-14</v>
      </c>
      <c r="BE150" s="14">
        <f>BD150*VLOOKUP('Données projet'!$B$11,Paramètres!$A$1:$I$89,3,0)*VLOOKUP('Données projet'!$B$11,Paramètres!$A$1:$I$89,5,0)</f>
        <v>-3.3992364478763198E-14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155.11440101086782</v>
      </c>
      <c r="BJ150" s="62">
        <f t="shared" si="146"/>
        <v>239.53454701506638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1.330196382057653</v>
      </c>
      <c r="BQ150" s="23">
        <f>EXP(-LN(2)/25)*BQ149+(1-EXP(-LN(2)/25))/(LN(2)/25)*Calculateur!BL150*Calculateur!BN150*VLOOKUP('Données projet'!$B$11,Paramètres!$A$1:$I$89,3,0)*0.475*44/12</f>
        <v>0.28251423456072183</v>
      </c>
      <c r="BR150" s="23">
        <f>EXP(-LN(2)/2)*BR149+(1-EXP(-LN(2)/2))/(LN(2)/2)*BL150*BO150*VLOOKUP('Données projet'!$B$11,Paramètres!$A$1:$I$89,3,0)*0.475*44/12</f>
        <v>7.2345520047357943E-18</v>
      </c>
      <c r="BS150" s="24">
        <f t="shared" si="117"/>
        <v>1.6127106166183749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-5.6843418860808015E-14</v>
      </c>
      <c r="BZ150" s="14">
        <f>BY150*VLOOKUP('Données projet'!$B$12,Paramètres!$A$1:$I$89,3,0)*VLOOKUP('Données projet'!$B$12,Paramètres!$A$1:$I$89,5,0)</f>
        <v>-3.3992364478763198E-14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155.11440101086782</v>
      </c>
      <c r="CE150" s="62">
        <f t="shared" si="148"/>
        <v>239.53454701506638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1.330196382057653</v>
      </c>
      <c r="CL150" s="23">
        <f>EXP(-LN(2)/25)*CL149+(1-EXP(-LN(2)/25))/(LN(2)/25)*Calculateur!CG150*Calculateur!CI150*VLOOKUP('Données projet'!$B$12,Paramètres!$A$1:$I$89,3,0)*0.475*44/12</f>
        <v>0.28251423456072183</v>
      </c>
      <c r="CM150" s="23">
        <f>EXP(-LN(2)/2)*CM149+(1-EXP(-LN(2)/2))/(LN(2)/2)*CG150*CJ150*VLOOKUP('Données projet'!$B$12,Paramètres!$A$1:$I$89,3,0)*0.475*44/12</f>
        <v>7.2345520047357943E-18</v>
      </c>
      <c r="CN150" s="24">
        <f t="shared" si="120"/>
        <v>1.6127106166183749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-1.1368683772161603E-13</v>
      </c>
      <c r="CU150" s="18">
        <f>CT150*VLOOKUP('Données projet'!$B$13,Paramètres!$A$1:$I$89,3,0)*VLOOKUP('Données projet'!$B$13,Paramètres!$A$1:$I$89,5,0)</f>
        <v>-9.2222762759774927E-14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191.03017979797141</v>
      </c>
      <c r="CZ150" s="62">
        <f t="shared" si="150"/>
        <v>222.78252111624278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-1.1368683772161603E-13</v>
      </c>
      <c r="DP150" s="18">
        <f>DO150*VLOOKUP('Données projet'!$B$14,Paramètres!$A$1:$I$89,3,0)*VLOOKUP('Données projet'!$B$14,Paramètres!$A$1:$I$89,5,0)</f>
        <v>-1.0818439477588981E-13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260.93525280373063</v>
      </c>
      <c r="DU150" s="62">
        <f t="shared" si="152"/>
        <v>206.83968452163816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1.1341666666666668</v>
      </c>
      <c r="EJ150" s="13">
        <f>IF('Données projet'!$A$192&gt;35,EJ149+EI150-ER149,IF(A150&lt;'Données projet'!$A$192,$EG$205^A150,IF(A150='Données projet'!$A$192,'Données projet'!$B$192,EJ149+EI150-ER149)))</f>
        <v>126.81000000000002</v>
      </c>
      <c r="EK150" s="18">
        <f>EJ150*VLOOKUP('Données projet'!$B$15,Paramètres!$A$1:$I$89,3,0)*VLOOKUP('Données projet'!$B$15,Paramètres!$A$1:$I$89,5,0)</f>
        <v>146.08512000000002</v>
      </c>
      <c r="EL150" s="14">
        <f t="shared" si="153"/>
        <v>37.687550397511806</v>
      </c>
      <c r="EM150" s="22">
        <f t="shared" si="127"/>
        <v>320.07073427566644</v>
      </c>
      <c r="EN150" s="62">
        <f t="shared" si="128"/>
        <v>613.40406760899975</v>
      </c>
      <c r="EO150" s="62">
        <f ca="1">AVERAGE(OFFSET($EN$3,0,0,'Données projet'!$E$15+1,1))-AVERAGE(OFFSET($H$3,0,0,'Données projet'!$E$15+1,1))</f>
        <v>118.01099353898547</v>
      </c>
      <c r="EP150" s="62">
        <f t="shared" si="154"/>
        <v>103.17146760845947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2.4</v>
      </c>
      <c r="FE150" s="13">
        <f>IF('Données projet'!$A$218&gt;35,FE149+FD150-FM149,IF(A150&lt;'Données projet'!$A$218,$FB$205^A150,IF(A150='Données projet'!$A$218,'Données projet'!$B$218,FE149+FD150-FM149)))</f>
        <v>285.7999999999991</v>
      </c>
      <c r="FF150" s="18">
        <f>FE150*VLOOKUP('Données projet'!$B$16,Paramètres!$A$1:$I$89,3,0)*VLOOKUP('Données projet'!$B$16,Paramètres!$A$1:$I$89,5,0)</f>
        <v>285.34271999999913</v>
      </c>
      <c r="FG150" s="14">
        <f t="shared" si="155"/>
        <v>68.094834158593628</v>
      </c>
      <c r="FH150" s="22">
        <f t="shared" si="130"/>
        <v>615.57040682621573</v>
      </c>
      <c r="FI150" s="62">
        <f t="shared" si="131"/>
        <v>908.90374015954899</v>
      </c>
      <c r="FJ150" s="62">
        <f ca="1">AVERAGE(OFFSET($FI$3,0,0,'Données projet'!$E$16+1,1))-AVERAGE(OFFSET($H$3,0,0,'Données projet'!$E$16+1,1))</f>
        <v>343.71044073996887</v>
      </c>
      <c r="FK150" s="62">
        <f t="shared" si="156"/>
        <v>193.51732627292375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</v>
      </c>
      <c r="N151" s="14">
        <f>IF('Données projet'!$A$36&gt;35,N150+M151-V150,IF(A151&lt;'Données projet'!$A$36,$K$205^A151,IF(A151='Données projet'!$A$36,'Données projet'!$B$36,N150+M151-V150)))</f>
        <v>288.19999999999908</v>
      </c>
      <c r="O151" s="14">
        <f>N151*VLOOKUP('Données projet'!$B$9,Paramètres!$A$1:$I$89,3,0)*VLOOKUP('Données projet'!$B$9,Paramètres!$A$1:$I$89,5,0)</f>
        <v>260.76335999999918</v>
      </c>
      <c r="P151" s="14">
        <f t="shared" si="141"/>
        <v>62.885067686031789</v>
      </c>
      <c r="Q151" s="22">
        <f t="shared" si="108"/>
        <v>563.68767821983727</v>
      </c>
      <c r="R151" s="62">
        <f t="shared" si="109"/>
        <v>857.02101155317064</v>
      </c>
      <c r="S151" s="62">
        <f ca="1">AVERAGE(OFFSET($R$3,0,0,'Données projet'!$E$9+1,1))-AVERAGE(OFFSET($H$3,0,0,'Données projet'!$E$9+1,1))</f>
        <v>303.73499739059076</v>
      </c>
      <c r="T151" s="62">
        <f t="shared" si="142"/>
        <v>172.32171001882188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-2.2737367544323206E-13</v>
      </c>
      <c r="AJ151" s="14">
        <f>AI151*VLOOKUP('Données projet'!$B$10,Paramètres!$A$1:$I$89,3,0)*VLOOKUP('Données projet'!$B$10,Paramètres!$A$1:$I$89,5,0)</f>
        <v>-1.6671037883497774E-13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215.66498680344858</v>
      </c>
      <c r="AO151" s="62">
        <f t="shared" si="144"/>
        <v>199.86715787211114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-5.6843418860808015E-14</v>
      </c>
      <c r="BE151" s="14">
        <f>BD151*VLOOKUP('Données projet'!$B$11,Paramètres!$A$1:$I$89,3,0)*VLOOKUP('Données projet'!$B$11,Paramètres!$A$1:$I$89,5,0)</f>
        <v>-3.3992364478763198E-14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155.11440101086782</v>
      </c>
      <c r="BJ151" s="62">
        <f t="shared" si="146"/>
        <v>239.53454701506638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1.3041120423451824</v>
      </c>
      <c r="BQ151" s="23">
        <f>EXP(-LN(2)/25)*BQ150+(1-EXP(-LN(2)/25))/(LN(2)/25)*Calculateur!BL151*Calculateur!BN151*VLOOKUP('Données projet'!$B$11,Paramètres!$A$1:$I$89,3,0)*0.475*44/12</f>
        <v>0.274788867959881</v>
      </c>
      <c r="BR151" s="23">
        <f>EXP(-LN(2)/2)*BR150+(1-EXP(-LN(2)/2))/(LN(2)/2)*BL151*BO151*VLOOKUP('Données projet'!$B$11,Paramètres!$A$1:$I$89,3,0)*0.475*44/12</f>
        <v>5.1156007813954122E-18</v>
      </c>
      <c r="BS151" s="24">
        <f t="shared" si="117"/>
        <v>1.5789009103050633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-5.6843418860808015E-14</v>
      </c>
      <c r="BZ151" s="14">
        <f>BY151*VLOOKUP('Données projet'!$B$12,Paramètres!$A$1:$I$89,3,0)*VLOOKUP('Données projet'!$B$12,Paramètres!$A$1:$I$89,5,0)</f>
        <v>-3.3992364478763198E-14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155.11440101086782</v>
      </c>
      <c r="CE151" s="62">
        <f t="shared" si="148"/>
        <v>239.53454701506638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1.3041120423451824</v>
      </c>
      <c r="CL151" s="23">
        <f>EXP(-LN(2)/25)*CL150+(1-EXP(-LN(2)/25))/(LN(2)/25)*Calculateur!CG151*Calculateur!CI151*VLOOKUP('Données projet'!$B$12,Paramètres!$A$1:$I$89,3,0)*0.475*44/12</f>
        <v>0.274788867959881</v>
      </c>
      <c r="CM151" s="23">
        <f>EXP(-LN(2)/2)*CM150+(1-EXP(-LN(2)/2))/(LN(2)/2)*CG151*CJ151*VLOOKUP('Données projet'!$B$12,Paramètres!$A$1:$I$89,3,0)*0.475*44/12</f>
        <v>5.1156007813954122E-18</v>
      </c>
      <c r="CN151" s="24">
        <f t="shared" si="120"/>
        <v>1.5789009103050633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-1.1368683772161603E-13</v>
      </c>
      <c r="CU151" s="18">
        <f>CT151*VLOOKUP('Données projet'!$B$13,Paramètres!$A$1:$I$89,3,0)*VLOOKUP('Données projet'!$B$13,Paramètres!$A$1:$I$89,5,0)</f>
        <v>-9.2222762759774927E-14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191.03017979797141</v>
      </c>
      <c r="CZ151" s="62">
        <f t="shared" si="150"/>
        <v>222.78252111624278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-1.1368683772161603E-13</v>
      </c>
      <c r="DP151" s="18">
        <f>DO151*VLOOKUP('Données projet'!$B$14,Paramètres!$A$1:$I$89,3,0)*VLOOKUP('Données projet'!$B$14,Paramètres!$A$1:$I$89,5,0)</f>
        <v>-1.0818439477588981E-13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260.93525280373063</v>
      </c>
      <c r="DU151" s="62">
        <f t="shared" si="152"/>
        <v>206.83968452163816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1.1341666666666668</v>
      </c>
      <c r="EJ151" s="13">
        <f>IF('Données projet'!$A$192&gt;35,EJ150+EI151-ER150,IF(A151&lt;'Données projet'!$A$192,$EG$205^A151,IF(A151='Données projet'!$A$192,'Données projet'!$B$192,EJ150+EI151-ER150)))</f>
        <v>127.94416666666669</v>
      </c>
      <c r="EK151" s="18">
        <f>EJ151*VLOOKUP('Données projet'!$B$15,Paramètres!$A$1:$I$89,3,0)*VLOOKUP('Données projet'!$B$15,Paramètres!$A$1:$I$89,5,0)</f>
        <v>147.39168000000001</v>
      </c>
      <c r="EL151" s="14">
        <f t="shared" si="153"/>
        <v>37.985231743580776</v>
      </c>
      <c r="EM151" s="22">
        <f t="shared" si="127"/>
        <v>322.86478795340321</v>
      </c>
      <c r="EN151" s="62">
        <f t="shared" si="128"/>
        <v>616.19812128673652</v>
      </c>
      <c r="EO151" s="62">
        <f ca="1">AVERAGE(OFFSET($EN$3,0,0,'Données projet'!$E$15+1,1))-AVERAGE(OFFSET($H$3,0,0,'Données projet'!$E$15+1,1))</f>
        <v>118.01099353898547</v>
      </c>
      <c r="EP151" s="62">
        <f t="shared" si="154"/>
        <v>103.17146760845947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2.4</v>
      </c>
      <c r="FE151" s="13">
        <f>IF('Données projet'!$A$218&gt;35,FE150+FD151-FM150,IF(A151&lt;'Données projet'!$A$218,$FB$205^A151,IF(A151='Données projet'!$A$218,'Données projet'!$B$218,FE150+FD151-FM150)))</f>
        <v>288.19999999999908</v>
      </c>
      <c r="FF151" s="18">
        <f>FE151*VLOOKUP('Données projet'!$B$16,Paramètres!$A$1:$I$89,3,0)*VLOOKUP('Données projet'!$B$16,Paramètres!$A$1:$I$89,5,0)</f>
        <v>287.73887999999909</v>
      </c>
      <c r="FG151" s="14">
        <f t="shared" si="155"/>
        <v>68.599852609676788</v>
      </c>
      <c r="FH151" s="22">
        <f t="shared" si="130"/>
        <v>620.62329262851881</v>
      </c>
      <c r="FI151" s="62">
        <f t="shared" si="131"/>
        <v>913.95662596185207</v>
      </c>
      <c r="FJ151" s="62">
        <f ca="1">AVERAGE(OFFSET($FI$3,0,0,'Données projet'!$E$16+1,1))-AVERAGE(OFFSET($H$3,0,0,'Données projet'!$E$16+1,1))</f>
        <v>343.71044073996887</v>
      </c>
      <c r="FK151" s="62">
        <f t="shared" si="156"/>
        <v>193.51732627292375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</v>
      </c>
      <c r="N152" s="14">
        <f>IF('Données projet'!$A$36&gt;35,N151+M152-V151,IF(A152&lt;'Données projet'!$A$36,$K$205^A152,IF(A152='Données projet'!$A$36,'Données projet'!$B$36,N151+M152-V151)))</f>
        <v>290.59999999999906</v>
      </c>
      <c r="O152" s="14">
        <f>N152*VLOOKUP('Données projet'!$B$9,Paramètres!$A$1:$I$89,3,0)*VLOOKUP('Données projet'!$B$9,Paramètres!$A$1:$I$89,5,0)</f>
        <v>262.93487999999911</v>
      </c>
      <c r="P152" s="14">
        <f t="shared" si="141"/>
        <v>63.347566493432595</v>
      </c>
      <c r="Q152" s="22">
        <f t="shared" si="108"/>
        <v>568.27526097606028</v>
      </c>
      <c r="R152" s="62">
        <f t="shared" si="109"/>
        <v>861.60859430939354</v>
      </c>
      <c r="S152" s="62">
        <f ca="1">AVERAGE(OFFSET($R$3,0,0,'Données projet'!$E$9+1,1))-AVERAGE(OFFSET($H$3,0,0,'Données projet'!$E$9+1,1))</f>
        <v>303.73499739059076</v>
      </c>
      <c r="T152" s="62">
        <f t="shared" si="142"/>
        <v>172.32171001882188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-2.2737367544323206E-13</v>
      </c>
      <c r="AJ152" s="14">
        <f>AI152*VLOOKUP('Données projet'!$B$10,Paramètres!$A$1:$I$89,3,0)*VLOOKUP('Données projet'!$B$10,Paramètres!$A$1:$I$89,5,0)</f>
        <v>-1.6671037883497774E-13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215.66498680344858</v>
      </c>
      <c r="AO152" s="62">
        <f t="shared" si="144"/>
        <v>199.86715787211114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-5.6843418860808015E-14</v>
      </c>
      <c r="BE152" s="14">
        <f>BD152*VLOOKUP('Données projet'!$B$11,Paramètres!$A$1:$I$89,3,0)*VLOOKUP('Données projet'!$B$11,Paramètres!$A$1:$I$89,5,0)</f>
        <v>-3.3992364478763198E-14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155.11440101086782</v>
      </c>
      <c r="BJ152" s="62">
        <f t="shared" si="146"/>
        <v>239.53454701506638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1.278539200624597</v>
      </c>
      <c r="BQ152" s="23">
        <f>EXP(-LN(2)/25)*BQ151+(1-EXP(-LN(2)/25))/(LN(2)/25)*Calculateur!BL152*Calculateur!BN152*VLOOKUP('Données projet'!$B$11,Paramètres!$A$1:$I$89,3,0)*0.475*44/12</f>
        <v>0.26727475191499955</v>
      </c>
      <c r="BR152" s="23">
        <f>EXP(-LN(2)/2)*BR151+(1-EXP(-LN(2)/2))/(LN(2)/2)*BL152*BO152*VLOOKUP('Données projet'!$B$11,Paramètres!$A$1:$I$89,3,0)*0.475*44/12</f>
        <v>3.6172760023678971E-18</v>
      </c>
      <c r="BS152" s="24">
        <f t="shared" si="117"/>
        <v>1.5458139525395966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-5.6843418860808015E-14</v>
      </c>
      <c r="BZ152" s="14">
        <f>BY152*VLOOKUP('Données projet'!$B$12,Paramètres!$A$1:$I$89,3,0)*VLOOKUP('Données projet'!$B$12,Paramètres!$A$1:$I$89,5,0)</f>
        <v>-3.3992364478763198E-14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155.11440101086782</v>
      </c>
      <c r="CE152" s="62">
        <f t="shared" si="148"/>
        <v>239.53454701506638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1.278539200624597</v>
      </c>
      <c r="CL152" s="23">
        <f>EXP(-LN(2)/25)*CL151+(1-EXP(-LN(2)/25))/(LN(2)/25)*Calculateur!CG152*Calculateur!CI152*VLOOKUP('Données projet'!$B$12,Paramètres!$A$1:$I$89,3,0)*0.475*44/12</f>
        <v>0.26727475191499955</v>
      </c>
      <c r="CM152" s="23">
        <f>EXP(-LN(2)/2)*CM151+(1-EXP(-LN(2)/2))/(LN(2)/2)*CG152*CJ152*VLOOKUP('Données projet'!$B$12,Paramètres!$A$1:$I$89,3,0)*0.475*44/12</f>
        <v>3.6172760023678971E-18</v>
      </c>
      <c r="CN152" s="24">
        <f t="shared" si="120"/>
        <v>1.5458139525395966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-1.1368683772161603E-13</v>
      </c>
      <c r="CU152" s="18">
        <f>CT152*VLOOKUP('Données projet'!$B$13,Paramètres!$A$1:$I$89,3,0)*VLOOKUP('Données projet'!$B$13,Paramètres!$A$1:$I$89,5,0)</f>
        <v>-9.2222762759774927E-14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191.03017979797141</v>
      </c>
      <c r="CZ152" s="62">
        <f t="shared" si="150"/>
        <v>222.78252111624278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-1.1368683772161603E-13</v>
      </c>
      <c r="DP152" s="18">
        <f>DO152*VLOOKUP('Données projet'!$B$14,Paramètres!$A$1:$I$89,3,0)*VLOOKUP('Données projet'!$B$14,Paramètres!$A$1:$I$89,5,0)</f>
        <v>-1.0818439477588981E-13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260.93525280373063</v>
      </c>
      <c r="DU152" s="62">
        <f t="shared" si="152"/>
        <v>206.83968452163816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1.1341666666666668</v>
      </c>
      <c r="EJ152" s="13">
        <f>IF('Données projet'!$A$192&gt;35,EJ151+EI152-ER151,IF(A152&lt;'Données projet'!$A$192,$EG$205^A152,IF(A152='Données projet'!$A$192,'Données projet'!$B$192,EJ151+EI152-ER151)))</f>
        <v>129.07833333333335</v>
      </c>
      <c r="EK152" s="18">
        <f>EJ152*VLOOKUP('Données projet'!$B$15,Paramètres!$A$1:$I$89,3,0)*VLOOKUP('Données projet'!$B$15,Paramètres!$A$1:$I$89,5,0)</f>
        <v>148.69824</v>
      </c>
      <c r="EL152" s="14">
        <f t="shared" si="153"/>
        <v>38.282606086404904</v>
      </c>
      <c r="EM152" s="22">
        <f t="shared" si="127"/>
        <v>325.65830693382185</v>
      </c>
      <c r="EN152" s="62">
        <f t="shared" si="128"/>
        <v>618.99164026715516</v>
      </c>
      <c r="EO152" s="62">
        <f ca="1">AVERAGE(OFFSET($EN$3,0,0,'Données projet'!$E$15+1,1))-AVERAGE(OFFSET($H$3,0,0,'Données projet'!$E$15+1,1))</f>
        <v>118.01099353898547</v>
      </c>
      <c r="EP152" s="62">
        <f t="shared" si="154"/>
        <v>103.17146760845947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2.4</v>
      </c>
      <c r="FE152" s="13">
        <f>IF('Données projet'!$A$218&gt;35,FE151+FD152-FM151,IF(A152&lt;'Données projet'!$A$218,$FB$205^A152,IF(A152='Données projet'!$A$218,'Données projet'!$B$218,FE151+FD152-FM151)))</f>
        <v>290.59999999999906</v>
      </c>
      <c r="FF152" s="18">
        <f>FE152*VLOOKUP('Données projet'!$B$16,Paramètres!$A$1:$I$89,3,0)*VLOOKUP('Données projet'!$B$16,Paramètres!$A$1:$I$89,5,0)</f>
        <v>290.13503999999909</v>
      </c>
      <c r="FG152" s="14">
        <f t="shared" si="155"/>
        <v>69.104381764010355</v>
      </c>
      <c r="FH152" s="22">
        <f t="shared" si="130"/>
        <v>625.67532623898308</v>
      </c>
      <c r="FI152" s="62">
        <f t="shared" si="131"/>
        <v>919.00865957231645</v>
      </c>
      <c r="FJ152" s="62">
        <f ca="1">AVERAGE(OFFSET($FI$3,0,0,'Données projet'!$E$16+1,1))-AVERAGE(OFFSET($H$3,0,0,'Données projet'!$E$16+1,1))</f>
        <v>343.71044073996887</v>
      </c>
      <c r="FK152" s="62">
        <f t="shared" si="156"/>
        <v>193.51732627292375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293</v>
      </c>
      <c r="L153" s="13">
        <f>VLOOKUP(A153,'Données projet'!$A$35:$I$55,9,0)</f>
        <v>2.4</v>
      </c>
      <c r="M153" s="13">
        <f t="array" ref="M153">INDEX(L:L,MIN(IF(ISNUMBER(L153:L349),ROW(L153:L349),"")))</f>
        <v>2.4</v>
      </c>
      <c r="N153" s="14">
        <f>IF('Données projet'!$A$36&gt;35,N152+M153-V152,IF(A153&lt;'Données projet'!$A$36,$K$205^A153,IF(A153='Données projet'!$A$36,'Données projet'!$B$36,N152+M153-V152)))</f>
        <v>292.99999999999903</v>
      </c>
      <c r="O153" s="14">
        <f>N153*VLOOKUP('Données projet'!$B$9,Paramètres!$A$1:$I$89,3,0)*VLOOKUP('Données projet'!$B$9,Paramètres!$A$1:$I$89,5,0)</f>
        <v>265.1063999999991</v>
      </c>
      <c r="P153" s="14">
        <f t="shared" si="141"/>
        <v>63.809620899125136</v>
      </c>
      <c r="Q153" s="22">
        <f t="shared" si="108"/>
        <v>572.86206973264132</v>
      </c>
      <c r="R153" s="62">
        <f t="shared" si="109"/>
        <v>866.19540306597469</v>
      </c>
      <c r="S153" s="62">
        <f ca="1">AVERAGE(OFFSET($R$3,0,0,'Données projet'!$E$9+1,1))-AVERAGE(OFFSET($H$3,0,0,'Données projet'!$E$9+1,1))</f>
        <v>303.73499739059076</v>
      </c>
      <c r="T153" s="62">
        <f t="shared" si="142"/>
        <v>172.32171001882188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293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-2.2737367544323206E-13</v>
      </c>
      <c r="AJ153" s="14">
        <f>AI153*VLOOKUP('Données projet'!$B$10,Paramètres!$A$1:$I$89,3,0)*VLOOKUP('Données projet'!$B$10,Paramètres!$A$1:$I$89,5,0)</f>
        <v>-1.6671037883497774E-13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215.66498680344858</v>
      </c>
      <c r="AO153" s="62">
        <f t="shared" si="144"/>
        <v>199.86715787211114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-5.6843418860808015E-14</v>
      </c>
      <c r="BE153" s="14">
        <f>BD153*VLOOKUP('Données projet'!$B$11,Paramètres!$A$1:$I$89,3,0)*VLOOKUP('Données projet'!$B$11,Paramètres!$A$1:$I$89,5,0)</f>
        <v>-3.3992364478763198E-14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155.11440101086782</v>
      </c>
      <c r="BJ153" s="62">
        <f t="shared" si="146"/>
        <v>239.53454701506638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1.253467826732259</v>
      </c>
      <c r="BQ153" s="23">
        <f>EXP(-LN(2)/25)*BQ152+(1-EXP(-LN(2)/25))/(LN(2)/25)*Calculateur!BL153*Calculateur!BN153*VLOOKUP('Données projet'!$B$11,Paramètres!$A$1:$I$89,3,0)*0.475*44/12</f>
        <v>0.25996610976851553</v>
      </c>
      <c r="BR153" s="23">
        <f>EXP(-LN(2)/2)*BR152+(1-EXP(-LN(2)/2))/(LN(2)/2)*BL153*BO153*VLOOKUP('Données projet'!$B$11,Paramètres!$A$1:$I$89,3,0)*0.475*44/12</f>
        <v>2.5578003906977061E-18</v>
      </c>
      <c r="BS153" s="24">
        <f t="shared" si="117"/>
        <v>1.5134339365007745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-5.6843418860808015E-14</v>
      </c>
      <c r="BZ153" s="14">
        <f>BY153*VLOOKUP('Données projet'!$B$12,Paramètres!$A$1:$I$89,3,0)*VLOOKUP('Données projet'!$B$12,Paramètres!$A$1:$I$89,5,0)</f>
        <v>-3.3992364478763198E-14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155.11440101086782</v>
      </c>
      <c r="CE153" s="62">
        <f t="shared" si="148"/>
        <v>239.53454701506638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1.253467826732259</v>
      </c>
      <c r="CL153" s="23">
        <f>EXP(-LN(2)/25)*CL152+(1-EXP(-LN(2)/25))/(LN(2)/25)*Calculateur!CG153*Calculateur!CI153*VLOOKUP('Données projet'!$B$12,Paramètres!$A$1:$I$89,3,0)*0.475*44/12</f>
        <v>0.25996610976851553</v>
      </c>
      <c r="CM153" s="23">
        <f>EXP(-LN(2)/2)*CM152+(1-EXP(-LN(2)/2))/(LN(2)/2)*CG153*CJ153*VLOOKUP('Données projet'!$B$12,Paramètres!$A$1:$I$89,3,0)*0.475*44/12</f>
        <v>2.5578003906977061E-18</v>
      </c>
      <c r="CN153" s="24">
        <f t="shared" si="120"/>
        <v>1.5134339365007745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-1.1368683772161603E-13</v>
      </c>
      <c r="CU153" s="18">
        <f>CT153*VLOOKUP('Données projet'!$B$13,Paramètres!$A$1:$I$89,3,0)*VLOOKUP('Données projet'!$B$13,Paramètres!$A$1:$I$89,5,0)</f>
        <v>-9.2222762759774927E-14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191.03017979797141</v>
      </c>
      <c r="CZ153" s="62">
        <f t="shared" si="150"/>
        <v>222.78252111624278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-1.1368683772161603E-13</v>
      </c>
      <c r="DP153" s="18">
        <f>DO153*VLOOKUP('Données projet'!$B$14,Paramètres!$A$1:$I$89,3,0)*VLOOKUP('Données projet'!$B$14,Paramètres!$A$1:$I$89,5,0)</f>
        <v>-1.0818439477588981E-13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260.93525280373063</v>
      </c>
      <c r="DU153" s="62">
        <f t="shared" si="152"/>
        <v>206.83968452163816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>
        <f>VLOOKUP(A153,'Données projet'!$A$191:$I$211,2,0)</f>
        <v>130.21250000000001</v>
      </c>
      <c r="EH153" s="13">
        <f>VLOOKUP(A153,'Données projet'!$A$191:$I$211,9,0)</f>
        <v>1.1341666666666668</v>
      </c>
      <c r="EI153" s="13">
        <f t="array" ref="EI153">INDEX(EH:EH,MIN(IF(ISNUMBER(EH153:EH349),ROW(EH153:EH349),"")))</f>
        <v>1.1341666666666668</v>
      </c>
      <c r="EJ153" s="13">
        <f>IF('Données projet'!$A$192&gt;35,EJ152+EI153-ER152,IF(A153&lt;'Données projet'!$A$192,$EG$205^A153,IF(A153='Données projet'!$A$192,'Données projet'!$B$192,EJ152+EI153-ER152)))</f>
        <v>130.21250000000001</v>
      </c>
      <c r="EK153" s="18">
        <f>EJ153*VLOOKUP('Données projet'!$B$15,Paramètres!$A$1:$I$89,3,0)*VLOOKUP('Données projet'!$B$15,Paramètres!$A$1:$I$89,5,0)</f>
        <v>150.00479999999999</v>
      </c>
      <c r="EL153" s="14">
        <f t="shared" si="153"/>
        <v>38.579676436046306</v>
      </c>
      <c r="EM153" s="22">
        <f t="shared" si="127"/>
        <v>328.45129645944729</v>
      </c>
      <c r="EN153" s="62">
        <f t="shared" si="128"/>
        <v>621.78462979278061</v>
      </c>
      <c r="EO153" s="62">
        <f ca="1">AVERAGE(OFFSET($EN$3,0,0,'Données projet'!$E$15+1,1))-AVERAGE(OFFSET($H$3,0,0,'Données projet'!$E$15+1,1))</f>
        <v>118.01099353898547</v>
      </c>
      <c r="EP153" s="62">
        <f t="shared" si="154"/>
        <v>103.17146760845947</v>
      </c>
      <c r="EQ153" s="16">
        <f>IF(ISNA(VLOOKUP(A153,'Données projet'!$A$191:$I$211,3,0)),0,VLOOKUP(A153,'Données projet'!$A$191:$I$211,3,0))</f>
        <v>13</v>
      </c>
      <c r="ER153" s="16">
        <f>IF(ISNA(VLOOKUP(A153,'Données projet'!$A$191:$I$211,4,0)),0,VLOOKUP(A153,'Données projet'!$A$191:$I$211,4,0))</f>
        <v>130.21250000000001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>
        <f>VLOOKUP(A153,'Données projet'!$A$217:$I$237,2,0)</f>
        <v>293</v>
      </c>
      <c r="FC153" s="13">
        <f>VLOOKUP(A153,'Données projet'!$A$217:$I$237,9,0)</f>
        <v>2.4</v>
      </c>
      <c r="FD153" s="13">
        <f t="array" ref="FD153">INDEX(FC:FC,MIN(IF(ISNUMBER(FC153:FC349),ROW(FC153:FC349),"")))</f>
        <v>2.4</v>
      </c>
      <c r="FE153" s="13">
        <f>IF('Données projet'!$A$218&gt;35,FE152+FD153-FM152,IF(A153&lt;'Données projet'!$A$218,$FB$205^A153,IF(A153='Données projet'!$A$218,'Données projet'!$B$218,FE152+FD153-FM152)))</f>
        <v>292.99999999999903</v>
      </c>
      <c r="FF153" s="18">
        <f>FE153*VLOOKUP('Données projet'!$B$16,Paramètres!$A$1:$I$89,3,0)*VLOOKUP('Données projet'!$B$16,Paramètres!$A$1:$I$89,5,0)</f>
        <v>292.53119999999905</v>
      </c>
      <c r="FG153" s="14">
        <f t="shared" si="155"/>
        <v>69.608426130892724</v>
      </c>
      <c r="FH153" s="22">
        <f t="shared" si="130"/>
        <v>630.72651551130321</v>
      </c>
      <c r="FI153" s="62">
        <f t="shared" si="131"/>
        <v>924.05984884463646</v>
      </c>
      <c r="FJ153" s="62">
        <f ca="1">AVERAGE(OFFSET($FI$3,0,0,'Données projet'!$E$16+1,1))-AVERAGE(OFFSET($H$3,0,0,'Données projet'!$E$16+1,1))</f>
        <v>343.71044073996887</v>
      </c>
      <c r="FK153" s="62">
        <f t="shared" si="156"/>
        <v>193.51732627292375</v>
      </c>
      <c r="FL153" s="16">
        <f>IF(ISNA(VLOOKUP(A153,'Données projet'!$A$217:$I$237,3,0)),0,VLOOKUP(A153,'Données projet'!$A$217:$I$237,3,0))</f>
        <v>13</v>
      </c>
      <c r="FM153" s="16">
        <f>IF(ISNA(VLOOKUP(A153,'Données projet'!$A$217:$I$237,4,0)),0,VLOOKUP(A153,'Données projet'!$A$217:$I$237,4,0))</f>
        <v>293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-9.6633812063373625E-13</v>
      </c>
      <c r="O154" s="14">
        <f>N154*VLOOKUP('Données projet'!$B$9,Paramètres!$A$1:$I$89,3,0)*VLOOKUP('Données projet'!$B$9,Paramètres!$A$1:$I$89,5,0)</f>
        <v>-8.7434273154940449E-13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303.73499739059076</v>
      </c>
      <c r="T154" s="62">
        <f t="shared" si="142"/>
        <v>172.32171001882188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-2.2737367544323206E-13</v>
      </c>
      <c r="AJ154" s="14">
        <f>AI154*VLOOKUP('Données projet'!$B$10,Paramètres!$A$1:$I$89,3,0)*VLOOKUP('Données projet'!$B$10,Paramètres!$A$1:$I$89,5,0)</f>
        <v>-1.6671037883497774E-13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215.66498680344858</v>
      </c>
      <c r="AO154" s="62">
        <f t="shared" si="144"/>
        <v>199.86715787211114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-5.6843418860808015E-14</v>
      </c>
      <c r="BE154" s="14">
        <f>BD154*VLOOKUP('Données projet'!$B$11,Paramètres!$A$1:$I$89,3,0)*VLOOKUP('Données projet'!$B$11,Paramètres!$A$1:$I$89,5,0)</f>
        <v>-3.3992364478763198E-14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155.11440101086782</v>
      </c>
      <c r="BJ154" s="62">
        <f t="shared" si="146"/>
        <v>239.53454701506638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1.2288880871899217</v>
      </c>
      <c r="BQ154" s="23">
        <f>EXP(-LN(2)/25)*BQ153+(1-EXP(-LN(2)/25))/(LN(2)/25)*Calculateur!BL154*Calculateur!BN154*VLOOKUP('Données projet'!$B$11,Paramètres!$A$1:$I$89,3,0)*0.475*44/12</f>
        <v>0.25285732282587192</v>
      </c>
      <c r="BR154" s="23">
        <f>EXP(-LN(2)/2)*BR153+(1-EXP(-LN(2)/2))/(LN(2)/2)*BL154*BO154*VLOOKUP('Données projet'!$B$11,Paramètres!$A$1:$I$89,3,0)*0.475*44/12</f>
        <v>1.8086380011839486E-18</v>
      </c>
      <c r="BS154" s="24">
        <f t="shared" ref="BS154:BS203" si="169">SUM(BP154:BR154)</f>
        <v>1.4817454100157936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-5.6843418860808015E-14</v>
      </c>
      <c r="BZ154" s="14">
        <f>BY154*VLOOKUP('Données projet'!$B$12,Paramètres!$A$1:$I$89,3,0)*VLOOKUP('Données projet'!$B$12,Paramètres!$A$1:$I$89,5,0)</f>
        <v>-3.3992364478763198E-14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155.11440101086782</v>
      </c>
      <c r="CE154" s="62">
        <f t="shared" si="148"/>
        <v>239.53454701506638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1.2288880871899217</v>
      </c>
      <c r="CL154" s="23">
        <f>EXP(-LN(2)/25)*CL153+(1-EXP(-LN(2)/25))/(LN(2)/25)*Calculateur!CG154*Calculateur!CI154*VLOOKUP('Données projet'!$B$12,Paramètres!$A$1:$I$89,3,0)*0.475*44/12</f>
        <v>0.25285732282587192</v>
      </c>
      <c r="CM154" s="23">
        <f>EXP(-LN(2)/2)*CM153+(1-EXP(-LN(2)/2))/(LN(2)/2)*CG154*CJ154*VLOOKUP('Données projet'!$B$12,Paramètres!$A$1:$I$89,3,0)*0.475*44/12</f>
        <v>1.8086380011839486E-18</v>
      </c>
      <c r="CN154" s="24">
        <f t="shared" ref="CN154:CN203" si="172">SUM(CK154:CM154)</f>
        <v>1.4817454100157936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-1.1368683772161603E-13</v>
      </c>
      <c r="CU154" s="18">
        <f>CT154*VLOOKUP('Données projet'!$B$13,Paramètres!$A$1:$I$89,3,0)*VLOOKUP('Données projet'!$B$13,Paramètres!$A$1:$I$89,5,0)</f>
        <v>-9.2222762759774927E-14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191.03017979797141</v>
      </c>
      <c r="CZ154" s="62">
        <f t="shared" si="150"/>
        <v>222.78252111624278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-1.1368683772161603E-13</v>
      </c>
      <c r="DP154" s="18">
        <f>DO154*VLOOKUP('Données projet'!$B$14,Paramètres!$A$1:$I$89,3,0)*VLOOKUP('Données projet'!$B$14,Paramètres!$A$1:$I$89,5,0)</f>
        <v>-1.0818439477588981E-13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260.93525280373063</v>
      </c>
      <c r="DU154" s="62">
        <f t="shared" si="152"/>
        <v>206.83968452163816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>
        <f>EJ154*VLOOKUP('Données projet'!$B$15,Paramètres!$A$1:$I$89,3,0)*VLOOKUP('Données projet'!$B$15,Paramètres!$A$1:$I$89,5,0)</f>
        <v>0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118.01099353898547</v>
      </c>
      <c r="EP154" s="62">
        <f t="shared" si="154"/>
        <v>103.17146760845947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-9.6633812063373625E-13</v>
      </c>
      <c r="FF154" s="18">
        <f>FE154*VLOOKUP('Données projet'!$B$16,Paramètres!$A$1:$I$89,3,0)*VLOOKUP('Données projet'!$B$16,Paramètres!$A$1:$I$89,5,0)</f>
        <v>-9.6479197964072245E-13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1"/>
        <v>#NUM!</v>
      </c>
      <c r="FJ154" s="62">
        <f ca="1">AVERAGE(OFFSET($FI$3,0,0,'Données projet'!$E$16+1,1))-AVERAGE(OFFSET($H$3,0,0,'Données projet'!$E$16+1,1))</f>
        <v>343.71044073996887</v>
      </c>
      <c r="FK154" s="62">
        <f t="shared" si="156"/>
        <v>193.51732627292375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-9.6633812063373625E-13</v>
      </c>
      <c r="O155" s="14">
        <f>N155*VLOOKUP('Données projet'!$B$9,Paramètres!$A$1:$I$89,3,0)*VLOOKUP('Données projet'!$B$9,Paramètres!$A$1:$I$89,5,0)</f>
        <v>-8.7434273154940449E-13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303.73499739059076</v>
      </c>
      <c r="T155" s="62">
        <f t="shared" si="142"/>
        <v>172.32171001882188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-2.2737367544323206E-13</v>
      </c>
      <c r="AJ155" s="14">
        <f>AI155*VLOOKUP('Données projet'!$B$10,Paramètres!$A$1:$I$89,3,0)*VLOOKUP('Données projet'!$B$10,Paramètres!$A$1:$I$89,5,0)</f>
        <v>-1.6671037883497774E-13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215.66498680344858</v>
      </c>
      <c r="AO155" s="62">
        <f t="shared" si="144"/>
        <v>199.86715787211114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-5.6843418860808015E-14</v>
      </c>
      <c r="BE155" s="14">
        <f>BD155*VLOOKUP('Données projet'!$B$11,Paramètres!$A$1:$I$89,3,0)*VLOOKUP('Données projet'!$B$11,Paramètres!$A$1:$I$89,5,0)</f>
        <v>-3.3992364478763198E-14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155.11440101086782</v>
      </c>
      <c r="BJ155" s="62">
        <f t="shared" si="146"/>
        <v>239.53454701506638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1.2047903413478489</v>
      </c>
      <c r="BQ155" s="23">
        <f>EXP(-LN(2)/25)*BQ154+(1-EXP(-LN(2)/25))/(LN(2)/25)*Calculateur!BL155*Calculateur!BN155*VLOOKUP('Données projet'!$B$11,Paramètres!$A$1:$I$89,3,0)*0.475*44/12</f>
        <v>0.24594292603600976</v>
      </c>
      <c r="BR155" s="23">
        <f>EXP(-LN(2)/2)*BR154+(1-EXP(-LN(2)/2))/(LN(2)/2)*BL155*BO155*VLOOKUP('Données projet'!$B$11,Paramètres!$A$1:$I$89,3,0)*0.475*44/12</f>
        <v>1.278900195348853E-18</v>
      </c>
      <c r="BS155" s="24">
        <f t="shared" si="169"/>
        <v>1.4507332673838587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-5.6843418860808015E-14</v>
      </c>
      <c r="BZ155" s="14">
        <f>BY155*VLOOKUP('Données projet'!$B$12,Paramètres!$A$1:$I$89,3,0)*VLOOKUP('Données projet'!$B$12,Paramètres!$A$1:$I$89,5,0)</f>
        <v>-3.3992364478763198E-14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155.11440101086782</v>
      </c>
      <c r="CE155" s="62">
        <f t="shared" si="148"/>
        <v>239.53454701506638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1.2047903413478489</v>
      </c>
      <c r="CL155" s="23">
        <f>EXP(-LN(2)/25)*CL154+(1-EXP(-LN(2)/25))/(LN(2)/25)*Calculateur!CG155*Calculateur!CI155*VLOOKUP('Données projet'!$B$12,Paramètres!$A$1:$I$89,3,0)*0.475*44/12</f>
        <v>0.24594292603600976</v>
      </c>
      <c r="CM155" s="23">
        <f>EXP(-LN(2)/2)*CM154+(1-EXP(-LN(2)/2))/(LN(2)/2)*CG155*CJ155*VLOOKUP('Données projet'!$B$12,Paramètres!$A$1:$I$89,3,0)*0.475*44/12</f>
        <v>1.278900195348853E-18</v>
      </c>
      <c r="CN155" s="24">
        <f t="shared" si="172"/>
        <v>1.4507332673838587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-1.1368683772161603E-13</v>
      </c>
      <c r="CU155" s="18">
        <f>CT155*VLOOKUP('Données projet'!$B$13,Paramètres!$A$1:$I$89,3,0)*VLOOKUP('Données projet'!$B$13,Paramètres!$A$1:$I$89,5,0)</f>
        <v>-9.2222762759774927E-14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191.03017979797141</v>
      </c>
      <c r="CZ155" s="62">
        <f t="shared" si="150"/>
        <v>222.78252111624278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-1.1368683772161603E-13</v>
      </c>
      <c r="DP155" s="18">
        <f>DO155*VLOOKUP('Données projet'!$B$14,Paramètres!$A$1:$I$89,3,0)*VLOOKUP('Données projet'!$B$14,Paramètres!$A$1:$I$89,5,0)</f>
        <v>-1.0818439477588981E-13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260.93525280373063</v>
      </c>
      <c r="DU155" s="62">
        <f t="shared" si="152"/>
        <v>206.83968452163816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>
        <f>EJ155*VLOOKUP('Données projet'!$B$15,Paramètres!$A$1:$I$89,3,0)*VLOOKUP('Données projet'!$B$15,Paramètres!$A$1:$I$89,5,0)</f>
        <v>0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118.01099353898547</v>
      </c>
      <c r="EP155" s="62">
        <f t="shared" si="154"/>
        <v>103.17146760845947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-9.6633812063373625E-13</v>
      </c>
      <c r="FF155" s="18">
        <f>FE155*VLOOKUP('Données projet'!$B$16,Paramètres!$A$1:$I$89,3,0)*VLOOKUP('Données projet'!$B$16,Paramètres!$A$1:$I$89,5,0)</f>
        <v>-9.6479197964072245E-13</v>
      </c>
      <c r="FG155" s="14" t="e">
        <f t="shared" si="182"/>
        <v>#NUM!</v>
      </c>
      <c r="FH155" s="22" t="e">
        <f t="shared" si="183"/>
        <v>#NUM!</v>
      </c>
      <c r="FI155" s="62" t="e">
        <f t="shared" si="131"/>
        <v>#NUM!</v>
      </c>
      <c r="FJ155" s="62">
        <f ca="1">AVERAGE(OFFSET($FI$3,0,0,'Données projet'!$E$16+1,1))-AVERAGE(OFFSET($H$3,0,0,'Données projet'!$E$16+1,1))</f>
        <v>343.71044073996887</v>
      </c>
      <c r="FK155" s="62">
        <f t="shared" si="156"/>
        <v>193.51732627292375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-9.6633812063373625E-13</v>
      </c>
      <c r="O156" s="14">
        <f>N156*VLOOKUP('Données projet'!$B$9,Paramètres!$A$1:$I$89,3,0)*VLOOKUP('Données projet'!$B$9,Paramètres!$A$1:$I$89,5,0)</f>
        <v>-8.7434273154940449E-13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303.73499739059076</v>
      </c>
      <c r="T156" s="62">
        <f t="shared" si="142"/>
        <v>172.32171001882188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-2.2737367544323206E-13</v>
      </c>
      <c r="AJ156" s="14">
        <f>AI156*VLOOKUP('Données projet'!$B$10,Paramètres!$A$1:$I$89,3,0)*VLOOKUP('Données projet'!$B$10,Paramètres!$A$1:$I$89,5,0)</f>
        <v>-1.6671037883497774E-13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215.66498680344858</v>
      </c>
      <c r="AO156" s="62">
        <f t="shared" si="144"/>
        <v>199.86715787211114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-5.6843418860808015E-14</v>
      </c>
      <c r="BE156" s="14">
        <f>BD156*VLOOKUP('Données projet'!$B$11,Paramètres!$A$1:$I$89,3,0)*VLOOKUP('Données projet'!$B$11,Paramètres!$A$1:$I$89,5,0)</f>
        <v>-3.3992364478763198E-14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155.11440101086782</v>
      </c>
      <c r="BJ156" s="62">
        <f t="shared" si="146"/>
        <v>239.53454701506638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1.1811651376035655</v>
      </c>
      <c r="BQ156" s="23">
        <f>EXP(-LN(2)/25)*BQ155+(1-EXP(-LN(2)/25))/(LN(2)/25)*Calculateur!BL156*Calculateur!BN156*VLOOKUP('Données projet'!$B$11,Paramètres!$A$1:$I$89,3,0)*0.475*44/12</f>
        <v>0.23921760378997869</v>
      </c>
      <c r="BR156" s="23">
        <f>EXP(-LN(2)/2)*BR155+(1-EXP(-LN(2)/2))/(LN(2)/2)*BL156*BO156*VLOOKUP('Données projet'!$B$11,Paramètres!$A$1:$I$89,3,0)*0.475*44/12</f>
        <v>9.0431900059197428E-19</v>
      </c>
      <c r="BS156" s="24">
        <f t="shared" si="169"/>
        <v>1.4203827413935441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-5.6843418860808015E-14</v>
      </c>
      <c r="BZ156" s="14">
        <f>BY156*VLOOKUP('Données projet'!$B$12,Paramètres!$A$1:$I$89,3,0)*VLOOKUP('Données projet'!$B$12,Paramètres!$A$1:$I$89,5,0)</f>
        <v>-3.3992364478763198E-14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155.11440101086782</v>
      </c>
      <c r="CE156" s="62">
        <f t="shared" si="148"/>
        <v>239.53454701506638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1.1811651376035655</v>
      </c>
      <c r="CL156" s="23">
        <f>EXP(-LN(2)/25)*CL155+(1-EXP(-LN(2)/25))/(LN(2)/25)*Calculateur!CG156*Calculateur!CI156*VLOOKUP('Données projet'!$B$12,Paramètres!$A$1:$I$89,3,0)*0.475*44/12</f>
        <v>0.23921760378997869</v>
      </c>
      <c r="CM156" s="23">
        <f>EXP(-LN(2)/2)*CM155+(1-EXP(-LN(2)/2))/(LN(2)/2)*CG156*CJ156*VLOOKUP('Données projet'!$B$12,Paramètres!$A$1:$I$89,3,0)*0.475*44/12</f>
        <v>9.0431900059197428E-19</v>
      </c>
      <c r="CN156" s="24">
        <f t="shared" si="172"/>
        <v>1.4203827413935441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-1.1368683772161603E-13</v>
      </c>
      <c r="CU156" s="18">
        <f>CT156*VLOOKUP('Données projet'!$B$13,Paramètres!$A$1:$I$89,3,0)*VLOOKUP('Données projet'!$B$13,Paramètres!$A$1:$I$89,5,0)</f>
        <v>-9.2222762759774927E-14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191.03017979797141</v>
      </c>
      <c r="CZ156" s="62">
        <f t="shared" si="150"/>
        <v>222.78252111624278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-1.1368683772161603E-13</v>
      </c>
      <c r="DP156" s="18">
        <f>DO156*VLOOKUP('Données projet'!$B$14,Paramètres!$A$1:$I$89,3,0)*VLOOKUP('Données projet'!$B$14,Paramètres!$A$1:$I$89,5,0)</f>
        <v>-1.0818439477588981E-13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260.93525280373063</v>
      </c>
      <c r="DU156" s="62">
        <f t="shared" si="152"/>
        <v>206.83968452163816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>
        <f>EJ156*VLOOKUP('Données projet'!$B$15,Paramètres!$A$1:$I$89,3,0)*VLOOKUP('Données projet'!$B$15,Paramètres!$A$1:$I$89,5,0)</f>
        <v>0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118.01099353898547</v>
      </c>
      <c r="EP156" s="62">
        <f t="shared" si="154"/>
        <v>103.17146760845947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-9.6633812063373625E-13</v>
      </c>
      <c r="FF156" s="18">
        <f>FE156*VLOOKUP('Données projet'!$B$16,Paramètres!$A$1:$I$89,3,0)*VLOOKUP('Données projet'!$B$16,Paramètres!$A$1:$I$89,5,0)</f>
        <v>-9.6479197964072245E-13</v>
      </c>
      <c r="FG156" s="14" t="e">
        <f t="shared" si="182"/>
        <v>#NUM!</v>
      </c>
      <c r="FH156" s="22" t="e">
        <f t="shared" si="183"/>
        <v>#NUM!</v>
      </c>
      <c r="FI156" s="62" t="e">
        <f t="shared" si="131"/>
        <v>#NUM!</v>
      </c>
      <c r="FJ156" s="62">
        <f ca="1">AVERAGE(OFFSET($FI$3,0,0,'Données projet'!$E$16+1,1))-AVERAGE(OFFSET($H$3,0,0,'Données projet'!$E$16+1,1))</f>
        <v>343.71044073996887</v>
      </c>
      <c r="FK156" s="62">
        <f t="shared" si="156"/>
        <v>193.51732627292375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-9.6633812063373625E-13</v>
      </c>
      <c r="O157" s="14">
        <f>N157*VLOOKUP('Données projet'!$B$9,Paramètres!$A$1:$I$89,3,0)*VLOOKUP('Données projet'!$B$9,Paramètres!$A$1:$I$89,5,0)</f>
        <v>-8.7434273154940449E-13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303.73499739059076</v>
      </c>
      <c r="T157" s="62">
        <f t="shared" si="142"/>
        <v>172.32171001882188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-2.2737367544323206E-13</v>
      </c>
      <c r="AJ157" s="14">
        <f>AI157*VLOOKUP('Données projet'!$B$10,Paramètres!$A$1:$I$89,3,0)*VLOOKUP('Données projet'!$B$10,Paramètres!$A$1:$I$89,5,0)</f>
        <v>-1.6671037883497774E-13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215.66498680344858</v>
      </c>
      <c r="AO157" s="62">
        <f t="shared" si="144"/>
        <v>199.86715787211114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-5.6843418860808015E-14</v>
      </c>
      <c r="BE157" s="14">
        <f>BD157*VLOOKUP('Données projet'!$B$11,Paramètres!$A$1:$I$89,3,0)*VLOOKUP('Données projet'!$B$11,Paramètres!$A$1:$I$89,5,0)</f>
        <v>-3.3992364478763198E-14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155.11440101086782</v>
      </c>
      <c r="BJ157" s="62">
        <f t="shared" si="146"/>
        <v>239.53454701506638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1.1580032096947559</v>
      </c>
      <c r="BQ157" s="23">
        <f>EXP(-LN(2)/25)*BQ156+(1-EXP(-LN(2)/25))/(LN(2)/25)*Calculateur!BL157*Calculateur!BN157*VLOOKUP('Données projet'!$B$11,Paramètres!$A$1:$I$89,3,0)*0.475*44/12</f>
        <v>0.2326761858344347</v>
      </c>
      <c r="BR157" s="23">
        <f>EXP(-LN(2)/2)*BR156+(1-EXP(-LN(2)/2))/(LN(2)/2)*BL157*BO157*VLOOKUP('Données projet'!$B$11,Paramètres!$A$1:$I$89,3,0)*0.475*44/12</f>
        <v>6.3945009767442652E-19</v>
      </c>
      <c r="BS157" s="24">
        <f t="shared" si="169"/>
        <v>1.3906793955291905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-5.6843418860808015E-14</v>
      </c>
      <c r="BZ157" s="14">
        <f>BY157*VLOOKUP('Données projet'!$B$12,Paramètres!$A$1:$I$89,3,0)*VLOOKUP('Données projet'!$B$12,Paramètres!$A$1:$I$89,5,0)</f>
        <v>-3.3992364478763198E-14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155.11440101086782</v>
      </c>
      <c r="CE157" s="62">
        <f t="shared" si="148"/>
        <v>239.53454701506638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1.1580032096947559</v>
      </c>
      <c r="CL157" s="23">
        <f>EXP(-LN(2)/25)*CL156+(1-EXP(-LN(2)/25))/(LN(2)/25)*Calculateur!CG157*Calculateur!CI157*VLOOKUP('Données projet'!$B$12,Paramètres!$A$1:$I$89,3,0)*0.475*44/12</f>
        <v>0.2326761858344347</v>
      </c>
      <c r="CM157" s="23">
        <f>EXP(-LN(2)/2)*CM156+(1-EXP(-LN(2)/2))/(LN(2)/2)*CG157*CJ157*VLOOKUP('Données projet'!$B$12,Paramètres!$A$1:$I$89,3,0)*0.475*44/12</f>
        <v>6.3945009767442652E-19</v>
      </c>
      <c r="CN157" s="24">
        <f t="shared" si="172"/>
        <v>1.3906793955291905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-1.1368683772161603E-13</v>
      </c>
      <c r="CU157" s="18">
        <f>CT157*VLOOKUP('Données projet'!$B$13,Paramètres!$A$1:$I$89,3,0)*VLOOKUP('Données projet'!$B$13,Paramètres!$A$1:$I$89,5,0)</f>
        <v>-9.2222762759774927E-14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191.03017979797141</v>
      </c>
      <c r="CZ157" s="62">
        <f t="shared" si="150"/>
        <v>222.78252111624278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-1.1368683772161603E-13</v>
      </c>
      <c r="DP157" s="18">
        <f>DO157*VLOOKUP('Données projet'!$B$14,Paramètres!$A$1:$I$89,3,0)*VLOOKUP('Données projet'!$B$14,Paramètres!$A$1:$I$89,5,0)</f>
        <v>-1.0818439477588981E-13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260.93525280373063</v>
      </c>
      <c r="DU157" s="62">
        <f t="shared" si="152"/>
        <v>206.83968452163816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>
        <f>EJ157*VLOOKUP('Données projet'!$B$15,Paramètres!$A$1:$I$89,3,0)*VLOOKUP('Données projet'!$B$15,Paramètres!$A$1:$I$89,5,0)</f>
        <v>0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118.01099353898547</v>
      </c>
      <c r="EP157" s="62">
        <f t="shared" si="154"/>
        <v>103.17146760845947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-9.6633812063373625E-13</v>
      </c>
      <c r="FF157" s="18">
        <f>FE157*VLOOKUP('Données projet'!$B$16,Paramètres!$A$1:$I$89,3,0)*VLOOKUP('Données projet'!$B$16,Paramètres!$A$1:$I$89,5,0)</f>
        <v>-9.6479197964072245E-13</v>
      </c>
      <c r="FG157" s="14" t="e">
        <f t="shared" si="182"/>
        <v>#NUM!</v>
      </c>
      <c r="FH157" s="22" t="e">
        <f t="shared" si="183"/>
        <v>#NUM!</v>
      </c>
      <c r="FI157" s="62" t="e">
        <f t="shared" si="131"/>
        <v>#NUM!</v>
      </c>
      <c r="FJ157" s="62">
        <f ca="1">AVERAGE(OFFSET($FI$3,0,0,'Données projet'!$E$16+1,1))-AVERAGE(OFFSET($H$3,0,0,'Données projet'!$E$16+1,1))</f>
        <v>343.71044073996887</v>
      </c>
      <c r="FK157" s="62">
        <f t="shared" si="156"/>
        <v>193.51732627292375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-9.6633812063373625E-13</v>
      </c>
      <c r="O158" s="14">
        <f>N158*VLOOKUP('Données projet'!$B$9,Paramètres!$A$1:$I$89,3,0)*VLOOKUP('Données projet'!$B$9,Paramètres!$A$1:$I$89,5,0)</f>
        <v>-8.7434273154940449E-13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303.73499739059076</v>
      </c>
      <c r="T158" s="62">
        <f t="shared" si="142"/>
        <v>172.32171001882188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-2.2737367544323206E-13</v>
      </c>
      <c r="AJ158" s="14">
        <f>AI158*VLOOKUP('Données projet'!$B$10,Paramètres!$A$1:$I$89,3,0)*VLOOKUP('Données projet'!$B$10,Paramètres!$A$1:$I$89,5,0)</f>
        <v>-1.6671037883497774E-13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215.66498680344858</v>
      </c>
      <c r="AO158" s="62">
        <f t="shared" si="144"/>
        <v>199.86715787211114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-5.6843418860808015E-14</v>
      </c>
      <c r="BE158" s="14">
        <f>BD158*VLOOKUP('Données projet'!$B$11,Paramètres!$A$1:$I$89,3,0)*VLOOKUP('Données projet'!$B$11,Paramètres!$A$1:$I$89,5,0)</f>
        <v>-3.3992364478763198E-14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155.11440101086782</v>
      </c>
      <c r="BJ158" s="62">
        <f t="shared" si="146"/>
        <v>239.53454701506638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1.135295473064857</v>
      </c>
      <c r="BQ158" s="23">
        <f>EXP(-LN(2)/25)*BQ157+(1-EXP(-LN(2)/25))/(LN(2)/25)*Calculateur!BL158*Calculateur!BN158*VLOOKUP('Données projet'!$B$11,Paramètres!$A$1:$I$89,3,0)*0.475*44/12</f>
        <v>0.22631364329688325</v>
      </c>
      <c r="BR158" s="23">
        <f>EXP(-LN(2)/2)*BR157+(1-EXP(-LN(2)/2))/(LN(2)/2)*BL158*BO158*VLOOKUP('Données projet'!$B$11,Paramètres!$A$1:$I$89,3,0)*0.475*44/12</f>
        <v>4.5215950029598714E-19</v>
      </c>
      <c r="BS158" s="24">
        <f t="shared" si="169"/>
        <v>1.3616091163617403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-5.6843418860808015E-14</v>
      </c>
      <c r="BZ158" s="14">
        <f>BY158*VLOOKUP('Données projet'!$B$12,Paramètres!$A$1:$I$89,3,0)*VLOOKUP('Données projet'!$B$12,Paramètres!$A$1:$I$89,5,0)</f>
        <v>-3.3992364478763198E-14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155.11440101086782</v>
      </c>
      <c r="CE158" s="62">
        <f t="shared" si="148"/>
        <v>239.53454701506638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1.135295473064857</v>
      </c>
      <c r="CL158" s="23">
        <f>EXP(-LN(2)/25)*CL157+(1-EXP(-LN(2)/25))/(LN(2)/25)*Calculateur!CG158*Calculateur!CI158*VLOOKUP('Données projet'!$B$12,Paramètres!$A$1:$I$89,3,0)*0.475*44/12</f>
        <v>0.22631364329688325</v>
      </c>
      <c r="CM158" s="23">
        <f>EXP(-LN(2)/2)*CM157+(1-EXP(-LN(2)/2))/(LN(2)/2)*CG158*CJ158*VLOOKUP('Données projet'!$B$12,Paramètres!$A$1:$I$89,3,0)*0.475*44/12</f>
        <v>4.5215950029598714E-19</v>
      </c>
      <c r="CN158" s="24">
        <f t="shared" si="172"/>
        <v>1.3616091163617403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-1.1368683772161603E-13</v>
      </c>
      <c r="CU158" s="18">
        <f>CT158*VLOOKUP('Données projet'!$B$13,Paramètres!$A$1:$I$89,3,0)*VLOOKUP('Données projet'!$B$13,Paramètres!$A$1:$I$89,5,0)</f>
        <v>-9.2222762759774927E-14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191.03017979797141</v>
      </c>
      <c r="CZ158" s="62">
        <f t="shared" si="150"/>
        <v>222.78252111624278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-1.1368683772161603E-13</v>
      </c>
      <c r="DP158" s="18">
        <f>DO158*VLOOKUP('Données projet'!$B$14,Paramètres!$A$1:$I$89,3,0)*VLOOKUP('Données projet'!$B$14,Paramètres!$A$1:$I$89,5,0)</f>
        <v>-1.0818439477588981E-13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260.93525280373063</v>
      </c>
      <c r="DU158" s="62">
        <f t="shared" si="152"/>
        <v>206.83968452163816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>
        <f>EJ158*VLOOKUP('Données projet'!$B$15,Paramètres!$A$1:$I$89,3,0)*VLOOKUP('Données projet'!$B$15,Paramètres!$A$1:$I$89,5,0)</f>
        <v>0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118.01099353898547</v>
      </c>
      <c r="EP158" s="62">
        <f t="shared" si="154"/>
        <v>103.17146760845947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-9.6633812063373625E-13</v>
      </c>
      <c r="FF158" s="18">
        <f>FE158*VLOOKUP('Données projet'!$B$16,Paramètres!$A$1:$I$89,3,0)*VLOOKUP('Données projet'!$B$16,Paramètres!$A$1:$I$89,5,0)</f>
        <v>-9.6479197964072245E-13</v>
      </c>
      <c r="FG158" s="14" t="e">
        <f t="shared" si="182"/>
        <v>#NUM!</v>
      </c>
      <c r="FH158" s="22" t="e">
        <f t="shared" si="183"/>
        <v>#NUM!</v>
      </c>
      <c r="FI158" s="62" t="e">
        <f t="shared" si="131"/>
        <v>#NUM!</v>
      </c>
      <c r="FJ158" s="62">
        <f ca="1">AVERAGE(OFFSET($FI$3,0,0,'Données projet'!$E$16+1,1))-AVERAGE(OFFSET($H$3,0,0,'Données projet'!$E$16+1,1))</f>
        <v>343.71044073996887</v>
      </c>
      <c r="FK158" s="62">
        <f t="shared" si="156"/>
        <v>193.51732627292375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-9.6633812063373625E-13</v>
      </c>
      <c r="O159" s="14">
        <f>N159*VLOOKUP('Données projet'!$B$9,Paramètres!$A$1:$I$89,3,0)*VLOOKUP('Données projet'!$B$9,Paramètres!$A$1:$I$89,5,0)</f>
        <v>-8.7434273154940449E-13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303.73499739059076</v>
      </c>
      <c r="T159" s="62">
        <f t="shared" si="142"/>
        <v>172.32171001882188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-2.2737367544323206E-13</v>
      </c>
      <c r="AJ159" s="14">
        <f>AI159*VLOOKUP('Données projet'!$B$10,Paramètres!$A$1:$I$89,3,0)*VLOOKUP('Données projet'!$B$10,Paramètres!$A$1:$I$89,5,0)</f>
        <v>-1.6671037883497774E-13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215.66498680344858</v>
      </c>
      <c r="AO159" s="62">
        <f t="shared" si="144"/>
        <v>199.86715787211114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-5.6843418860808015E-14</v>
      </c>
      <c r="BE159" s="14">
        <f>BD159*VLOOKUP('Données projet'!$B$11,Paramètres!$A$1:$I$89,3,0)*VLOOKUP('Données projet'!$B$11,Paramètres!$A$1:$I$89,5,0)</f>
        <v>-3.3992364478763198E-14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155.11440101086782</v>
      </c>
      <c r="BJ159" s="62">
        <f t="shared" si="146"/>
        <v>239.53454701506638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1.1130330212999189</v>
      </c>
      <c r="BQ159" s="23">
        <f>EXP(-LN(2)/25)*BQ158+(1-EXP(-LN(2)/25))/(LN(2)/25)*Calculateur!BL159*Calculateur!BN159*VLOOKUP('Données projet'!$B$11,Paramètres!$A$1:$I$89,3,0)*0.475*44/12</f>
        <v>0.22012508481961271</v>
      </c>
      <c r="BR159" s="23">
        <f>EXP(-LN(2)/2)*BR158+(1-EXP(-LN(2)/2))/(LN(2)/2)*BL159*BO159*VLOOKUP('Données projet'!$B$11,Paramètres!$A$1:$I$89,3,0)*0.475*44/12</f>
        <v>3.1972504883721326E-19</v>
      </c>
      <c r="BS159" s="24">
        <f t="shared" si="169"/>
        <v>1.3331581061195317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-5.6843418860808015E-14</v>
      </c>
      <c r="BZ159" s="14">
        <f>BY159*VLOOKUP('Données projet'!$B$12,Paramètres!$A$1:$I$89,3,0)*VLOOKUP('Données projet'!$B$12,Paramètres!$A$1:$I$89,5,0)</f>
        <v>-3.3992364478763198E-14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155.11440101086782</v>
      </c>
      <c r="CE159" s="62">
        <f t="shared" si="148"/>
        <v>239.53454701506638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1.1130330212999189</v>
      </c>
      <c r="CL159" s="23">
        <f>EXP(-LN(2)/25)*CL158+(1-EXP(-LN(2)/25))/(LN(2)/25)*Calculateur!CG159*Calculateur!CI159*VLOOKUP('Données projet'!$B$12,Paramètres!$A$1:$I$89,3,0)*0.475*44/12</f>
        <v>0.22012508481961271</v>
      </c>
      <c r="CM159" s="23">
        <f>EXP(-LN(2)/2)*CM158+(1-EXP(-LN(2)/2))/(LN(2)/2)*CG159*CJ159*VLOOKUP('Données projet'!$B$12,Paramètres!$A$1:$I$89,3,0)*0.475*44/12</f>
        <v>3.1972504883721326E-19</v>
      </c>
      <c r="CN159" s="24">
        <f t="shared" si="172"/>
        <v>1.3331581061195317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-1.1368683772161603E-13</v>
      </c>
      <c r="CU159" s="18">
        <f>CT159*VLOOKUP('Données projet'!$B$13,Paramètres!$A$1:$I$89,3,0)*VLOOKUP('Données projet'!$B$13,Paramètres!$A$1:$I$89,5,0)</f>
        <v>-9.2222762759774927E-14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191.03017979797141</v>
      </c>
      <c r="CZ159" s="62">
        <f t="shared" si="150"/>
        <v>222.78252111624278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-1.1368683772161603E-13</v>
      </c>
      <c r="DP159" s="18">
        <f>DO159*VLOOKUP('Données projet'!$B$14,Paramètres!$A$1:$I$89,3,0)*VLOOKUP('Données projet'!$B$14,Paramètres!$A$1:$I$89,5,0)</f>
        <v>-1.0818439477588981E-13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260.93525280373063</v>
      </c>
      <c r="DU159" s="62">
        <f t="shared" si="152"/>
        <v>206.83968452163816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>
        <f>EJ159*VLOOKUP('Données projet'!$B$15,Paramètres!$A$1:$I$89,3,0)*VLOOKUP('Données projet'!$B$15,Paramètres!$A$1:$I$89,5,0)</f>
        <v>0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118.01099353898547</v>
      </c>
      <c r="EP159" s="62">
        <f t="shared" si="154"/>
        <v>103.17146760845947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-9.6633812063373625E-13</v>
      </c>
      <c r="FF159" s="18">
        <f>FE159*VLOOKUP('Données projet'!$B$16,Paramètres!$A$1:$I$89,3,0)*VLOOKUP('Données projet'!$B$16,Paramètres!$A$1:$I$89,5,0)</f>
        <v>-9.6479197964072245E-13</v>
      </c>
      <c r="FG159" s="14" t="e">
        <f t="shared" si="182"/>
        <v>#NUM!</v>
      </c>
      <c r="FH159" s="22" t="e">
        <f t="shared" si="183"/>
        <v>#NUM!</v>
      </c>
      <c r="FI159" s="62" t="e">
        <f t="shared" si="131"/>
        <v>#NUM!</v>
      </c>
      <c r="FJ159" s="62">
        <f ca="1">AVERAGE(OFFSET($FI$3,0,0,'Données projet'!$E$16+1,1))-AVERAGE(OFFSET($H$3,0,0,'Données projet'!$E$16+1,1))</f>
        <v>343.71044073996887</v>
      </c>
      <c r="FK159" s="62">
        <f t="shared" si="156"/>
        <v>193.51732627292375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-9.6633812063373625E-13</v>
      </c>
      <c r="O160" s="14">
        <f>N160*VLOOKUP('Données projet'!$B$9,Paramètres!$A$1:$I$89,3,0)*VLOOKUP('Données projet'!$B$9,Paramètres!$A$1:$I$89,5,0)</f>
        <v>-8.7434273154940449E-13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303.73499739059076</v>
      </c>
      <c r="T160" s="62">
        <f t="shared" si="142"/>
        <v>172.32171001882188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-2.2737367544323206E-13</v>
      </c>
      <c r="AJ160" s="14">
        <f>AI160*VLOOKUP('Données projet'!$B$10,Paramètres!$A$1:$I$89,3,0)*VLOOKUP('Données projet'!$B$10,Paramètres!$A$1:$I$89,5,0)</f>
        <v>-1.6671037883497774E-13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215.66498680344858</v>
      </c>
      <c r="AO160" s="62">
        <f t="shared" si="144"/>
        <v>199.86715787211114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-5.6843418860808015E-14</v>
      </c>
      <c r="BE160" s="14">
        <f>BD160*VLOOKUP('Données projet'!$B$11,Paramètres!$A$1:$I$89,3,0)*VLOOKUP('Données projet'!$B$11,Paramètres!$A$1:$I$89,5,0)</f>
        <v>-3.3992364478763198E-14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155.11440101086782</v>
      </c>
      <c r="BJ160" s="62">
        <f t="shared" si="146"/>
        <v>239.53454701506638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1.0912071226353364</v>
      </c>
      <c r="BQ160" s="23">
        <f>EXP(-LN(2)/25)*BQ159+(1-EXP(-LN(2)/25))/(LN(2)/25)*Calculateur!BL160*Calculateur!BN160*VLOOKUP('Données projet'!$B$11,Paramètres!$A$1:$I$89,3,0)*0.475*44/12</f>
        <v>0.21410575279934529</v>
      </c>
      <c r="BR160" s="23">
        <f>EXP(-LN(2)/2)*BR159+(1-EXP(-LN(2)/2))/(LN(2)/2)*BL160*BO160*VLOOKUP('Données projet'!$B$11,Paramètres!$A$1:$I$89,3,0)*0.475*44/12</f>
        <v>2.2607975014799357E-19</v>
      </c>
      <c r="BS160" s="24">
        <f t="shared" si="169"/>
        <v>1.3053128754346817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-5.6843418860808015E-14</v>
      </c>
      <c r="BZ160" s="14">
        <f>BY160*VLOOKUP('Données projet'!$B$12,Paramètres!$A$1:$I$89,3,0)*VLOOKUP('Données projet'!$B$12,Paramètres!$A$1:$I$89,5,0)</f>
        <v>-3.3992364478763198E-14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155.11440101086782</v>
      </c>
      <c r="CE160" s="62">
        <f t="shared" si="148"/>
        <v>239.53454701506638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1.0912071226353364</v>
      </c>
      <c r="CL160" s="23">
        <f>EXP(-LN(2)/25)*CL159+(1-EXP(-LN(2)/25))/(LN(2)/25)*Calculateur!CG160*Calculateur!CI160*VLOOKUP('Données projet'!$B$12,Paramètres!$A$1:$I$89,3,0)*0.475*44/12</f>
        <v>0.21410575279934529</v>
      </c>
      <c r="CM160" s="23">
        <f>EXP(-LN(2)/2)*CM159+(1-EXP(-LN(2)/2))/(LN(2)/2)*CG160*CJ160*VLOOKUP('Données projet'!$B$12,Paramètres!$A$1:$I$89,3,0)*0.475*44/12</f>
        <v>2.2607975014799357E-19</v>
      </c>
      <c r="CN160" s="24">
        <f t="shared" si="172"/>
        <v>1.3053128754346817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-1.1368683772161603E-13</v>
      </c>
      <c r="CU160" s="18">
        <f>CT160*VLOOKUP('Données projet'!$B$13,Paramètres!$A$1:$I$89,3,0)*VLOOKUP('Données projet'!$B$13,Paramètres!$A$1:$I$89,5,0)</f>
        <v>-9.2222762759774927E-14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191.03017979797141</v>
      </c>
      <c r="CZ160" s="62">
        <f t="shared" si="150"/>
        <v>222.78252111624278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-1.1368683772161603E-13</v>
      </c>
      <c r="DP160" s="18">
        <f>DO160*VLOOKUP('Données projet'!$B$14,Paramètres!$A$1:$I$89,3,0)*VLOOKUP('Données projet'!$B$14,Paramètres!$A$1:$I$89,5,0)</f>
        <v>-1.0818439477588981E-13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260.93525280373063</v>
      </c>
      <c r="DU160" s="62">
        <f t="shared" si="152"/>
        <v>206.83968452163816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>
        <f>EJ160*VLOOKUP('Données projet'!$B$15,Paramètres!$A$1:$I$89,3,0)*VLOOKUP('Données projet'!$B$15,Paramètres!$A$1:$I$89,5,0)</f>
        <v>0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118.01099353898547</v>
      </c>
      <c r="EP160" s="62">
        <f t="shared" si="154"/>
        <v>103.17146760845947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-9.6633812063373625E-13</v>
      </c>
      <c r="FF160" s="18">
        <f>FE160*VLOOKUP('Données projet'!$B$16,Paramètres!$A$1:$I$89,3,0)*VLOOKUP('Données projet'!$B$16,Paramètres!$A$1:$I$89,5,0)</f>
        <v>-9.6479197964072245E-13</v>
      </c>
      <c r="FG160" s="14" t="e">
        <f t="shared" si="182"/>
        <v>#NUM!</v>
      </c>
      <c r="FH160" s="22" t="e">
        <f t="shared" si="183"/>
        <v>#NUM!</v>
      </c>
      <c r="FI160" s="62" t="e">
        <f t="shared" si="131"/>
        <v>#NUM!</v>
      </c>
      <c r="FJ160" s="62">
        <f ca="1">AVERAGE(OFFSET($FI$3,0,0,'Données projet'!$E$16+1,1))-AVERAGE(OFFSET($H$3,0,0,'Données projet'!$E$16+1,1))</f>
        <v>343.71044073996887</v>
      </c>
      <c r="FK160" s="62">
        <f t="shared" si="156"/>
        <v>193.51732627292375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-9.6633812063373625E-13</v>
      </c>
      <c r="O161" s="14">
        <f>N161*VLOOKUP('Données projet'!$B$9,Paramètres!$A$1:$I$89,3,0)*VLOOKUP('Données projet'!$B$9,Paramètres!$A$1:$I$89,5,0)</f>
        <v>-8.7434273154940449E-13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303.73499739059076</v>
      </c>
      <c r="T161" s="62">
        <f t="shared" si="142"/>
        <v>172.32171001882188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-2.2737367544323206E-13</v>
      </c>
      <c r="AJ161" s="14">
        <f>AI161*VLOOKUP('Données projet'!$B$10,Paramètres!$A$1:$I$89,3,0)*VLOOKUP('Données projet'!$B$10,Paramètres!$A$1:$I$89,5,0)</f>
        <v>-1.6671037883497774E-13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215.66498680344858</v>
      </c>
      <c r="AO161" s="62">
        <f t="shared" si="144"/>
        <v>199.86715787211114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-5.6843418860808015E-14</v>
      </c>
      <c r="BE161" s="14">
        <f>BD161*VLOOKUP('Données projet'!$B$11,Paramètres!$A$1:$I$89,3,0)*VLOOKUP('Données projet'!$B$11,Paramètres!$A$1:$I$89,5,0)</f>
        <v>-3.3992364478763198E-14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155.11440101086782</v>
      </c>
      <c r="BJ161" s="62">
        <f t="shared" si="146"/>
        <v>239.53454701506638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1.0698092165310826</v>
      </c>
      <c r="BQ161" s="23">
        <f>EXP(-LN(2)/25)*BQ160+(1-EXP(-LN(2)/25))/(LN(2)/25)*Calculateur!BL161*Calculateur!BN161*VLOOKUP('Données projet'!$B$11,Paramètres!$A$1:$I$89,3,0)*0.475*44/12</f>
        <v>0.20825101972971499</v>
      </c>
      <c r="BR161" s="23">
        <f>EXP(-LN(2)/2)*BR160+(1-EXP(-LN(2)/2))/(LN(2)/2)*BL161*BO161*VLOOKUP('Données projet'!$B$11,Paramètres!$A$1:$I$89,3,0)*0.475*44/12</f>
        <v>1.5986252441860663E-19</v>
      </c>
      <c r="BS161" s="24">
        <f t="shared" si="169"/>
        <v>1.2780602362607976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-5.6843418860808015E-14</v>
      </c>
      <c r="BZ161" s="14">
        <f>BY161*VLOOKUP('Données projet'!$B$12,Paramètres!$A$1:$I$89,3,0)*VLOOKUP('Données projet'!$B$12,Paramètres!$A$1:$I$89,5,0)</f>
        <v>-3.3992364478763198E-14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155.11440101086782</v>
      </c>
      <c r="CE161" s="62">
        <f t="shared" si="148"/>
        <v>239.53454701506638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1.0698092165310826</v>
      </c>
      <c r="CL161" s="23">
        <f>EXP(-LN(2)/25)*CL160+(1-EXP(-LN(2)/25))/(LN(2)/25)*Calculateur!CG161*Calculateur!CI161*VLOOKUP('Données projet'!$B$12,Paramètres!$A$1:$I$89,3,0)*0.475*44/12</f>
        <v>0.20825101972971499</v>
      </c>
      <c r="CM161" s="23">
        <f>EXP(-LN(2)/2)*CM160+(1-EXP(-LN(2)/2))/(LN(2)/2)*CG161*CJ161*VLOOKUP('Données projet'!$B$12,Paramètres!$A$1:$I$89,3,0)*0.475*44/12</f>
        <v>1.5986252441860663E-19</v>
      </c>
      <c r="CN161" s="24">
        <f t="shared" si="172"/>
        <v>1.2780602362607976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-1.1368683772161603E-13</v>
      </c>
      <c r="CU161" s="18">
        <f>CT161*VLOOKUP('Données projet'!$B$13,Paramètres!$A$1:$I$89,3,0)*VLOOKUP('Données projet'!$B$13,Paramètres!$A$1:$I$89,5,0)</f>
        <v>-9.2222762759774927E-14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191.03017979797141</v>
      </c>
      <c r="CZ161" s="62">
        <f t="shared" si="150"/>
        <v>222.78252111624278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-1.1368683772161603E-13</v>
      </c>
      <c r="DP161" s="18">
        <f>DO161*VLOOKUP('Données projet'!$B$14,Paramètres!$A$1:$I$89,3,0)*VLOOKUP('Données projet'!$B$14,Paramètres!$A$1:$I$89,5,0)</f>
        <v>-1.0818439477588981E-13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260.93525280373063</v>
      </c>
      <c r="DU161" s="62">
        <f t="shared" si="152"/>
        <v>206.83968452163816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>
        <f>EJ161*VLOOKUP('Données projet'!$B$15,Paramètres!$A$1:$I$89,3,0)*VLOOKUP('Données projet'!$B$15,Paramètres!$A$1:$I$89,5,0)</f>
        <v>0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118.01099353898547</v>
      </c>
      <c r="EP161" s="62">
        <f t="shared" si="154"/>
        <v>103.17146760845947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-9.6633812063373625E-13</v>
      </c>
      <c r="FF161" s="18">
        <f>FE161*VLOOKUP('Données projet'!$B$16,Paramètres!$A$1:$I$89,3,0)*VLOOKUP('Données projet'!$B$16,Paramètres!$A$1:$I$89,5,0)</f>
        <v>-9.6479197964072245E-13</v>
      </c>
      <c r="FG161" s="14" t="e">
        <f t="shared" si="182"/>
        <v>#NUM!</v>
      </c>
      <c r="FH161" s="22" t="e">
        <f t="shared" si="183"/>
        <v>#NUM!</v>
      </c>
      <c r="FI161" s="62" t="e">
        <f t="shared" si="131"/>
        <v>#NUM!</v>
      </c>
      <c r="FJ161" s="62">
        <f ca="1">AVERAGE(OFFSET($FI$3,0,0,'Données projet'!$E$16+1,1))-AVERAGE(OFFSET($H$3,0,0,'Données projet'!$E$16+1,1))</f>
        <v>343.71044073996887</v>
      </c>
      <c r="FK161" s="62">
        <f t="shared" si="156"/>
        <v>193.51732627292375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-9.6633812063373625E-13</v>
      </c>
      <c r="O162" s="14">
        <f>N162*VLOOKUP('Données projet'!$B$9,Paramètres!$A$1:$I$89,3,0)*VLOOKUP('Données projet'!$B$9,Paramètres!$A$1:$I$89,5,0)</f>
        <v>-8.7434273154940449E-13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303.73499739059076</v>
      </c>
      <c r="T162" s="62">
        <f t="shared" si="142"/>
        <v>172.32171001882188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-2.2737367544323206E-13</v>
      </c>
      <c r="AJ162" s="14">
        <f>AI162*VLOOKUP('Données projet'!$B$10,Paramètres!$A$1:$I$89,3,0)*VLOOKUP('Données projet'!$B$10,Paramètres!$A$1:$I$89,5,0)</f>
        <v>-1.6671037883497774E-13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215.66498680344858</v>
      </c>
      <c r="AO162" s="62">
        <f t="shared" si="144"/>
        <v>199.86715787211114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-5.6843418860808015E-14</v>
      </c>
      <c r="BE162" s="14">
        <f>BD162*VLOOKUP('Données projet'!$B$11,Paramètres!$A$1:$I$89,3,0)*VLOOKUP('Données projet'!$B$11,Paramètres!$A$1:$I$89,5,0)</f>
        <v>-3.3992364478763198E-14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155.11440101086782</v>
      </c>
      <c r="BJ162" s="62">
        <f t="shared" si="146"/>
        <v>239.53454701506638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1.0488309103140994</v>
      </c>
      <c r="BQ162" s="23">
        <f>EXP(-LN(2)/25)*BQ161+(1-EXP(-LN(2)/25))/(LN(2)/25)*Calculateur!BL162*Calculateur!BN162*VLOOKUP('Données projet'!$B$11,Paramètres!$A$1:$I$89,3,0)*0.475*44/12</f>
        <v>0.20255638464376077</v>
      </c>
      <c r="BR162" s="23">
        <f>EXP(-LN(2)/2)*BR161+(1-EXP(-LN(2)/2))/(LN(2)/2)*BL162*BO162*VLOOKUP('Données projet'!$B$11,Paramètres!$A$1:$I$89,3,0)*0.475*44/12</f>
        <v>1.1303987507399679E-19</v>
      </c>
      <c r="BS162" s="24">
        <f t="shared" si="169"/>
        <v>1.2513872949578602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-5.6843418860808015E-14</v>
      </c>
      <c r="BZ162" s="14">
        <f>BY162*VLOOKUP('Données projet'!$B$12,Paramètres!$A$1:$I$89,3,0)*VLOOKUP('Données projet'!$B$12,Paramètres!$A$1:$I$89,5,0)</f>
        <v>-3.3992364478763198E-14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155.11440101086782</v>
      </c>
      <c r="CE162" s="62">
        <f t="shared" si="148"/>
        <v>239.53454701506638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1.0488309103140994</v>
      </c>
      <c r="CL162" s="23">
        <f>EXP(-LN(2)/25)*CL161+(1-EXP(-LN(2)/25))/(LN(2)/25)*Calculateur!CG162*Calculateur!CI162*VLOOKUP('Données projet'!$B$12,Paramètres!$A$1:$I$89,3,0)*0.475*44/12</f>
        <v>0.20255638464376077</v>
      </c>
      <c r="CM162" s="23">
        <f>EXP(-LN(2)/2)*CM161+(1-EXP(-LN(2)/2))/(LN(2)/2)*CG162*CJ162*VLOOKUP('Données projet'!$B$12,Paramètres!$A$1:$I$89,3,0)*0.475*44/12</f>
        <v>1.1303987507399679E-19</v>
      </c>
      <c r="CN162" s="24">
        <f t="shared" si="172"/>
        <v>1.2513872949578602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-1.1368683772161603E-13</v>
      </c>
      <c r="CU162" s="18">
        <f>CT162*VLOOKUP('Données projet'!$B$13,Paramètres!$A$1:$I$89,3,0)*VLOOKUP('Données projet'!$B$13,Paramètres!$A$1:$I$89,5,0)</f>
        <v>-9.2222762759774927E-14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191.03017979797141</v>
      </c>
      <c r="CZ162" s="62">
        <f t="shared" si="150"/>
        <v>222.78252111624278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-1.1368683772161603E-13</v>
      </c>
      <c r="DP162" s="18">
        <f>DO162*VLOOKUP('Données projet'!$B$14,Paramètres!$A$1:$I$89,3,0)*VLOOKUP('Données projet'!$B$14,Paramètres!$A$1:$I$89,5,0)</f>
        <v>-1.0818439477588981E-13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260.93525280373063</v>
      </c>
      <c r="DU162" s="62">
        <f t="shared" si="152"/>
        <v>206.83968452163816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>
        <f>EJ162*VLOOKUP('Données projet'!$B$15,Paramètres!$A$1:$I$89,3,0)*VLOOKUP('Données projet'!$B$15,Paramètres!$A$1:$I$89,5,0)</f>
        <v>0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118.01099353898547</v>
      </c>
      <c r="EP162" s="62">
        <f t="shared" si="154"/>
        <v>103.17146760845947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-9.6633812063373625E-13</v>
      </c>
      <c r="FF162" s="18">
        <f>FE162*VLOOKUP('Données projet'!$B$16,Paramètres!$A$1:$I$89,3,0)*VLOOKUP('Données projet'!$B$16,Paramètres!$A$1:$I$89,5,0)</f>
        <v>-9.6479197964072245E-13</v>
      </c>
      <c r="FG162" s="14" t="e">
        <f t="shared" si="182"/>
        <v>#NUM!</v>
      </c>
      <c r="FH162" s="22" t="e">
        <f t="shared" si="183"/>
        <v>#NUM!</v>
      </c>
      <c r="FI162" s="62" t="e">
        <f t="shared" si="131"/>
        <v>#NUM!</v>
      </c>
      <c r="FJ162" s="62">
        <f ca="1">AVERAGE(OFFSET($FI$3,0,0,'Données projet'!$E$16+1,1))-AVERAGE(OFFSET($H$3,0,0,'Données projet'!$E$16+1,1))</f>
        <v>343.71044073996887</v>
      </c>
      <c r="FK162" s="62">
        <f t="shared" si="156"/>
        <v>193.51732627292375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-9.6633812063373625E-13</v>
      </c>
      <c r="O163" s="14">
        <f>N163*VLOOKUP('Données projet'!$B$9,Paramètres!$A$1:$I$89,3,0)*VLOOKUP('Données projet'!$B$9,Paramètres!$A$1:$I$89,5,0)</f>
        <v>-8.7434273154940449E-13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303.73499739059076</v>
      </c>
      <c r="T163" s="62">
        <f t="shared" si="142"/>
        <v>172.32171001882188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-2.2737367544323206E-13</v>
      </c>
      <c r="AJ163" s="14">
        <f>AI163*VLOOKUP('Données projet'!$B$10,Paramètres!$A$1:$I$89,3,0)*VLOOKUP('Données projet'!$B$10,Paramètres!$A$1:$I$89,5,0)</f>
        <v>-1.6671037883497774E-13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215.66498680344858</v>
      </c>
      <c r="AO163" s="62">
        <f t="shared" si="144"/>
        <v>199.86715787211114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-5.6843418860808015E-14</v>
      </c>
      <c r="BE163" s="14">
        <f>BD163*VLOOKUP('Données projet'!$B$11,Paramètres!$A$1:$I$89,3,0)*VLOOKUP('Données projet'!$B$11,Paramètres!$A$1:$I$89,5,0)</f>
        <v>-3.3992364478763198E-14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155.11440101086782</v>
      </c>
      <c r="BJ163" s="62">
        <f t="shared" si="146"/>
        <v>239.53454701506638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1.0282639758865277</v>
      </c>
      <c r="BQ163" s="23">
        <f>EXP(-LN(2)/25)*BQ162+(1-EXP(-LN(2)/25))/(LN(2)/25)*Calculateur!BL163*Calculateur!BN163*VLOOKUP('Données projet'!$B$11,Paramètres!$A$1:$I$89,3,0)*0.475*44/12</f>
        <v>0.19701746965369982</v>
      </c>
      <c r="BR163" s="23">
        <f>EXP(-LN(2)/2)*BR162+(1-EXP(-LN(2)/2))/(LN(2)/2)*BL163*BO163*VLOOKUP('Données projet'!$B$11,Paramètres!$A$1:$I$89,3,0)*0.475*44/12</f>
        <v>7.9931262209303315E-20</v>
      </c>
      <c r="BS163" s="24">
        <f t="shared" si="169"/>
        <v>1.2252814455402277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-5.6843418860808015E-14</v>
      </c>
      <c r="BZ163" s="14">
        <f>BY163*VLOOKUP('Données projet'!$B$12,Paramètres!$A$1:$I$89,3,0)*VLOOKUP('Données projet'!$B$12,Paramètres!$A$1:$I$89,5,0)</f>
        <v>-3.3992364478763198E-14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155.11440101086782</v>
      </c>
      <c r="CE163" s="62">
        <f t="shared" si="148"/>
        <v>239.53454701506638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1.0282639758865277</v>
      </c>
      <c r="CL163" s="23">
        <f>EXP(-LN(2)/25)*CL162+(1-EXP(-LN(2)/25))/(LN(2)/25)*Calculateur!CG163*Calculateur!CI163*VLOOKUP('Données projet'!$B$12,Paramètres!$A$1:$I$89,3,0)*0.475*44/12</f>
        <v>0.19701746965369982</v>
      </c>
      <c r="CM163" s="23">
        <f>EXP(-LN(2)/2)*CM162+(1-EXP(-LN(2)/2))/(LN(2)/2)*CG163*CJ163*VLOOKUP('Données projet'!$B$12,Paramètres!$A$1:$I$89,3,0)*0.475*44/12</f>
        <v>7.9931262209303315E-20</v>
      </c>
      <c r="CN163" s="24">
        <f t="shared" si="172"/>
        <v>1.2252814455402277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-1.1368683772161603E-13</v>
      </c>
      <c r="CU163" s="18">
        <f>CT163*VLOOKUP('Données projet'!$B$13,Paramètres!$A$1:$I$89,3,0)*VLOOKUP('Données projet'!$B$13,Paramètres!$A$1:$I$89,5,0)</f>
        <v>-9.2222762759774927E-14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191.03017979797141</v>
      </c>
      <c r="CZ163" s="62">
        <f t="shared" si="150"/>
        <v>222.78252111624278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-1.1368683772161603E-13</v>
      </c>
      <c r="DP163" s="18">
        <f>DO163*VLOOKUP('Données projet'!$B$14,Paramètres!$A$1:$I$89,3,0)*VLOOKUP('Données projet'!$B$14,Paramètres!$A$1:$I$89,5,0)</f>
        <v>-1.0818439477588981E-13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260.93525280373063</v>
      </c>
      <c r="DU163" s="62">
        <f t="shared" si="152"/>
        <v>206.83968452163816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>
        <f>EJ163*VLOOKUP('Données projet'!$B$15,Paramètres!$A$1:$I$89,3,0)*VLOOKUP('Données projet'!$B$15,Paramètres!$A$1:$I$89,5,0)</f>
        <v>0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118.01099353898547</v>
      </c>
      <c r="EP163" s="62">
        <f t="shared" si="154"/>
        <v>103.17146760845947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-9.6633812063373625E-13</v>
      </c>
      <c r="FF163" s="18">
        <f>FE163*VLOOKUP('Données projet'!$B$16,Paramètres!$A$1:$I$89,3,0)*VLOOKUP('Données projet'!$B$16,Paramètres!$A$1:$I$89,5,0)</f>
        <v>-9.6479197964072245E-13</v>
      </c>
      <c r="FG163" s="14" t="e">
        <f t="shared" si="182"/>
        <v>#NUM!</v>
      </c>
      <c r="FH163" s="22" t="e">
        <f t="shared" si="183"/>
        <v>#NUM!</v>
      </c>
      <c r="FI163" s="62" t="e">
        <f t="shared" si="131"/>
        <v>#NUM!</v>
      </c>
      <c r="FJ163" s="62">
        <f ca="1">AVERAGE(OFFSET($FI$3,0,0,'Données projet'!$E$16+1,1))-AVERAGE(OFFSET($H$3,0,0,'Données projet'!$E$16+1,1))</f>
        <v>343.71044073996887</v>
      </c>
      <c r="FK163" s="62">
        <f t="shared" si="156"/>
        <v>193.51732627292375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-9.6633812063373625E-13</v>
      </c>
      <c r="O164" s="14">
        <f>N164*VLOOKUP('Données projet'!$B$9,Paramètres!$A$1:$I$89,3,0)*VLOOKUP('Données projet'!$B$9,Paramètres!$A$1:$I$89,5,0)</f>
        <v>-8.7434273154940449E-13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303.73499739059076</v>
      </c>
      <c r="T164" s="62">
        <f t="shared" si="142"/>
        <v>172.32171001882188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-2.2737367544323206E-13</v>
      </c>
      <c r="AJ164" s="14">
        <f>AI164*VLOOKUP('Données projet'!$B$10,Paramètres!$A$1:$I$89,3,0)*VLOOKUP('Données projet'!$B$10,Paramètres!$A$1:$I$89,5,0)</f>
        <v>-1.6671037883497774E-13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215.66498680344858</v>
      </c>
      <c r="AO164" s="62">
        <f t="shared" si="144"/>
        <v>199.86715787211114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-5.6843418860808015E-14</v>
      </c>
      <c r="BE164" s="14">
        <f>BD164*VLOOKUP('Données projet'!$B$11,Paramètres!$A$1:$I$89,3,0)*VLOOKUP('Données projet'!$B$11,Paramètres!$A$1:$I$89,5,0)</f>
        <v>-3.3992364478763198E-14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155.11440101086782</v>
      </c>
      <c r="BJ164" s="62">
        <f t="shared" si="146"/>
        <v>239.53454701506638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1.0081003464984895</v>
      </c>
      <c r="BQ164" s="23">
        <f>EXP(-LN(2)/25)*BQ163+(1-EXP(-LN(2)/25))/(LN(2)/25)*Calculateur!BL164*Calculateur!BN164*VLOOKUP('Données projet'!$B$11,Paramètres!$A$1:$I$89,3,0)*0.475*44/12</f>
        <v>0.19163001658532094</v>
      </c>
      <c r="BR164" s="23">
        <f>EXP(-LN(2)/2)*BR163+(1-EXP(-LN(2)/2))/(LN(2)/2)*BL164*BO164*VLOOKUP('Données projet'!$B$11,Paramètres!$A$1:$I$89,3,0)*0.475*44/12</f>
        <v>5.6519937536998393E-20</v>
      </c>
      <c r="BS164" s="24">
        <f t="shared" si="169"/>
        <v>1.1997303630838103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-5.6843418860808015E-14</v>
      </c>
      <c r="BZ164" s="14">
        <f>BY164*VLOOKUP('Données projet'!$B$12,Paramètres!$A$1:$I$89,3,0)*VLOOKUP('Données projet'!$B$12,Paramètres!$A$1:$I$89,5,0)</f>
        <v>-3.3992364478763198E-14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155.11440101086782</v>
      </c>
      <c r="CE164" s="62">
        <f t="shared" si="148"/>
        <v>239.53454701506638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1.0081003464984895</v>
      </c>
      <c r="CL164" s="23">
        <f>EXP(-LN(2)/25)*CL163+(1-EXP(-LN(2)/25))/(LN(2)/25)*Calculateur!CG164*Calculateur!CI164*VLOOKUP('Données projet'!$B$12,Paramètres!$A$1:$I$89,3,0)*0.475*44/12</f>
        <v>0.19163001658532094</v>
      </c>
      <c r="CM164" s="23">
        <f>EXP(-LN(2)/2)*CM163+(1-EXP(-LN(2)/2))/(LN(2)/2)*CG164*CJ164*VLOOKUP('Données projet'!$B$12,Paramètres!$A$1:$I$89,3,0)*0.475*44/12</f>
        <v>5.6519937536998393E-20</v>
      </c>
      <c r="CN164" s="24">
        <f t="shared" si="172"/>
        <v>1.1997303630838103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-1.1368683772161603E-13</v>
      </c>
      <c r="CU164" s="18">
        <f>CT164*VLOOKUP('Données projet'!$B$13,Paramètres!$A$1:$I$89,3,0)*VLOOKUP('Données projet'!$B$13,Paramètres!$A$1:$I$89,5,0)</f>
        <v>-9.2222762759774927E-14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191.03017979797141</v>
      </c>
      <c r="CZ164" s="62">
        <f t="shared" si="150"/>
        <v>222.78252111624278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-1.1368683772161603E-13</v>
      </c>
      <c r="DP164" s="18">
        <f>DO164*VLOOKUP('Données projet'!$B$14,Paramètres!$A$1:$I$89,3,0)*VLOOKUP('Données projet'!$B$14,Paramètres!$A$1:$I$89,5,0)</f>
        <v>-1.0818439477588981E-13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260.93525280373063</v>
      </c>
      <c r="DU164" s="62">
        <f t="shared" si="152"/>
        <v>206.83968452163816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>
        <f>EJ164*VLOOKUP('Données projet'!$B$15,Paramètres!$A$1:$I$89,3,0)*VLOOKUP('Données projet'!$B$15,Paramètres!$A$1:$I$89,5,0)</f>
        <v>0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118.01099353898547</v>
      </c>
      <c r="EP164" s="62">
        <f t="shared" si="154"/>
        <v>103.17146760845947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-9.6633812063373625E-13</v>
      </c>
      <c r="FF164" s="18">
        <f>FE164*VLOOKUP('Données projet'!$B$16,Paramètres!$A$1:$I$89,3,0)*VLOOKUP('Données projet'!$B$16,Paramètres!$A$1:$I$89,5,0)</f>
        <v>-9.6479197964072245E-13</v>
      </c>
      <c r="FG164" s="14" t="e">
        <f t="shared" si="182"/>
        <v>#NUM!</v>
      </c>
      <c r="FH164" s="22" t="e">
        <f t="shared" si="183"/>
        <v>#NUM!</v>
      </c>
      <c r="FI164" s="62" t="e">
        <f t="shared" si="131"/>
        <v>#NUM!</v>
      </c>
      <c r="FJ164" s="62">
        <f ca="1">AVERAGE(OFFSET($FI$3,0,0,'Données projet'!$E$16+1,1))-AVERAGE(OFFSET($H$3,0,0,'Données projet'!$E$16+1,1))</f>
        <v>343.71044073996887</v>
      </c>
      <c r="FK164" s="62">
        <f t="shared" si="156"/>
        <v>193.51732627292375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-9.6633812063373625E-13</v>
      </c>
      <c r="O165" s="14">
        <f>N165*VLOOKUP('Données projet'!$B$9,Paramètres!$A$1:$I$89,3,0)*VLOOKUP('Données projet'!$B$9,Paramètres!$A$1:$I$89,5,0)</f>
        <v>-8.7434273154940449E-13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303.73499739059076</v>
      </c>
      <c r="T165" s="62">
        <f t="shared" si="142"/>
        <v>172.32171001882188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-2.2737367544323206E-13</v>
      </c>
      <c r="AJ165" s="14">
        <f>AI165*VLOOKUP('Données projet'!$B$10,Paramètres!$A$1:$I$89,3,0)*VLOOKUP('Données projet'!$B$10,Paramètres!$A$1:$I$89,5,0)</f>
        <v>-1.6671037883497774E-13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215.66498680344858</v>
      </c>
      <c r="AO165" s="62">
        <f t="shared" si="144"/>
        <v>199.86715787211114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-5.6843418860808015E-14</v>
      </c>
      <c r="BE165" s="14">
        <f>BD165*VLOOKUP('Données projet'!$B$11,Paramètres!$A$1:$I$89,3,0)*VLOOKUP('Données projet'!$B$11,Paramètres!$A$1:$I$89,5,0)</f>
        <v>-3.3992364478763198E-14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155.11440101086782</v>
      </c>
      <c r="BJ165" s="62">
        <f t="shared" si="146"/>
        <v>239.53454701506638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0.98833211358415107</v>
      </c>
      <c r="BQ165" s="23">
        <f>EXP(-LN(2)/25)*BQ164+(1-EXP(-LN(2)/25))/(LN(2)/25)*Calculateur!BL165*Calculateur!BN165*VLOOKUP('Données projet'!$B$11,Paramètres!$A$1:$I$89,3,0)*0.475*44/12</f>
        <v>0.18638988370441076</v>
      </c>
      <c r="BR165" s="23">
        <f>EXP(-LN(2)/2)*BR164+(1-EXP(-LN(2)/2))/(LN(2)/2)*BL165*BO165*VLOOKUP('Données projet'!$B$11,Paramètres!$A$1:$I$89,3,0)*0.475*44/12</f>
        <v>3.9965631104651657E-20</v>
      </c>
      <c r="BS165" s="24">
        <f t="shared" si="169"/>
        <v>1.1747219972885619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-5.6843418860808015E-14</v>
      </c>
      <c r="BZ165" s="14">
        <f>BY165*VLOOKUP('Données projet'!$B$12,Paramètres!$A$1:$I$89,3,0)*VLOOKUP('Données projet'!$B$12,Paramètres!$A$1:$I$89,5,0)</f>
        <v>-3.3992364478763198E-14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155.11440101086782</v>
      </c>
      <c r="CE165" s="62">
        <f t="shared" si="148"/>
        <v>239.53454701506638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0.98833211358415107</v>
      </c>
      <c r="CL165" s="23">
        <f>EXP(-LN(2)/25)*CL164+(1-EXP(-LN(2)/25))/(LN(2)/25)*Calculateur!CG165*Calculateur!CI165*VLOOKUP('Données projet'!$B$12,Paramètres!$A$1:$I$89,3,0)*0.475*44/12</f>
        <v>0.18638988370441076</v>
      </c>
      <c r="CM165" s="23">
        <f>EXP(-LN(2)/2)*CM164+(1-EXP(-LN(2)/2))/(LN(2)/2)*CG165*CJ165*VLOOKUP('Données projet'!$B$12,Paramètres!$A$1:$I$89,3,0)*0.475*44/12</f>
        <v>3.9965631104651657E-20</v>
      </c>
      <c r="CN165" s="24">
        <f t="shared" si="172"/>
        <v>1.1747219972885619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-1.1368683772161603E-13</v>
      </c>
      <c r="CU165" s="18">
        <f>CT165*VLOOKUP('Données projet'!$B$13,Paramètres!$A$1:$I$89,3,0)*VLOOKUP('Données projet'!$B$13,Paramètres!$A$1:$I$89,5,0)</f>
        <v>-9.2222762759774927E-14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191.03017979797141</v>
      </c>
      <c r="CZ165" s="62">
        <f t="shared" si="150"/>
        <v>222.78252111624278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-1.1368683772161603E-13</v>
      </c>
      <c r="DP165" s="18">
        <f>DO165*VLOOKUP('Données projet'!$B$14,Paramètres!$A$1:$I$89,3,0)*VLOOKUP('Données projet'!$B$14,Paramètres!$A$1:$I$89,5,0)</f>
        <v>-1.0818439477588981E-13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260.93525280373063</v>
      </c>
      <c r="DU165" s="62">
        <f t="shared" si="152"/>
        <v>206.83968452163816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>
        <f>EJ165*VLOOKUP('Données projet'!$B$15,Paramètres!$A$1:$I$89,3,0)*VLOOKUP('Données projet'!$B$15,Paramètres!$A$1:$I$89,5,0)</f>
        <v>0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118.01099353898547</v>
      </c>
      <c r="EP165" s="62">
        <f t="shared" si="154"/>
        <v>103.17146760845947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-9.6633812063373625E-13</v>
      </c>
      <c r="FF165" s="18">
        <f>FE165*VLOOKUP('Données projet'!$B$16,Paramètres!$A$1:$I$89,3,0)*VLOOKUP('Données projet'!$B$16,Paramètres!$A$1:$I$89,5,0)</f>
        <v>-9.6479197964072245E-13</v>
      </c>
      <c r="FG165" s="14" t="e">
        <f t="shared" si="182"/>
        <v>#NUM!</v>
      </c>
      <c r="FH165" s="22" t="e">
        <f t="shared" si="183"/>
        <v>#NUM!</v>
      </c>
      <c r="FI165" s="62" t="e">
        <f t="shared" si="131"/>
        <v>#NUM!</v>
      </c>
      <c r="FJ165" s="62">
        <f ca="1">AVERAGE(OFFSET($FI$3,0,0,'Données projet'!$E$16+1,1))-AVERAGE(OFFSET($H$3,0,0,'Données projet'!$E$16+1,1))</f>
        <v>343.71044073996887</v>
      </c>
      <c r="FK165" s="62">
        <f t="shared" si="156"/>
        <v>193.51732627292375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-9.6633812063373625E-13</v>
      </c>
      <c r="O166" s="14">
        <f>N166*VLOOKUP('Données projet'!$B$9,Paramètres!$A$1:$I$89,3,0)*VLOOKUP('Données projet'!$B$9,Paramètres!$A$1:$I$89,5,0)</f>
        <v>-8.7434273154940449E-13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303.73499739059076</v>
      </c>
      <c r="T166" s="62">
        <f t="shared" si="142"/>
        <v>172.32171001882188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-2.2737367544323206E-13</v>
      </c>
      <c r="AJ166" s="14">
        <f>AI166*VLOOKUP('Données projet'!$B$10,Paramètres!$A$1:$I$89,3,0)*VLOOKUP('Données projet'!$B$10,Paramètres!$A$1:$I$89,5,0)</f>
        <v>-1.6671037883497774E-13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215.66498680344858</v>
      </c>
      <c r="AO166" s="62">
        <f t="shared" si="144"/>
        <v>199.86715787211114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-5.6843418860808015E-14</v>
      </c>
      <c r="BE166" s="14">
        <f>BD166*VLOOKUP('Données projet'!$B$11,Paramètres!$A$1:$I$89,3,0)*VLOOKUP('Données projet'!$B$11,Paramètres!$A$1:$I$89,5,0)</f>
        <v>-3.3992364478763198E-14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155.11440101086782</v>
      </c>
      <c r="BJ166" s="62">
        <f t="shared" si="146"/>
        <v>239.53454701506638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0.96895152365983128</v>
      </c>
      <c r="BQ166" s="23">
        <f>EXP(-LN(2)/25)*BQ165+(1-EXP(-LN(2)/25))/(LN(2)/25)*Calculateur!BL166*Calculateur!BN166*VLOOKUP('Données projet'!$B$11,Paramètres!$A$1:$I$89,3,0)*0.475*44/12</f>
        <v>0.18129304253269565</v>
      </c>
      <c r="BR166" s="23">
        <f>EXP(-LN(2)/2)*BR165+(1-EXP(-LN(2)/2))/(LN(2)/2)*BL166*BO166*VLOOKUP('Données projet'!$B$11,Paramètres!$A$1:$I$89,3,0)*0.475*44/12</f>
        <v>2.8259968768499196E-20</v>
      </c>
      <c r="BS166" s="24">
        <f t="shared" si="169"/>
        <v>1.1502445661925269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-5.6843418860808015E-14</v>
      </c>
      <c r="BZ166" s="14">
        <f>BY166*VLOOKUP('Données projet'!$B$12,Paramètres!$A$1:$I$89,3,0)*VLOOKUP('Données projet'!$B$12,Paramètres!$A$1:$I$89,5,0)</f>
        <v>-3.3992364478763198E-14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155.11440101086782</v>
      </c>
      <c r="CE166" s="62">
        <f t="shared" si="148"/>
        <v>239.53454701506638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0.96895152365983128</v>
      </c>
      <c r="CL166" s="23">
        <f>EXP(-LN(2)/25)*CL165+(1-EXP(-LN(2)/25))/(LN(2)/25)*Calculateur!CG166*Calculateur!CI166*VLOOKUP('Données projet'!$B$12,Paramètres!$A$1:$I$89,3,0)*0.475*44/12</f>
        <v>0.18129304253269565</v>
      </c>
      <c r="CM166" s="23">
        <f>EXP(-LN(2)/2)*CM165+(1-EXP(-LN(2)/2))/(LN(2)/2)*CG166*CJ166*VLOOKUP('Données projet'!$B$12,Paramètres!$A$1:$I$89,3,0)*0.475*44/12</f>
        <v>2.8259968768499196E-20</v>
      </c>
      <c r="CN166" s="24">
        <f t="shared" si="172"/>
        <v>1.1502445661925269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-1.1368683772161603E-13</v>
      </c>
      <c r="CU166" s="18">
        <f>CT166*VLOOKUP('Données projet'!$B$13,Paramètres!$A$1:$I$89,3,0)*VLOOKUP('Données projet'!$B$13,Paramètres!$A$1:$I$89,5,0)</f>
        <v>-9.2222762759774927E-14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191.03017979797141</v>
      </c>
      <c r="CZ166" s="62">
        <f t="shared" si="150"/>
        <v>222.78252111624278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-1.1368683772161603E-13</v>
      </c>
      <c r="DP166" s="18">
        <f>DO166*VLOOKUP('Données projet'!$B$14,Paramètres!$A$1:$I$89,3,0)*VLOOKUP('Données projet'!$B$14,Paramètres!$A$1:$I$89,5,0)</f>
        <v>-1.0818439477588981E-13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260.93525280373063</v>
      </c>
      <c r="DU166" s="62">
        <f t="shared" si="152"/>
        <v>206.83968452163816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>
        <f>EJ166*VLOOKUP('Données projet'!$B$15,Paramètres!$A$1:$I$89,3,0)*VLOOKUP('Données projet'!$B$15,Paramètres!$A$1:$I$89,5,0)</f>
        <v>0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118.01099353898547</v>
      </c>
      <c r="EP166" s="62">
        <f t="shared" si="154"/>
        <v>103.17146760845947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-9.6633812063373625E-13</v>
      </c>
      <c r="FF166" s="18">
        <f>FE166*VLOOKUP('Données projet'!$B$16,Paramètres!$A$1:$I$89,3,0)*VLOOKUP('Données projet'!$B$16,Paramètres!$A$1:$I$89,5,0)</f>
        <v>-9.6479197964072245E-13</v>
      </c>
      <c r="FG166" s="14" t="e">
        <f t="shared" si="182"/>
        <v>#NUM!</v>
      </c>
      <c r="FH166" s="22" t="e">
        <f t="shared" si="183"/>
        <v>#NUM!</v>
      </c>
      <c r="FI166" s="62" t="e">
        <f t="shared" si="131"/>
        <v>#NUM!</v>
      </c>
      <c r="FJ166" s="62">
        <f ca="1">AVERAGE(OFFSET($FI$3,0,0,'Données projet'!$E$16+1,1))-AVERAGE(OFFSET($H$3,0,0,'Données projet'!$E$16+1,1))</f>
        <v>343.71044073996887</v>
      </c>
      <c r="FK166" s="62">
        <f t="shared" si="156"/>
        <v>193.51732627292375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-9.6633812063373625E-13</v>
      </c>
      <c r="O167" s="14">
        <f>N167*VLOOKUP('Données projet'!$B$9,Paramètres!$A$1:$I$89,3,0)*VLOOKUP('Données projet'!$B$9,Paramètres!$A$1:$I$89,5,0)</f>
        <v>-8.7434273154940449E-13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303.73499739059076</v>
      </c>
      <c r="T167" s="62">
        <f t="shared" si="142"/>
        <v>172.32171001882188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-2.2737367544323206E-13</v>
      </c>
      <c r="AJ167" s="14">
        <f>AI167*VLOOKUP('Données projet'!$B$10,Paramètres!$A$1:$I$89,3,0)*VLOOKUP('Données projet'!$B$10,Paramètres!$A$1:$I$89,5,0)</f>
        <v>-1.6671037883497774E-13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215.66498680344858</v>
      </c>
      <c r="AO167" s="62">
        <f t="shared" si="144"/>
        <v>199.86715787211114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-5.6843418860808015E-14</v>
      </c>
      <c r="BE167" s="14">
        <f>BD167*VLOOKUP('Données projet'!$B$11,Paramètres!$A$1:$I$89,3,0)*VLOOKUP('Données projet'!$B$11,Paramètres!$A$1:$I$89,5,0)</f>
        <v>-3.3992364478763198E-14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155.11440101086782</v>
      </c>
      <c r="BJ167" s="62">
        <f t="shared" si="146"/>
        <v>239.53454701506638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0.94995097528293482</v>
      </c>
      <c r="BQ167" s="23">
        <f>EXP(-LN(2)/25)*BQ166+(1-EXP(-LN(2)/25))/(LN(2)/25)*Calculateur!BL167*Calculateur!BN167*VLOOKUP('Données projet'!$B$11,Paramètres!$A$1:$I$89,3,0)*0.475*44/12</f>
        <v>0.17633557475085235</v>
      </c>
      <c r="BR167" s="23">
        <f>EXP(-LN(2)/2)*BR166+(1-EXP(-LN(2)/2))/(LN(2)/2)*BL167*BO167*VLOOKUP('Données projet'!$B$11,Paramètres!$A$1:$I$89,3,0)*0.475*44/12</f>
        <v>1.9982815552325829E-20</v>
      </c>
      <c r="BS167" s="24">
        <f t="shared" si="169"/>
        <v>1.1262865500337871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-5.6843418860808015E-14</v>
      </c>
      <c r="BZ167" s="14">
        <f>BY167*VLOOKUP('Données projet'!$B$12,Paramètres!$A$1:$I$89,3,0)*VLOOKUP('Données projet'!$B$12,Paramètres!$A$1:$I$89,5,0)</f>
        <v>-3.3992364478763198E-14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155.11440101086782</v>
      </c>
      <c r="CE167" s="62">
        <f t="shared" si="148"/>
        <v>239.53454701506638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0.94995097528293482</v>
      </c>
      <c r="CL167" s="23">
        <f>EXP(-LN(2)/25)*CL166+(1-EXP(-LN(2)/25))/(LN(2)/25)*Calculateur!CG167*Calculateur!CI167*VLOOKUP('Données projet'!$B$12,Paramètres!$A$1:$I$89,3,0)*0.475*44/12</f>
        <v>0.17633557475085235</v>
      </c>
      <c r="CM167" s="23">
        <f>EXP(-LN(2)/2)*CM166+(1-EXP(-LN(2)/2))/(LN(2)/2)*CG167*CJ167*VLOOKUP('Données projet'!$B$12,Paramètres!$A$1:$I$89,3,0)*0.475*44/12</f>
        <v>1.9982815552325829E-20</v>
      </c>
      <c r="CN167" s="24">
        <f t="shared" si="172"/>
        <v>1.1262865500337871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-1.1368683772161603E-13</v>
      </c>
      <c r="CU167" s="18">
        <f>CT167*VLOOKUP('Données projet'!$B$13,Paramètres!$A$1:$I$89,3,0)*VLOOKUP('Données projet'!$B$13,Paramètres!$A$1:$I$89,5,0)</f>
        <v>-9.2222762759774927E-14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191.03017979797141</v>
      </c>
      <c r="CZ167" s="62">
        <f t="shared" si="150"/>
        <v>222.78252111624278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-1.1368683772161603E-13</v>
      </c>
      <c r="DP167" s="18">
        <f>DO167*VLOOKUP('Données projet'!$B$14,Paramètres!$A$1:$I$89,3,0)*VLOOKUP('Données projet'!$B$14,Paramètres!$A$1:$I$89,5,0)</f>
        <v>-1.0818439477588981E-13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260.93525280373063</v>
      </c>
      <c r="DU167" s="62">
        <f t="shared" si="152"/>
        <v>206.83968452163816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>
        <f>EJ167*VLOOKUP('Données projet'!$B$15,Paramètres!$A$1:$I$89,3,0)*VLOOKUP('Données projet'!$B$15,Paramètres!$A$1:$I$89,5,0)</f>
        <v>0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118.01099353898547</v>
      </c>
      <c r="EP167" s="62">
        <f t="shared" si="154"/>
        <v>103.17146760845947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-9.6633812063373625E-13</v>
      </c>
      <c r="FF167" s="18">
        <f>FE167*VLOOKUP('Données projet'!$B$16,Paramètres!$A$1:$I$89,3,0)*VLOOKUP('Données projet'!$B$16,Paramètres!$A$1:$I$89,5,0)</f>
        <v>-9.6479197964072245E-13</v>
      </c>
      <c r="FG167" s="14" t="e">
        <f t="shared" si="182"/>
        <v>#NUM!</v>
      </c>
      <c r="FH167" s="22" t="e">
        <f t="shared" si="183"/>
        <v>#NUM!</v>
      </c>
      <c r="FI167" s="62" t="e">
        <f t="shared" si="131"/>
        <v>#NUM!</v>
      </c>
      <c r="FJ167" s="62">
        <f ca="1">AVERAGE(OFFSET($FI$3,0,0,'Données projet'!$E$16+1,1))-AVERAGE(OFFSET($H$3,0,0,'Données projet'!$E$16+1,1))</f>
        <v>343.71044073996887</v>
      </c>
      <c r="FK167" s="62">
        <f t="shared" si="156"/>
        <v>193.51732627292375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-9.6633812063373625E-13</v>
      </c>
      <c r="O168" s="14">
        <f>N168*VLOOKUP('Données projet'!$B$9,Paramètres!$A$1:$I$89,3,0)*VLOOKUP('Données projet'!$B$9,Paramètres!$A$1:$I$89,5,0)</f>
        <v>-8.7434273154940449E-13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303.73499739059076</v>
      </c>
      <c r="T168" s="62">
        <f t="shared" si="142"/>
        <v>172.32171001882188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-2.2737367544323206E-13</v>
      </c>
      <c r="AJ168" s="14">
        <f>AI168*VLOOKUP('Données projet'!$B$10,Paramètres!$A$1:$I$89,3,0)*VLOOKUP('Données projet'!$B$10,Paramètres!$A$1:$I$89,5,0)</f>
        <v>-1.6671037883497774E-13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215.66498680344858</v>
      </c>
      <c r="AO168" s="62">
        <f t="shared" si="144"/>
        <v>199.86715787211114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-5.6843418860808015E-14</v>
      </c>
      <c r="BE168" s="14">
        <f>BD168*VLOOKUP('Données projet'!$B$11,Paramètres!$A$1:$I$89,3,0)*VLOOKUP('Données projet'!$B$11,Paramètres!$A$1:$I$89,5,0)</f>
        <v>-3.3992364478763198E-14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155.11440101086782</v>
      </c>
      <c r="BJ168" s="62">
        <f t="shared" si="146"/>
        <v>239.53454701506638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0.93132301607051915</v>
      </c>
      <c r="BQ168" s="23">
        <f>EXP(-LN(2)/25)*BQ167+(1-EXP(-LN(2)/25))/(LN(2)/25)*Calculateur!BL168*Calculateur!BN168*VLOOKUP('Données projet'!$B$11,Paramètres!$A$1:$I$89,3,0)*0.475*44/12</f>
        <v>0.17151366918620545</v>
      </c>
      <c r="BR168" s="23">
        <f>EXP(-LN(2)/2)*BR167+(1-EXP(-LN(2)/2))/(LN(2)/2)*BL168*BO168*VLOOKUP('Données projet'!$B$11,Paramètres!$A$1:$I$89,3,0)*0.475*44/12</f>
        <v>1.4129984384249598E-20</v>
      </c>
      <c r="BS168" s="24">
        <f t="shared" si="169"/>
        <v>1.1028366852567246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-5.6843418860808015E-14</v>
      </c>
      <c r="BZ168" s="14">
        <f>BY168*VLOOKUP('Données projet'!$B$12,Paramètres!$A$1:$I$89,3,0)*VLOOKUP('Données projet'!$B$12,Paramètres!$A$1:$I$89,5,0)</f>
        <v>-3.3992364478763198E-14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155.11440101086782</v>
      </c>
      <c r="CE168" s="62">
        <f t="shared" si="148"/>
        <v>239.53454701506638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0.93132301607051915</v>
      </c>
      <c r="CL168" s="23">
        <f>EXP(-LN(2)/25)*CL167+(1-EXP(-LN(2)/25))/(LN(2)/25)*Calculateur!CG168*Calculateur!CI168*VLOOKUP('Données projet'!$B$12,Paramètres!$A$1:$I$89,3,0)*0.475*44/12</f>
        <v>0.17151366918620545</v>
      </c>
      <c r="CM168" s="23">
        <f>EXP(-LN(2)/2)*CM167+(1-EXP(-LN(2)/2))/(LN(2)/2)*CG168*CJ168*VLOOKUP('Données projet'!$B$12,Paramètres!$A$1:$I$89,3,0)*0.475*44/12</f>
        <v>1.4129984384249598E-20</v>
      </c>
      <c r="CN168" s="24">
        <f t="shared" si="172"/>
        <v>1.1028366852567246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-1.1368683772161603E-13</v>
      </c>
      <c r="CU168" s="18">
        <f>CT168*VLOOKUP('Données projet'!$B$13,Paramètres!$A$1:$I$89,3,0)*VLOOKUP('Données projet'!$B$13,Paramètres!$A$1:$I$89,5,0)</f>
        <v>-9.2222762759774927E-14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191.03017979797141</v>
      </c>
      <c r="CZ168" s="62">
        <f t="shared" si="150"/>
        <v>222.78252111624278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-1.1368683772161603E-13</v>
      </c>
      <c r="DP168" s="18">
        <f>DO168*VLOOKUP('Données projet'!$B$14,Paramètres!$A$1:$I$89,3,0)*VLOOKUP('Données projet'!$B$14,Paramètres!$A$1:$I$89,5,0)</f>
        <v>-1.0818439477588981E-13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260.93525280373063</v>
      </c>
      <c r="DU168" s="62">
        <f t="shared" si="152"/>
        <v>206.83968452163816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>
        <f>EJ168*VLOOKUP('Données projet'!$B$15,Paramètres!$A$1:$I$89,3,0)*VLOOKUP('Données projet'!$B$15,Paramètres!$A$1:$I$89,5,0)</f>
        <v>0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118.01099353898547</v>
      </c>
      <c r="EP168" s="62">
        <f t="shared" si="154"/>
        <v>103.17146760845947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-9.6633812063373625E-13</v>
      </c>
      <c r="FF168" s="18">
        <f>FE168*VLOOKUP('Données projet'!$B$16,Paramètres!$A$1:$I$89,3,0)*VLOOKUP('Données projet'!$B$16,Paramètres!$A$1:$I$89,5,0)</f>
        <v>-9.6479197964072245E-13</v>
      </c>
      <c r="FG168" s="14" t="e">
        <f t="shared" si="182"/>
        <v>#NUM!</v>
      </c>
      <c r="FH168" s="22" t="e">
        <f t="shared" si="183"/>
        <v>#NUM!</v>
      </c>
      <c r="FI168" s="62" t="e">
        <f t="shared" si="131"/>
        <v>#NUM!</v>
      </c>
      <c r="FJ168" s="62">
        <f ca="1">AVERAGE(OFFSET($FI$3,0,0,'Données projet'!$E$16+1,1))-AVERAGE(OFFSET($H$3,0,0,'Données projet'!$E$16+1,1))</f>
        <v>343.71044073996887</v>
      </c>
      <c r="FK168" s="62">
        <f t="shared" si="156"/>
        <v>193.51732627292375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-9.6633812063373625E-13</v>
      </c>
      <c r="O169" s="14">
        <f>N169*VLOOKUP('Données projet'!$B$9,Paramètres!$A$1:$I$89,3,0)*VLOOKUP('Données projet'!$B$9,Paramètres!$A$1:$I$89,5,0)</f>
        <v>-8.7434273154940449E-13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303.73499739059076</v>
      </c>
      <c r="T169" s="62">
        <f t="shared" si="142"/>
        <v>172.32171001882188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-2.2737367544323206E-13</v>
      </c>
      <c r="AJ169" s="14">
        <f>AI169*VLOOKUP('Données projet'!$B$10,Paramètres!$A$1:$I$89,3,0)*VLOOKUP('Données projet'!$B$10,Paramètres!$A$1:$I$89,5,0)</f>
        <v>-1.6671037883497774E-13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215.66498680344858</v>
      </c>
      <c r="AO169" s="62">
        <f t="shared" si="144"/>
        <v>199.86715787211114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-5.6843418860808015E-14</v>
      </c>
      <c r="BE169" s="14">
        <f>BD169*VLOOKUP('Données projet'!$B$11,Paramètres!$A$1:$I$89,3,0)*VLOOKUP('Données projet'!$B$11,Paramètres!$A$1:$I$89,5,0)</f>
        <v>-3.3992364478763198E-14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155.11440101086782</v>
      </c>
      <c r="BJ169" s="62">
        <f t="shared" si="146"/>
        <v>239.53454701506638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0.91306033977632572</v>
      </c>
      <c r="BQ169" s="23">
        <f>EXP(-LN(2)/25)*BQ168+(1-EXP(-LN(2)/25))/(LN(2)/25)*Calculateur!BL169*Calculateur!BN169*VLOOKUP('Données projet'!$B$11,Paramètres!$A$1:$I$89,3,0)*0.475*44/12</f>
        <v>0.16682361888279679</v>
      </c>
      <c r="BR169" s="23">
        <f>EXP(-LN(2)/2)*BR168+(1-EXP(-LN(2)/2))/(LN(2)/2)*BL169*BO169*VLOOKUP('Données projet'!$B$11,Paramètres!$A$1:$I$89,3,0)*0.475*44/12</f>
        <v>9.9914077761629144E-21</v>
      </c>
      <c r="BS169" s="24">
        <f t="shared" si="169"/>
        <v>1.0798839586591225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-5.6843418860808015E-14</v>
      </c>
      <c r="BZ169" s="14">
        <f>BY169*VLOOKUP('Données projet'!$B$12,Paramètres!$A$1:$I$89,3,0)*VLOOKUP('Données projet'!$B$12,Paramètres!$A$1:$I$89,5,0)</f>
        <v>-3.3992364478763198E-14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155.11440101086782</v>
      </c>
      <c r="CE169" s="62">
        <f t="shared" si="148"/>
        <v>239.53454701506638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0.91306033977632572</v>
      </c>
      <c r="CL169" s="23">
        <f>EXP(-LN(2)/25)*CL168+(1-EXP(-LN(2)/25))/(LN(2)/25)*Calculateur!CG169*Calculateur!CI169*VLOOKUP('Données projet'!$B$12,Paramètres!$A$1:$I$89,3,0)*0.475*44/12</f>
        <v>0.16682361888279679</v>
      </c>
      <c r="CM169" s="23">
        <f>EXP(-LN(2)/2)*CM168+(1-EXP(-LN(2)/2))/(LN(2)/2)*CG169*CJ169*VLOOKUP('Données projet'!$B$12,Paramètres!$A$1:$I$89,3,0)*0.475*44/12</f>
        <v>9.9914077761629144E-21</v>
      </c>
      <c r="CN169" s="24">
        <f t="shared" si="172"/>
        <v>1.0798839586591225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-1.1368683772161603E-13</v>
      </c>
      <c r="CU169" s="18">
        <f>CT169*VLOOKUP('Données projet'!$B$13,Paramètres!$A$1:$I$89,3,0)*VLOOKUP('Données projet'!$B$13,Paramètres!$A$1:$I$89,5,0)</f>
        <v>-9.2222762759774927E-14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191.03017979797141</v>
      </c>
      <c r="CZ169" s="62">
        <f t="shared" si="150"/>
        <v>222.78252111624278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-1.1368683772161603E-13</v>
      </c>
      <c r="DP169" s="18">
        <f>DO169*VLOOKUP('Données projet'!$B$14,Paramètres!$A$1:$I$89,3,0)*VLOOKUP('Données projet'!$B$14,Paramètres!$A$1:$I$89,5,0)</f>
        <v>-1.0818439477588981E-13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260.93525280373063</v>
      </c>
      <c r="DU169" s="62">
        <f t="shared" si="152"/>
        <v>206.83968452163816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>
        <f>EJ169*VLOOKUP('Données projet'!$B$15,Paramètres!$A$1:$I$89,3,0)*VLOOKUP('Données projet'!$B$15,Paramètres!$A$1:$I$89,5,0)</f>
        <v>0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118.01099353898547</v>
      </c>
      <c r="EP169" s="62">
        <f t="shared" si="154"/>
        <v>103.17146760845947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-9.6633812063373625E-13</v>
      </c>
      <c r="FF169" s="18">
        <f>FE169*VLOOKUP('Données projet'!$B$16,Paramètres!$A$1:$I$89,3,0)*VLOOKUP('Données projet'!$B$16,Paramètres!$A$1:$I$89,5,0)</f>
        <v>-9.6479197964072245E-13</v>
      </c>
      <c r="FG169" s="14" t="e">
        <f t="shared" si="182"/>
        <v>#NUM!</v>
      </c>
      <c r="FH169" s="22" t="e">
        <f t="shared" si="183"/>
        <v>#NUM!</v>
      </c>
      <c r="FI169" s="62" t="e">
        <f t="shared" si="131"/>
        <v>#NUM!</v>
      </c>
      <c r="FJ169" s="62">
        <f ca="1">AVERAGE(OFFSET($FI$3,0,0,'Données projet'!$E$16+1,1))-AVERAGE(OFFSET($H$3,0,0,'Données projet'!$E$16+1,1))</f>
        <v>343.71044073996887</v>
      </c>
      <c r="FK169" s="62">
        <f t="shared" si="156"/>
        <v>193.51732627292375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-9.6633812063373625E-13</v>
      </c>
      <c r="O170" s="14">
        <f>N170*VLOOKUP('Données projet'!$B$9,Paramètres!$A$1:$I$89,3,0)*VLOOKUP('Données projet'!$B$9,Paramètres!$A$1:$I$89,5,0)</f>
        <v>-8.7434273154940449E-13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303.73499739059076</v>
      </c>
      <c r="T170" s="62">
        <f t="shared" si="142"/>
        <v>172.32171001882188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-2.2737367544323206E-13</v>
      </c>
      <c r="AJ170" s="14">
        <f>AI170*VLOOKUP('Données projet'!$B$10,Paramètres!$A$1:$I$89,3,0)*VLOOKUP('Données projet'!$B$10,Paramètres!$A$1:$I$89,5,0)</f>
        <v>-1.6671037883497774E-13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215.66498680344858</v>
      </c>
      <c r="AO170" s="62">
        <f t="shared" si="144"/>
        <v>199.86715787211114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-5.6843418860808015E-14</v>
      </c>
      <c r="BE170" s="14">
        <f>BD170*VLOOKUP('Données projet'!$B$11,Paramètres!$A$1:$I$89,3,0)*VLOOKUP('Données projet'!$B$11,Paramètres!$A$1:$I$89,5,0)</f>
        <v>-3.3992364478763198E-14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155.11440101086782</v>
      </c>
      <c r="BJ170" s="62">
        <f t="shared" si="146"/>
        <v>239.53454701506638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0.8951557834251288</v>
      </c>
      <c r="BQ170" s="23">
        <f>EXP(-LN(2)/25)*BQ169+(1-EXP(-LN(2)/25))/(LN(2)/25)*Calculateur!BL170*Calculateur!BN170*VLOOKUP('Données projet'!$B$11,Paramètres!$A$1:$I$89,3,0)*0.475*44/12</f>
        <v>0.16226181825157387</v>
      </c>
      <c r="BR170" s="23">
        <f>EXP(-LN(2)/2)*BR169+(1-EXP(-LN(2)/2))/(LN(2)/2)*BL170*BO170*VLOOKUP('Données projet'!$B$11,Paramètres!$A$1:$I$89,3,0)*0.475*44/12</f>
        <v>7.0649921921247991E-21</v>
      </c>
      <c r="BS170" s="24">
        <f t="shared" si="169"/>
        <v>1.0574176016767027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-5.6843418860808015E-14</v>
      </c>
      <c r="BZ170" s="14">
        <f>BY170*VLOOKUP('Données projet'!$B$12,Paramètres!$A$1:$I$89,3,0)*VLOOKUP('Données projet'!$B$12,Paramètres!$A$1:$I$89,5,0)</f>
        <v>-3.3992364478763198E-14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155.11440101086782</v>
      </c>
      <c r="CE170" s="62">
        <f t="shared" si="148"/>
        <v>239.53454701506638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0.8951557834251288</v>
      </c>
      <c r="CL170" s="23">
        <f>EXP(-LN(2)/25)*CL169+(1-EXP(-LN(2)/25))/(LN(2)/25)*Calculateur!CG170*Calculateur!CI170*VLOOKUP('Données projet'!$B$12,Paramètres!$A$1:$I$89,3,0)*0.475*44/12</f>
        <v>0.16226181825157387</v>
      </c>
      <c r="CM170" s="23">
        <f>EXP(-LN(2)/2)*CM169+(1-EXP(-LN(2)/2))/(LN(2)/2)*CG170*CJ170*VLOOKUP('Données projet'!$B$12,Paramètres!$A$1:$I$89,3,0)*0.475*44/12</f>
        <v>7.0649921921247991E-21</v>
      </c>
      <c r="CN170" s="24">
        <f t="shared" si="172"/>
        <v>1.0574176016767027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-1.1368683772161603E-13</v>
      </c>
      <c r="CU170" s="18">
        <f>CT170*VLOOKUP('Données projet'!$B$13,Paramètres!$A$1:$I$89,3,0)*VLOOKUP('Données projet'!$B$13,Paramètres!$A$1:$I$89,5,0)</f>
        <v>-9.2222762759774927E-14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191.03017979797141</v>
      </c>
      <c r="CZ170" s="62">
        <f t="shared" si="150"/>
        <v>222.78252111624278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-1.1368683772161603E-13</v>
      </c>
      <c r="DP170" s="18">
        <f>DO170*VLOOKUP('Données projet'!$B$14,Paramètres!$A$1:$I$89,3,0)*VLOOKUP('Données projet'!$B$14,Paramètres!$A$1:$I$89,5,0)</f>
        <v>-1.0818439477588981E-13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260.93525280373063</v>
      </c>
      <c r="DU170" s="62">
        <f t="shared" si="152"/>
        <v>206.83968452163816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>
        <f>EJ170*VLOOKUP('Données projet'!$B$15,Paramètres!$A$1:$I$89,3,0)*VLOOKUP('Données projet'!$B$15,Paramètres!$A$1:$I$89,5,0)</f>
        <v>0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118.01099353898547</v>
      </c>
      <c r="EP170" s="62">
        <f t="shared" si="154"/>
        <v>103.17146760845947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-9.6633812063373625E-13</v>
      </c>
      <c r="FF170" s="18">
        <f>FE170*VLOOKUP('Données projet'!$B$16,Paramètres!$A$1:$I$89,3,0)*VLOOKUP('Données projet'!$B$16,Paramètres!$A$1:$I$89,5,0)</f>
        <v>-9.6479197964072245E-13</v>
      </c>
      <c r="FG170" s="14" t="e">
        <f t="shared" si="182"/>
        <v>#NUM!</v>
      </c>
      <c r="FH170" s="22" t="e">
        <f t="shared" si="183"/>
        <v>#NUM!</v>
      </c>
      <c r="FI170" s="62" t="e">
        <f t="shared" si="131"/>
        <v>#NUM!</v>
      </c>
      <c r="FJ170" s="62">
        <f ca="1">AVERAGE(OFFSET($FI$3,0,0,'Données projet'!$E$16+1,1))-AVERAGE(OFFSET($H$3,0,0,'Données projet'!$E$16+1,1))</f>
        <v>343.71044073996887</v>
      </c>
      <c r="FK170" s="62">
        <f t="shared" si="156"/>
        <v>193.51732627292375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-9.6633812063373625E-13</v>
      </c>
      <c r="O171" s="14">
        <f>N171*VLOOKUP('Données projet'!$B$9,Paramètres!$A$1:$I$89,3,0)*VLOOKUP('Données projet'!$B$9,Paramètres!$A$1:$I$89,5,0)</f>
        <v>-8.7434273154940449E-13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303.73499739059076</v>
      </c>
      <c r="T171" s="62">
        <f t="shared" si="142"/>
        <v>172.32171001882188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-2.2737367544323206E-13</v>
      </c>
      <c r="AJ171" s="14">
        <f>AI171*VLOOKUP('Données projet'!$B$10,Paramètres!$A$1:$I$89,3,0)*VLOOKUP('Données projet'!$B$10,Paramètres!$A$1:$I$89,5,0)</f>
        <v>-1.6671037883497774E-13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215.66498680344858</v>
      </c>
      <c r="AO171" s="62">
        <f t="shared" si="144"/>
        <v>199.86715787211114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-5.6843418860808015E-14</v>
      </c>
      <c r="BE171" s="14">
        <f>BD171*VLOOKUP('Données projet'!$B$11,Paramètres!$A$1:$I$89,3,0)*VLOOKUP('Données projet'!$B$11,Paramètres!$A$1:$I$89,5,0)</f>
        <v>-3.3992364478763198E-14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155.11440101086782</v>
      </c>
      <c r="BJ171" s="62">
        <f t="shared" si="146"/>
        <v>239.53454701506638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0.8776023245032778</v>
      </c>
      <c r="BQ171" s="23">
        <f>EXP(-LN(2)/25)*BQ170+(1-EXP(-LN(2)/25))/(LN(2)/25)*Calculateur!BL171*Calculateur!BN171*VLOOKUP('Données projet'!$B$11,Paramètres!$A$1:$I$89,3,0)*0.475*44/12</f>
        <v>0.15782476029850642</v>
      </c>
      <c r="BR171" s="23">
        <f>EXP(-LN(2)/2)*BR170+(1-EXP(-LN(2)/2))/(LN(2)/2)*BL171*BO171*VLOOKUP('Données projet'!$B$11,Paramètres!$A$1:$I$89,3,0)*0.475*44/12</f>
        <v>4.9957038880814572E-21</v>
      </c>
      <c r="BS171" s="24">
        <f t="shared" si="169"/>
        <v>1.0354270848017841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-5.6843418860808015E-14</v>
      </c>
      <c r="BZ171" s="14">
        <f>BY171*VLOOKUP('Données projet'!$B$12,Paramètres!$A$1:$I$89,3,0)*VLOOKUP('Données projet'!$B$12,Paramètres!$A$1:$I$89,5,0)</f>
        <v>-3.3992364478763198E-14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155.11440101086782</v>
      </c>
      <c r="CE171" s="62">
        <f t="shared" si="148"/>
        <v>239.53454701506638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0.8776023245032778</v>
      </c>
      <c r="CL171" s="23">
        <f>EXP(-LN(2)/25)*CL170+(1-EXP(-LN(2)/25))/(LN(2)/25)*Calculateur!CG171*Calculateur!CI171*VLOOKUP('Données projet'!$B$12,Paramètres!$A$1:$I$89,3,0)*0.475*44/12</f>
        <v>0.15782476029850642</v>
      </c>
      <c r="CM171" s="23">
        <f>EXP(-LN(2)/2)*CM170+(1-EXP(-LN(2)/2))/(LN(2)/2)*CG171*CJ171*VLOOKUP('Données projet'!$B$12,Paramètres!$A$1:$I$89,3,0)*0.475*44/12</f>
        <v>4.9957038880814572E-21</v>
      </c>
      <c r="CN171" s="24">
        <f t="shared" si="172"/>
        <v>1.0354270848017841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-1.1368683772161603E-13</v>
      </c>
      <c r="CU171" s="18">
        <f>CT171*VLOOKUP('Données projet'!$B$13,Paramètres!$A$1:$I$89,3,0)*VLOOKUP('Données projet'!$B$13,Paramètres!$A$1:$I$89,5,0)</f>
        <v>-9.2222762759774927E-14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191.03017979797141</v>
      </c>
      <c r="CZ171" s="62">
        <f t="shared" si="150"/>
        <v>222.78252111624278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-1.1368683772161603E-13</v>
      </c>
      <c r="DP171" s="18">
        <f>DO171*VLOOKUP('Données projet'!$B$14,Paramètres!$A$1:$I$89,3,0)*VLOOKUP('Données projet'!$B$14,Paramètres!$A$1:$I$89,5,0)</f>
        <v>-1.0818439477588981E-13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260.93525280373063</v>
      </c>
      <c r="DU171" s="62">
        <f t="shared" si="152"/>
        <v>206.83968452163816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>
        <f>EJ171*VLOOKUP('Données projet'!$B$15,Paramètres!$A$1:$I$89,3,0)*VLOOKUP('Données projet'!$B$15,Paramètres!$A$1:$I$89,5,0)</f>
        <v>0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118.01099353898547</v>
      </c>
      <c r="EP171" s="62">
        <f t="shared" si="154"/>
        <v>103.17146760845947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-9.6633812063373625E-13</v>
      </c>
      <c r="FF171" s="18">
        <f>FE171*VLOOKUP('Données projet'!$B$16,Paramètres!$A$1:$I$89,3,0)*VLOOKUP('Données projet'!$B$16,Paramètres!$A$1:$I$89,5,0)</f>
        <v>-9.6479197964072245E-13</v>
      </c>
      <c r="FG171" s="14" t="e">
        <f t="shared" si="182"/>
        <v>#NUM!</v>
      </c>
      <c r="FH171" s="22" t="e">
        <f t="shared" si="183"/>
        <v>#NUM!</v>
      </c>
      <c r="FI171" s="62" t="e">
        <f t="shared" si="131"/>
        <v>#NUM!</v>
      </c>
      <c r="FJ171" s="62">
        <f ca="1">AVERAGE(OFFSET($FI$3,0,0,'Données projet'!$E$16+1,1))-AVERAGE(OFFSET($H$3,0,0,'Données projet'!$E$16+1,1))</f>
        <v>343.71044073996887</v>
      </c>
      <c r="FK171" s="62">
        <f t="shared" si="156"/>
        <v>193.51732627292375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-9.6633812063373625E-13</v>
      </c>
      <c r="O172" s="14">
        <f>N172*VLOOKUP('Données projet'!$B$9,Paramètres!$A$1:$I$89,3,0)*VLOOKUP('Données projet'!$B$9,Paramètres!$A$1:$I$89,5,0)</f>
        <v>-8.7434273154940449E-13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303.73499739059076</v>
      </c>
      <c r="T172" s="62">
        <f t="shared" si="142"/>
        <v>172.32171001882188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-2.2737367544323206E-13</v>
      </c>
      <c r="AJ172" s="14">
        <f>AI172*VLOOKUP('Données projet'!$B$10,Paramètres!$A$1:$I$89,3,0)*VLOOKUP('Données projet'!$B$10,Paramètres!$A$1:$I$89,5,0)</f>
        <v>-1.6671037883497774E-13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215.66498680344858</v>
      </c>
      <c r="AO172" s="62">
        <f t="shared" si="144"/>
        <v>199.86715787211114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-5.6843418860808015E-14</v>
      </c>
      <c r="BE172" s="14">
        <f>BD172*VLOOKUP('Données projet'!$B$11,Paramètres!$A$1:$I$89,3,0)*VLOOKUP('Données projet'!$B$11,Paramètres!$A$1:$I$89,5,0)</f>
        <v>-3.3992364478763198E-14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155.11440101086782</v>
      </c>
      <c r="BJ172" s="62">
        <f t="shared" si="146"/>
        <v>239.53454701506638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0.86039307820433153</v>
      </c>
      <c r="BQ172" s="23">
        <f>EXP(-LN(2)/25)*BQ171+(1-EXP(-LN(2)/25))/(LN(2)/25)*Calculateur!BL172*Calculateur!BN172*VLOOKUP('Données projet'!$B$11,Paramètres!$A$1:$I$89,3,0)*0.475*44/12</f>
        <v>0.15350903392850032</v>
      </c>
      <c r="BR172" s="23">
        <f>EXP(-LN(2)/2)*BR171+(1-EXP(-LN(2)/2))/(LN(2)/2)*BL172*BO172*VLOOKUP('Données projet'!$B$11,Paramètres!$A$1:$I$89,3,0)*0.475*44/12</f>
        <v>3.5324960960623995E-21</v>
      </c>
      <c r="BS172" s="24">
        <f t="shared" si="169"/>
        <v>1.0139021121328318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-5.6843418860808015E-14</v>
      </c>
      <c r="BZ172" s="14">
        <f>BY172*VLOOKUP('Données projet'!$B$12,Paramètres!$A$1:$I$89,3,0)*VLOOKUP('Données projet'!$B$12,Paramètres!$A$1:$I$89,5,0)</f>
        <v>-3.3992364478763198E-14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155.11440101086782</v>
      </c>
      <c r="CE172" s="62">
        <f t="shared" si="148"/>
        <v>239.53454701506638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0.86039307820433153</v>
      </c>
      <c r="CL172" s="23">
        <f>EXP(-LN(2)/25)*CL171+(1-EXP(-LN(2)/25))/(LN(2)/25)*Calculateur!CG172*Calculateur!CI172*VLOOKUP('Données projet'!$B$12,Paramètres!$A$1:$I$89,3,0)*0.475*44/12</f>
        <v>0.15350903392850032</v>
      </c>
      <c r="CM172" s="23">
        <f>EXP(-LN(2)/2)*CM171+(1-EXP(-LN(2)/2))/(LN(2)/2)*CG172*CJ172*VLOOKUP('Données projet'!$B$12,Paramètres!$A$1:$I$89,3,0)*0.475*44/12</f>
        <v>3.5324960960623995E-21</v>
      </c>
      <c r="CN172" s="24">
        <f t="shared" si="172"/>
        <v>1.0139021121328318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-1.1368683772161603E-13</v>
      </c>
      <c r="CU172" s="18">
        <f>CT172*VLOOKUP('Données projet'!$B$13,Paramètres!$A$1:$I$89,3,0)*VLOOKUP('Données projet'!$B$13,Paramètres!$A$1:$I$89,5,0)</f>
        <v>-9.2222762759774927E-14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191.03017979797141</v>
      </c>
      <c r="CZ172" s="62">
        <f t="shared" si="150"/>
        <v>222.78252111624278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-1.1368683772161603E-13</v>
      </c>
      <c r="DP172" s="18">
        <f>DO172*VLOOKUP('Données projet'!$B$14,Paramètres!$A$1:$I$89,3,0)*VLOOKUP('Données projet'!$B$14,Paramètres!$A$1:$I$89,5,0)</f>
        <v>-1.0818439477588981E-13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260.93525280373063</v>
      </c>
      <c r="DU172" s="62">
        <f t="shared" si="152"/>
        <v>206.83968452163816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>
        <f>EJ172*VLOOKUP('Données projet'!$B$15,Paramètres!$A$1:$I$89,3,0)*VLOOKUP('Données projet'!$B$15,Paramètres!$A$1:$I$89,5,0)</f>
        <v>0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118.01099353898547</v>
      </c>
      <c r="EP172" s="62">
        <f t="shared" si="154"/>
        <v>103.17146760845947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-9.6633812063373625E-13</v>
      </c>
      <c r="FF172" s="18">
        <f>FE172*VLOOKUP('Données projet'!$B$16,Paramètres!$A$1:$I$89,3,0)*VLOOKUP('Données projet'!$B$16,Paramètres!$A$1:$I$89,5,0)</f>
        <v>-9.6479197964072245E-13</v>
      </c>
      <c r="FG172" s="14" t="e">
        <f t="shared" si="182"/>
        <v>#NUM!</v>
      </c>
      <c r="FH172" s="22" t="e">
        <f t="shared" si="183"/>
        <v>#NUM!</v>
      </c>
      <c r="FI172" s="62" t="e">
        <f t="shared" si="131"/>
        <v>#NUM!</v>
      </c>
      <c r="FJ172" s="62">
        <f ca="1">AVERAGE(OFFSET($FI$3,0,0,'Données projet'!$E$16+1,1))-AVERAGE(OFFSET($H$3,0,0,'Données projet'!$E$16+1,1))</f>
        <v>343.71044073996887</v>
      </c>
      <c r="FK172" s="62">
        <f t="shared" si="156"/>
        <v>193.51732627292375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-9.6633812063373625E-13</v>
      </c>
      <c r="O173" s="14">
        <f>N173*VLOOKUP('Données projet'!$B$9,Paramètres!$A$1:$I$89,3,0)*VLOOKUP('Données projet'!$B$9,Paramètres!$A$1:$I$89,5,0)</f>
        <v>-8.7434273154940449E-13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303.73499739059076</v>
      </c>
      <c r="T173" s="62">
        <f t="shared" si="142"/>
        <v>172.32171001882188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-2.2737367544323206E-13</v>
      </c>
      <c r="AJ173" s="14">
        <f>AI173*VLOOKUP('Données projet'!$B$10,Paramètres!$A$1:$I$89,3,0)*VLOOKUP('Données projet'!$B$10,Paramètres!$A$1:$I$89,5,0)</f>
        <v>-1.6671037883497774E-13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215.66498680344858</v>
      </c>
      <c r="AO173" s="62">
        <f t="shared" si="144"/>
        <v>199.86715787211114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-5.6843418860808015E-14</v>
      </c>
      <c r="BE173" s="14">
        <f>BD173*VLOOKUP('Données projet'!$B$11,Paramètres!$A$1:$I$89,3,0)*VLOOKUP('Données projet'!$B$11,Paramètres!$A$1:$I$89,5,0)</f>
        <v>-3.3992364478763198E-14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155.11440101086782</v>
      </c>
      <c r="BJ173" s="62">
        <f t="shared" si="146"/>
        <v>239.53454701506638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0.84352129472870374</v>
      </c>
      <c r="BQ173" s="23">
        <f>EXP(-LN(2)/25)*BQ172+(1-EXP(-LN(2)/25))/(LN(2)/25)*Calculateur!BL173*Calculateur!BN173*VLOOKUP('Données projet'!$B$11,Paramètres!$A$1:$I$89,3,0)*0.475*44/12</f>
        <v>0.14931132132303623</v>
      </c>
      <c r="BR173" s="23">
        <f>EXP(-LN(2)/2)*BR172+(1-EXP(-LN(2)/2))/(LN(2)/2)*BL173*BO173*VLOOKUP('Données projet'!$B$11,Paramètres!$A$1:$I$89,3,0)*0.475*44/12</f>
        <v>2.4978519440407286E-21</v>
      </c>
      <c r="BS173" s="24">
        <f t="shared" si="169"/>
        <v>0.99283261605174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-5.6843418860808015E-14</v>
      </c>
      <c r="BZ173" s="14">
        <f>BY173*VLOOKUP('Données projet'!$B$12,Paramètres!$A$1:$I$89,3,0)*VLOOKUP('Données projet'!$B$12,Paramètres!$A$1:$I$89,5,0)</f>
        <v>-3.3992364478763198E-14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155.11440101086782</v>
      </c>
      <c r="CE173" s="62">
        <f t="shared" si="148"/>
        <v>239.53454701506638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0.84352129472870374</v>
      </c>
      <c r="CL173" s="23">
        <f>EXP(-LN(2)/25)*CL172+(1-EXP(-LN(2)/25))/(LN(2)/25)*Calculateur!CG173*Calculateur!CI173*VLOOKUP('Données projet'!$B$12,Paramètres!$A$1:$I$89,3,0)*0.475*44/12</f>
        <v>0.14931132132303623</v>
      </c>
      <c r="CM173" s="23">
        <f>EXP(-LN(2)/2)*CM172+(1-EXP(-LN(2)/2))/(LN(2)/2)*CG173*CJ173*VLOOKUP('Données projet'!$B$12,Paramètres!$A$1:$I$89,3,0)*0.475*44/12</f>
        <v>2.4978519440407286E-21</v>
      </c>
      <c r="CN173" s="24">
        <f t="shared" si="172"/>
        <v>0.99283261605174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-1.1368683772161603E-13</v>
      </c>
      <c r="CU173" s="18">
        <f>CT173*VLOOKUP('Données projet'!$B$13,Paramètres!$A$1:$I$89,3,0)*VLOOKUP('Données projet'!$B$13,Paramètres!$A$1:$I$89,5,0)</f>
        <v>-9.2222762759774927E-14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191.03017979797141</v>
      </c>
      <c r="CZ173" s="62">
        <f t="shared" si="150"/>
        <v>222.78252111624278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-1.1368683772161603E-13</v>
      </c>
      <c r="DP173" s="18">
        <f>DO173*VLOOKUP('Données projet'!$B$14,Paramètres!$A$1:$I$89,3,0)*VLOOKUP('Données projet'!$B$14,Paramètres!$A$1:$I$89,5,0)</f>
        <v>-1.0818439477588981E-13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260.93525280373063</v>
      </c>
      <c r="DU173" s="62">
        <f t="shared" si="152"/>
        <v>206.83968452163816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>
        <f>EJ173*VLOOKUP('Données projet'!$B$15,Paramètres!$A$1:$I$89,3,0)*VLOOKUP('Données projet'!$B$15,Paramètres!$A$1:$I$89,5,0)</f>
        <v>0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118.01099353898547</v>
      </c>
      <c r="EP173" s="62">
        <f t="shared" si="154"/>
        <v>103.17146760845947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-9.6633812063373625E-13</v>
      </c>
      <c r="FF173" s="18">
        <f>FE173*VLOOKUP('Données projet'!$B$16,Paramètres!$A$1:$I$89,3,0)*VLOOKUP('Données projet'!$B$16,Paramètres!$A$1:$I$89,5,0)</f>
        <v>-9.6479197964072245E-13</v>
      </c>
      <c r="FG173" s="14" t="e">
        <f t="shared" si="182"/>
        <v>#NUM!</v>
      </c>
      <c r="FH173" s="22" t="e">
        <f t="shared" si="183"/>
        <v>#NUM!</v>
      </c>
      <c r="FI173" s="62" t="e">
        <f t="shared" si="131"/>
        <v>#NUM!</v>
      </c>
      <c r="FJ173" s="62">
        <f ca="1">AVERAGE(OFFSET($FI$3,0,0,'Données projet'!$E$16+1,1))-AVERAGE(OFFSET($H$3,0,0,'Données projet'!$E$16+1,1))</f>
        <v>343.71044073996887</v>
      </c>
      <c r="FK173" s="62">
        <f t="shared" si="156"/>
        <v>193.51732627292375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-9.6633812063373625E-13</v>
      </c>
      <c r="O174" s="14">
        <f>N174*VLOOKUP('Données projet'!$B$9,Paramètres!$A$1:$I$89,3,0)*VLOOKUP('Données projet'!$B$9,Paramètres!$A$1:$I$89,5,0)</f>
        <v>-8.7434273154940449E-13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303.73499739059076</v>
      </c>
      <c r="T174" s="62">
        <f t="shared" si="142"/>
        <v>172.32171001882188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-2.2737367544323206E-13</v>
      </c>
      <c r="AJ174" s="14">
        <f>AI174*VLOOKUP('Données projet'!$B$10,Paramètres!$A$1:$I$89,3,0)*VLOOKUP('Données projet'!$B$10,Paramètres!$A$1:$I$89,5,0)</f>
        <v>-1.6671037883497774E-13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215.66498680344858</v>
      </c>
      <c r="AO174" s="62">
        <f t="shared" si="144"/>
        <v>199.86715787211114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-5.6843418860808015E-14</v>
      </c>
      <c r="BE174" s="14">
        <f>BD174*VLOOKUP('Données projet'!$B$11,Paramètres!$A$1:$I$89,3,0)*VLOOKUP('Données projet'!$B$11,Paramètres!$A$1:$I$89,5,0)</f>
        <v>-3.3992364478763198E-14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155.11440101086782</v>
      </c>
      <c r="BJ174" s="62">
        <f t="shared" si="146"/>
        <v>239.53454701506638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0.82698035663626124</v>
      </c>
      <c r="BQ174" s="23">
        <f>EXP(-LN(2)/25)*BQ173+(1-EXP(-LN(2)/25))/(LN(2)/25)*Calculateur!BL174*Calculateur!BN174*VLOOKUP('Données projet'!$B$11,Paramètres!$A$1:$I$89,3,0)*0.475*44/12</f>
        <v>0.14522839538951668</v>
      </c>
      <c r="BR174" s="23">
        <f>EXP(-LN(2)/2)*BR173+(1-EXP(-LN(2)/2))/(LN(2)/2)*BL174*BO174*VLOOKUP('Données projet'!$B$11,Paramètres!$A$1:$I$89,3,0)*0.475*44/12</f>
        <v>1.7662480480311998E-21</v>
      </c>
      <c r="BS174" s="24">
        <f t="shared" si="169"/>
        <v>0.97220875202577794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-5.6843418860808015E-14</v>
      </c>
      <c r="BZ174" s="14">
        <f>BY174*VLOOKUP('Données projet'!$B$12,Paramètres!$A$1:$I$89,3,0)*VLOOKUP('Données projet'!$B$12,Paramètres!$A$1:$I$89,5,0)</f>
        <v>-3.3992364478763198E-14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155.11440101086782</v>
      </c>
      <c r="CE174" s="62">
        <f t="shared" si="148"/>
        <v>239.53454701506638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0.82698035663626124</v>
      </c>
      <c r="CL174" s="23">
        <f>EXP(-LN(2)/25)*CL173+(1-EXP(-LN(2)/25))/(LN(2)/25)*Calculateur!CG174*Calculateur!CI174*VLOOKUP('Données projet'!$B$12,Paramètres!$A$1:$I$89,3,0)*0.475*44/12</f>
        <v>0.14522839538951668</v>
      </c>
      <c r="CM174" s="23">
        <f>EXP(-LN(2)/2)*CM173+(1-EXP(-LN(2)/2))/(LN(2)/2)*CG174*CJ174*VLOOKUP('Données projet'!$B$12,Paramètres!$A$1:$I$89,3,0)*0.475*44/12</f>
        <v>1.7662480480311998E-21</v>
      </c>
      <c r="CN174" s="24">
        <f t="shared" si="172"/>
        <v>0.97220875202577794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-1.1368683772161603E-13</v>
      </c>
      <c r="CU174" s="18">
        <f>CT174*VLOOKUP('Données projet'!$B$13,Paramètres!$A$1:$I$89,3,0)*VLOOKUP('Données projet'!$B$13,Paramètres!$A$1:$I$89,5,0)</f>
        <v>-9.2222762759774927E-14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191.03017979797141</v>
      </c>
      <c r="CZ174" s="62">
        <f t="shared" si="150"/>
        <v>222.78252111624278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-1.1368683772161603E-13</v>
      </c>
      <c r="DP174" s="18">
        <f>DO174*VLOOKUP('Données projet'!$B$14,Paramètres!$A$1:$I$89,3,0)*VLOOKUP('Données projet'!$B$14,Paramètres!$A$1:$I$89,5,0)</f>
        <v>-1.0818439477588981E-13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260.93525280373063</v>
      </c>
      <c r="DU174" s="62">
        <f t="shared" si="152"/>
        <v>206.83968452163816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>
        <f>EJ174*VLOOKUP('Données projet'!$B$15,Paramètres!$A$1:$I$89,3,0)*VLOOKUP('Données projet'!$B$15,Paramètres!$A$1:$I$89,5,0)</f>
        <v>0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118.01099353898547</v>
      </c>
      <c r="EP174" s="62">
        <f t="shared" si="154"/>
        <v>103.17146760845947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-9.6633812063373625E-13</v>
      </c>
      <c r="FF174" s="18">
        <f>FE174*VLOOKUP('Données projet'!$B$16,Paramètres!$A$1:$I$89,3,0)*VLOOKUP('Données projet'!$B$16,Paramètres!$A$1:$I$89,5,0)</f>
        <v>-9.6479197964072245E-13</v>
      </c>
      <c r="FG174" s="14" t="e">
        <f t="shared" si="182"/>
        <v>#NUM!</v>
      </c>
      <c r="FH174" s="22" t="e">
        <f t="shared" si="183"/>
        <v>#NUM!</v>
      </c>
      <c r="FI174" s="62" t="e">
        <f t="shared" si="131"/>
        <v>#NUM!</v>
      </c>
      <c r="FJ174" s="62">
        <f ca="1">AVERAGE(OFFSET($FI$3,0,0,'Données projet'!$E$16+1,1))-AVERAGE(OFFSET($H$3,0,0,'Données projet'!$E$16+1,1))</f>
        <v>343.71044073996887</v>
      </c>
      <c r="FK174" s="62">
        <f t="shared" si="156"/>
        <v>193.51732627292375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-9.6633812063373625E-13</v>
      </c>
      <c r="O175" s="14">
        <f>N175*VLOOKUP('Données projet'!$B$9,Paramètres!$A$1:$I$89,3,0)*VLOOKUP('Données projet'!$B$9,Paramètres!$A$1:$I$89,5,0)</f>
        <v>-8.7434273154940449E-13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303.73499739059076</v>
      </c>
      <c r="T175" s="62">
        <f t="shared" si="142"/>
        <v>172.32171001882188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-2.2737367544323206E-13</v>
      </c>
      <c r="AJ175" s="14">
        <f>AI175*VLOOKUP('Données projet'!$B$10,Paramètres!$A$1:$I$89,3,0)*VLOOKUP('Données projet'!$B$10,Paramètres!$A$1:$I$89,5,0)</f>
        <v>-1.6671037883497774E-13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215.66498680344858</v>
      </c>
      <c r="AO175" s="62">
        <f t="shared" si="144"/>
        <v>199.86715787211114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-5.6843418860808015E-14</v>
      </c>
      <c r="BE175" s="14">
        <f>BD175*VLOOKUP('Données projet'!$B$11,Paramètres!$A$1:$I$89,3,0)*VLOOKUP('Données projet'!$B$11,Paramètres!$A$1:$I$89,5,0)</f>
        <v>-3.3992364478763198E-14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155.11440101086782</v>
      </c>
      <c r="BJ175" s="62">
        <f t="shared" si="146"/>
        <v>239.53454701506638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0.81076377625083551</v>
      </c>
      <c r="BQ175" s="23">
        <f>EXP(-LN(2)/25)*BQ174+(1-EXP(-LN(2)/25))/(LN(2)/25)*Calculateur!BL175*Calculateur!BN175*VLOOKUP('Données projet'!$B$11,Paramètres!$A$1:$I$89,3,0)*0.475*44/12</f>
        <v>0.14125711728036094</v>
      </c>
      <c r="BR175" s="23">
        <f>EXP(-LN(2)/2)*BR174+(1-EXP(-LN(2)/2))/(LN(2)/2)*BL175*BO175*VLOOKUP('Données projet'!$B$11,Paramètres!$A$1:$I$89,3,0)*0.475*44/12</f>
        <v>1.2489259720203643E-21</v>
      </c>
      <c r="BS175" s="24">
        <f t="shared" si="169"/>
        <v>0.95202089353119645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-5.6843418860808015E-14</v>
      </c>
      <c r="BZ175" s="14">
        <f>BY175*VLOOKUP('Données projet'!$B$12,Paramètres!$A$1:$I$89,3,0)*VLOOKUP('Données projet'!$B$12,Paramètres!$A$1:$I$89,5,0)</f>
        <v>-3.3992364478763198E-14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155.11440101086782</v>
      </c>
      <c r="CE175" s="62">
        <f t="shared" si="148"/>
        <v>239.53454701506638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0.81076377625083551</v>
      </c>
      <c r="CL175" s="23">
        <f>EXP(-LN(2)/25)*CL174+(1-EXP(-LN(2)/25))/(LN(2)/25)*Calculateur!CG175*Calculateur!CI175*VLOOKUP('Données projet'!$B$12,Paramètres!$A$1:$I$89,3,0)*0.475*44/12</f>
        <v>0.14125711728036094</v>
      </c>
      <c r="CM175" s="23">
        <f>EXP(-LN(2)/2)*CM174+(1-EXP(-LN(2)/2))/(LN(2)/2)*CG175*CJ175*VLOOKUP('Données projet'!$B$12,Paramètres!$A$1:$I$89,3,0)*0.475*44/12</f>
        <v>1.2489259720203643E-21</v>
      </c>
      <c r="CN175" s="24">
        <f t="shared" si="172"/>
        <v>0.95202089353119645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-1.1368683772161603E-13</v>
      </c>
      <c r="CU175" s="18">
        <f>CT175*VLOOKUP('Données projet'!$B$13,Paramètres!$A$1:$I$89,3,0)*VLOOKUP('Données projet'!$B$13,Paramètres!$A$1:$I$89,5,0)</f>
        <v>-9.2222762759774927E-14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191.03017979797141</v>
      </c>
      <c r="CZ175" s="62">
        <f t="shared" si="150"/>
        <v>222.78252111624278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-1.1368683772161603E-13</v>
      </c>
      <c r="DP175" s="18">
        <f>DO175*VLOOKUP('Données projet'!$B$14,Paramètres!$A$1:$I$89,3,0)*VLOOKUP('Données projet'!$B$14,Paramètres!$A$1:$I$89,5,0)</f>
        <v>-1.0818439477588981E-13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260.93525280373063</v>
      </c>
      <c r="DU175" s="62">
        <f t="shared" si="152"/>
        <v>206.83968452163816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>
        <f>EJ175*VLOOKUP('Données projet'!$B$15,Paramètres!$A$1:$I$89,3,0)*VLOOKUP('Données projet'!$B$15,Paramètres!$A$1:$I$89,5,0)</f>
        <v>0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118.01099353898547</v>
      </c>
      <c r="EP175" s="62">
        <f t="shared" si="154"/>
        <v>103.17146760845947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-9.6633812063373625E-13</v>
      </c>
      <c r="FF175" s="18">
        <f>FE175*VLOOKUP('Données projet'!$B$16,Paramètres!$A$1:$I$89,3,0)*VLOOKUP('Données projet'!$B$16,Paramètres!$A$1:$I$89,5,0)</f>
        <v>-9.6479197964072245E-13</v>
      </c>
      <c r="FG175" s="14" t="e">
        <f t="shared" si="182"/>
        <v>#NUM!</v>
      </c>
      <c r="FH175" s="22" t="e">
        <f t="shared" si="183"/>
        <v>#NUM!</v>
      </c>
      <c r="FI175" s="62" t="e">
        <f t="shared" si="131"/>
        <v>#NUM!</v>
      </c>
      <c r="FJ175" s="62">
        <f ca="1">AVERAGE(OFFSET($FI$3,0,0,'Données projet'!$E$16+1,1))-AVERAGE(OFFSET($H$3,0,0,'Données projet'!$E$16+1,1))</f>
        <v>343.71044073996887</v>
      </c>
      <c r="FK175" s="62">
        <f t="shared" si="156"/>
        <v>193.51732627292375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-9.6633812063373625E-13</v>
      </c>
      <c r="O176" s="14">
        <f>N176*VLOOKUP('Données projet'!$B$9,Paramètres!$A$1:$I$89,3,0)*VLOOKUP('Données projet'!$B$9,Paramètres!$A$1:$I$89,5,0)</f>
        <v>-8.7434273154940449E-13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303.73499739059076</v>
      </c>
      <c r="T176" s="62">
        <f t="shared" si="142"/>
        <v>172.32171001882188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-2.2737367544323206E-13</v>
      </c>
      <c r="AJ176" s="14">
        <f>AI176*VLOOKUP('Données projet'!$B$10,Paramètres!$A$1:$I$89,3,0)*VLOOKUP('Données projet'!$B$10,Paramètres!$A$1:$I$89,5,0)</f>
        <v>-1.6671037883497774E-13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215.66498680344858</v>
      </c>
      <c r="AO176" s="62">
        <f t="shared" si="144"/>
        <v>199.86715787211114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-5.6843418860808015E-14</v>
      </c>
      <c r="BE176" s="14">
        <f>BD176*VLOOKUP('Données projet'!$B$11,Paramètres!$A$1:$I$89,3,0)*VLOOKUP('Données projet'!$B$11,Paramètres!$A$1:$I$89,5,0)</f>
        <v>-3.3992364478763198E-14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155.11440101086782</v>
      </c>
      <c r="BJ176" s="62">
        <f t="shared" si="146"/>
        <v>239.53454701506638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0.79486519311563064</v>
      </c>
      <c r="BQ176" s="23">
        <f>EXP(-LN(2)/25)*BQ175+(1-EXP(-LN(2)/25))/(LN(2)/25)*Calculateur!BL176*Calculateur!BN176*VLOOKUP('Données projet'!$B$11,Paramètres!$A$1:$I$89,3,0)*0.475*44/12</f>
        <v>0.13739443397994053</v>
      </c>
      <c r="BR176" s="23">
        <f>EXP(-LN(2)/2)*BR175+(1-EXP(-LN(2)/2))/(LN(2)/2)*BL176*BO176*VLOOKUP('Données projet'!$B$11,Paramètres!$A$1:$I$89,3,0)*0.475*44/12</f>
        <v>8.8312402401559989E-22</v>
      </c>
      <c r="BS176" s="24">
        <f t="shared" si="169"/>
        <v>0.9322596270955712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-5.6843418860808015E-14</v>
      </c>
      <c r="BZ176" s="14">
        <f>BY176*VLOOKUP('Données projet'!$B$12,Paramètres!$A$1:$I$89,3,0)*VLOOKUP('Données projet'!$B$12,Paramètres!$A$1:$I$89,5,0)</f>
        <v>-3.3992364478763198E-14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155.11440101086782</v>
      </c>
      <c r="CE176" s="62">
        <f t="shared" si="148"/>
        <v>239.53454701506638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0.79486519311563064</v>
      </c>
      <c r="CL176" s="23">
        <f>EXP(-LN(2)/25)*CL175+(1-EXP(-LN(2)/25))/(LN(2)/25)*Calculateur!CG176*Calculateur!CI176*VLOOKUP('Données projet'!$B$12,Paramètres!$A$1:$I$89,3,0)*0.475*44/12</f>
        <v>0.13739443397994053</v>
      </c>
      <c r="CM176" s="23">
        <f>EXP(-LN(2)/2)*CM175+(1-EXP(-LN(2)/2))/(LN(2)/2)*CG176*CJ176*VLOOKUP('Données projet'!$B$12,Paramètres!$A$1:$I$89,3,0)*0.475*44/12</f>
        <v>8.8312402401559989E-22</v>
      </c>
      <c r="CN176" s="24">
        <f t="shared" si="172"/>
        <v>0.9322596270955712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-1.1368683772161603E-13</v>
      </c>
      <c r="CU176" s="18">
        <f>CT176*VLOOKUP('Données projet'!$B$13,Paramètres!$A$1:$I$89,3,0)*VLOOKUP('Données projet'!$B$13,Paramètres!$A$1:$I$89,5,0)</f>
        <v>-9.2222762759774927E-14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191.03017979797141</v>
      </c>
      <c r="CZ176" s="62">
        <f t="shared" si="150"/>
        <v>222.78252111624278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-1.1368683772161603E-13</v>
      </c>
      <c r="DP176" s="18">
        <f>DO176*VLOOKUP('Données projet'!$B$14,Paramètres!$A$1:$I$89,3,0)*VLOOKUP('Données projet'!$B$14,Paramètres!$A$1:$I$89,5,0)</f>
        <v>-1.0818439477588981E-13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260.93525280373063</v>
      </c>
      <c r="DU176" s="62">
        <f t="shared" si="152"/>
        <v>206.83968452163816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>
        <f>EJ176*VLOOKUP('Données projet'!$B$15,Paramètres!$A$1:$I$89,3,0)*VLOOKUP('Données projet'!$B$15,Paramètres!$A$1:$I$89,5,0)</f>
        <v>0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118.01099353898547</v>
      </c>
      <c r="EP176" s="62">
        <f t="shared" si="154"/>
        <v>103.17146760845947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-9.6633812063373625E-13</v>
      </c>
      <c r="FF176" s="18">
        <f>FE176*VLOOKUP('Données projet'!$B$16,Paramètres!$A$1:$I$89,3,0)*VLOOKUP('Données projet'!$B$16,Paramètres!$A$1:$I$89,5,0)</f>
        <v>-9.6479197964072245E-13</v>
      </c>
      <c r="FG176" s="14" t="e">
        <f t="shared" si="182"/>
        <v>#NUM!</v>
      </c>
      <c r="FH176" s="22" t="e">
        <f t="shared" si="183"/>
        <v>#NUM!</v>
      </c>
      <c r="FI176" s="62" t="e">
        <f t="shared" si="131"/>
        <v>#NUM!</v>
      </c>
      <c r="FJ176" s="62">
        <f ca="1">AVERAGE(OFFSET($FI$3,0,0,'Données projet'!$E$16+1,1))-AVERAGE(OFFSET($H$3,0,0,'Données projet'!$E$16+1,1))</f>
        <v>343.71044073996887</v>
      </c>
      <c r="FK176" s="62">
        <f t="shared" si="156"/>
        <v>193.51732627292375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-9.6633812063373625E-13</v>
      </c>
      <c r="O177" s="14">
        <f>N177*VLOOKUP('Données projet'!$B$9,Paramètres!$A$1:$I$89,3,0)*VLOOKUP('Données projet'!$B$9,Paramètres!$A$1:$I$89,5,0)</f>
        <v>-8.7434273154940449E-13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303.73499739059076</v>
      </c>
      <c r="T177" s="62">
        <f t="shared" si="142"/>
        <v>172.32171001882188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-2.2737367544323206E-13</v>
      </c>
      <c r="AJ177" s="14">
        <f>AI177*VLOOKUP('Données projet'!$B$10,Paramètres!$A$1:$I$89,3,0)*VLOOKUP('Données projet'!$B$10,Paramètres!$A$1:$I$89,5,0)</f>
        <v>-1.6671037883497774E-13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215.66498680344858</v>
      </c>
      <c r="AO177" s="62">
        <f t="shared" si="144"/>
        <v>199.86715787211114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-5.6843418860808015E-14</v>
      </c>
      <c r="BE177" s="14">
        <f>BD177*VLOOKUP('Données projet'!$B$11,Paramètres!$A$1:$I$89,3,0)*VLOOKUP('Données projet'!$B$11,Paramètres!$A$1:$I$89,5,0)</f>
        <v>-3.3992364478763198E-14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155.11440101086782</v>
      </c>
      <c r="BJ177" s="62">
        <f t="shared" si="146"/>
        <v>239.53454701506638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0.77927837149852897</v>
      </c>
      <c r="BQ177" s="23">
        <f>EXP(-LN(2)/25)*BQ176+(1-EXP(-LN(2)/25))/(LN(2)/25)*Calculateur!BL177*Calculateur!BN177*VLOOKUP('Données projet'!$B$11,Paramètres!$A$1:$I$89,3,0)*0.475*44/12</f>
        <v>0.13363737595749978</v>
      </c>
      <c r="BR177" s="23">
        <f>EXP(-LN(2)/2)*BR176+(1-EXP(-LN(2)/2))/(LN(2)/2)*BL177*BO177*VLOOKUP('Données projet'!$B$11,Paramètres!$A$1:$I$89,3,0)*0.475*44/12</f>
        <v>6.2446298601018215E-22</v>
      </c>
      <c r="BS177" s="24">
        <f t="shared" si="169"/>
        <v>0.91291574745602877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-5.6843418860808015E-14</v>
      </c>
      <c r="BZ177" s="14">
        <f>BY177*VLOOKUP('Données projet'!$B$12,Paramètres!$A$1:$I$89,3,0)*VLOOKUP('Données projet'!$B$12,Paramètres!$A$1:$I$89,5,0)</f>
        <v>-3.3992364478763198E-14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155.11440101086782</v>
      </c>
      <c r="CE177" s="62">
        <f t="shared" si="148"/>
        <v>239.53454701506638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0.77927837149852897</v>
      </c>
      <c r="CL177" s="23">
        <f>EXP(-LN(2)/25)*CL176+(1-EXP(-LN(2)/25))/(LN(2)/25)*Calculateur!CG177*Calculateur!CI177*VLOOKUP('Données projet'!$B$12,Paramètres!$A$1:$I$89,3,0)*0.475*44/12</f>
        <v>0.13363737595749978</v>
      </c>
      <c r="CM177" s="23">
        <f>EXP(-LN(2)/2)*CM176+(1-EXP(-LN(2)/2))/(LN(2)/2)*CG177*CJ177*VLOOKUP('Données projet'!$B$12,Paramètres!$A$1:$I$89,3,0)*0.475*44/12</f>
        <v>6.2446298601018215E-22</v>
      </c>
      <c r="CN177" s="24">
        <f t="shared" si="172"/>
        <v>0.91291574745602877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-1.1368683772161603E-13</v>
      </c>
      <c r="CU177" s="18">
        <f>CT177*VLOOKUP('Données projet'!$B$13,Paramètres!$A$1:$I$89,3,0)*VLOOKUP('Données projet'!$B$13,Paramètres!$A$1:$I$89,5,0)</f>
        <v>-9.2222762759774927E-14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191.03017979797141</v>
      </c>
      <c r="CZ177" s="62">
        <f t="shared" si="150"/>
        <v>222.78252111624278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-1.1368683772161603E-13</v>
      </c>
      <c r="DP177" s="18">
        <f>DO177*VLOOKUP('Données projet'!$B$14,Paramètres!$A$1:$I$89,3,0)*VLOOKUP('Données projet'!$B$14,Paramètres!$A$1:$I$89,5,0)</f>
        <v>-1.0818439477588981E-13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260.93525280373063</v>
      </c>
      <c r="DU177" s="62">
        <f t="shared" si="152"/>
        <v>206.83968452163816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>
        <f>EJ177*VLOOKUP('Données projet'!$B$15,Paramètres!$A$1:$I$89,3,0)*VLOOKUP('Données projet'!$B$15,Paramètres!$A$1:$I$89,5,0)</f>
        <v>0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118.01099353898547</v>
      </c>
      <c r="EP177" s="62">
        <f t="shared" si="154"/>
        <v>103.17146760845947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-9.6633812063373625E-13</v>
      </c>
      <c r="FF177" s="18">
        <f>FE177*VLOOKUP('Données projet'!$B$16,Paramètres!$A$1:$I$89,3,0)*VLOOKUP('Données projet'!$B$16,Paramètres!$A$1:$I$89,5,0)</f>
        <v>-9.6479197964072245E-13</v>
      </c>
      <c r="FG177" s="14" t="e">
        <f t="shared" si="182"/>
        <v>#NUM!</v>
      </c>
      <c r="FH177" s="22" t="e">
        <f t="shared" si="183"/>
        <v>#NUM!</v>
      </c>
      <c r="FI177" s="62" t="e">
        <f t="shared" si="131"/>
        <v>#NUM!</v>
      </c>
      <c r="FJ177" s="62">
        <f ca="1">AVERAGE(OFFSET($FI$3,0,0,'Données projet'!$E$16+1,1))-AVERAGE(OFFSET($H$3,0,0,'Données projet'!$E$16+1,1))</f>
        <v>343.71044073996887</v>
      </c>
      <c r="FK177" s="62">
        <f t="shared" si="156"/>
        <v>193.51732627292375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-9.6633812063373625E-13</v>
      </c>
      <c r="O178" s="14">
        <f>N178*VLOOKUP('Données projet'!$B$9,Paramètres!$A$1:$I$89,3,0)*VLOOKUP('Données projet'!$B$9,Paramètres!$A$1:$I$89,5,0)</f>
        <v>-8.7434273154940449E-13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303.73499739059076</v>
      </c>
      <c r="T178" s="62">
        <f t="shared" si="142"/>
        <v>172.32171001882188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-2.2737367544323206E-13</v>
      </c>
      <c r="AJ178" s="14">
        <f>AI178*VLOOKUP('Données projet'!$B$10,Paramètres!$A$1:$I$89,3,0)*VLOOKUP('Données projet'!$B$10,Paramètres!$A$1:$I$89,5,0)</f>
        <v>-1.6671037883497774E-13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215.66498680344858</v>
      </c>
      <c r="AO178" s="62">
        <f t="shared" si="144"/>
        <v>199.86715787211114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-5.6843418860808015E-14</v>
      </c>
      <c r="BE178" s="14">
        <f>BD178*VLOOKUP('Données projet'!$B$11,Paramètres!$A$1:$I$89,3,0)*VLOOKUP('Données projet'!$B$11,Paramètres!$A$1:$I$89,5,0)</f>
        <v>-3.3992364478763198E-14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155.11440101086782</v>
      </c>
      <c r="BJ178" s="62">
        <f t="shared" si="146"/>
        <v>239.53454701506638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0.76399719794631615</v>
      </c>
      <c r="BQ178" s="23">
        <f>EXP(-LN(2)/25)*BQ177+(1-EXP(-LN(2)/25))/(LN(2)/25)*Calculateur!BL178*Calculateur!BN178*VLOOKUP('Données projet'!$B$11,Paramètres!$A$1:$I$89,3,0)*0.475*44/12</f>
        <v>0.12998305488425776</v>
      </c>
      <c r="BR178" s="23">
        <f>EXP(-LN(2)/2)*BR177+(1-EXP(-LN(2)/2))/(LN(2)/2)*BL178*BO178*VLOOKUP('Données projet'!$B$11,Paramètres!$A$1:$I$89,3,0)*0.475*44/12</f>
        <v>4.4156201200779994E-22</v>
      </c>
      <c r="BS178" s="24">
        <f t="shared" si="169"/>
        <v>0.89398025283057392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-5.6843418860808015E-14</v>
      </c>
      <c r="BZ178" s="14">
        <f>BY178*VLOOKUP('Données projet'!$B$12,Paramètres!$A$1:$I$89,3,0)*VLOOKUP('Données projet'!$B$12,Paramètres!$A$1:$I$89,5,0)</f>
        <v>-3.3992364478763198E-14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155.11440101086782</v>
      </c>
      <c r="CE178" s="62">
        <f t="shared" si="148"/>
        <v>239.53454701506638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0.76399719794631615</v>
      </c>
      <c r="CL178" s="23">
        <f>EXP(-LN(2)/25)*CL177+(1-EXP(-LN(2)/25))/(LN(2)/25)*Calculateur!CG178*Calculateur!CI178*VLOOKUP('Données projet'!$B$12,Paramètres!$A$1:$I$89,3,0)*0.475*44/12</f>
        <v>0.12998305488425776</v>
      </c>
      <c r="CM178" s="23">
        <f>EXP(-LN(2)/2)*CM177+(1-EXP(-LN(2)/2))/(LN(2)/2)*CG178*CJ178*VLOOKUP('Données projet'!$B$12,Paramètres!$A$1:$I$89,3,0)*0.475*44/12</f>
        <v>4.4156201200779994E-22</v>
      </c>
      <c r="CN178" s="24">
        <f t="shared" si="172"/>
        <v>0.89398025283057392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-1.1368683772161603E-13</v>
      </c>
      <c r="CU178" s="18">
        <f>CT178*VLOOKUP('Données projet'!$B$13,Paramètres!$A$1:$I$89,3,0)*VLOOKUP('Données projet'!$B$13,Paramètres!$A$1:$I$89,5,0)</f>
        <v>-9.2222762759774927E-14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191.03017979797141</v>
      </c>
      <c r="CZ178" s="62">
        <f t="shared" si="150"/>
        <v>222.78252111624278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-1.1368683772161603E-13</v>
      </c>
      <c r="DP178" s="18">
        <f>DO178*VLOOKUP('Données projet'!$B$14,Paramètres!$A$1:$I$89,3,0)*VLOOKUP('Données projet'!$B$14,Paramètres!$A$1:$I$89,5,0)</f>
        <v>-1.0818439477588981E-13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260.93525280373063</v>
      </c>
      <c r="DU178" s="62">
        <f t="shared" si="152"/>
        <v>206.83968452163816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>
        <f>EJ178*VLOOKUP('Données projet'!$B$15,Paramètres!$A$1:$I$89,3,0)*VLOOKUP('Données projet'!$B$15,Paramètres!$A$1:$I$89,5,0)</f>
        <v>0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118.01099353898547</v>
      </c>
      <c r="EP178" s="62">
        <f t="shared" si="154"/>
        <v>103.17146760845947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-9.6633812063373625E-13</v>
      </c>
      <c r="FF178" s="18">
        <f>FE178*VLOOKUP('Données projet'!$B$16,Paramètres!$A$1:$I$89,3,0)*VLOOKUP('Données projet'!$B$16,Paramètres!$A$1:$I$89,5,0)</f>
        <v>-9.6479197964072245E-13</v>
      </c>
      <c r="FG178" s="14" t="e">
        <f t="shared" si="182"/>
        <v>#NUM!</v>
      </c>
      <c r="FH178" s="22" t="e">
        <f t="shared" si="183"/>
        <v>#NUM!</v>
      </c>
      <c r="FI178" s="62" t="e">
        <f t="shared" si="131"/>
        <v>#NUM!</v>
      </c>
      <c r="FJ178" s="62">
        <f ca="1">AVERAGE(OFFSET($FI$3,0,0,'Données projet'!$E$16+1,1))-AVERAGE(OFFSET($H$3,0,0,'Données projet'!$E$16+1,1))</f>
        <v>343.71044073996887</v>
      </c>
      <c r="FK178" s="62">
        <f t="shared" si="156"/>
        <v>193.51732627292375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-9.6633812063373625E-13</v>
      </c>
      <c r="O179" s="14">
        <f>N179*VLOOKUP('Données projet'!$B$9,Paramètres!$A$1:$I$89,3,0)*VLOOKUP('Données projet'!$B$9,Paramètres!$A$1:$I$89,5,0)</f>
        <v>-8.7434273154940449E-13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303.73499739059076</v>
      </c>
      <c r="T179" s="62">
        <f t="shared" si="142"/>
        <v>172.32171001882188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-2.2737367544323206E-13</v>
      </c>
      <c r="AJ179" s="14">
        <f>AI179*VLOOKUP('Données projet'!$B$10,Paramètres!$A$1:$I$89,3,0)*VLOOKUP('Données projet'!$B$10,Paramètres!$A$1:$I$89,5,0)</f>
        <v>-1.6671037883497774E-13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215.66498680344858</v>
      </c>
      <c r="AO179" s="62">
        <f t="shared" si="144"/>
        <v>199.86715787211114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-5.6843418860808015E-14</v>
      </c>
      <c r="BE179" s="14">
        <f>BD179*VLOOKUP('Données projet'!$B$11,Paramètres!$A$1:$I$89,3,0)*VLOOKUP('Données projet'!$B$11,Paramètres!$A$1:$I$89,5,0)</f>
        <v>-3.3992364478763198E-14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155.11440101086782</v>
      </c>
      <c r="BJ179" s="62">
        <f t="shared" si="146"/>
        <v>239.53454701506638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0.74901567888686671</v>
      </c>
      <c r="BQ179" s="23">
        <f>EXP(-LN(2)/25)*BQ178+(1-EXP(-LN(2)/25))/(LN(2)/25)*Calculateur!BL179*Calculateur!BN179*VLOOKUP('Données projet'!$B$11,Paramètres!$A$1:$I$89,3,0)*0.475*44/12</f>
        <v>0.12642866141293596</v>
      </c>
      <c r="BR179" s="23">
        <f>EXP(-LN(2)/2)*BR178+(1-EXP(-LN(2)/2))/(LN(2)/2)*BL179*BO179*VLOOKUP('Données projet'!$B$11,Paramètres!$A$1:$I$89,3,0)*0.475*44/12</f>
        <v>3.1223149300509107E-22</v>
      </c>
      <c r="BS179" s="24">
        <f t="shared" si="169"/>
        <v>0.87544434029980267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-5.6843418860808015E-14</v>
      </c>
      <c r="BZ179" s="14">
        <f>BY179*VLOOKUP('Données projet'!$B$12,Paramètres!$A$1:$I$89,3,0)*VLOOKUP('Données projet'!$B$12,Paramètres!$A$1:$I$89,5,0)</f>
        <v>-3.3992364478763198E-14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155.11440101086782</v>
      </c>
      <c r="CE179" s="62">
        <f t="shared" si="148"/>
        <v>239.53454701506638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0.74901567888686671</v>
      </c>
      <c r="CL179" s="23">
        <f>EXP(-LN(2)/25)*CL178+(1-EXP(-LN(2)/25))/(LN(2)/25)*Calculateur!CG179*Calculateur!CI179*VLOOKUP('Données projet'!$B$12,Paramètres!$A$1:$I$89,3,0)*0.475*44/12</f>
        <v>0.12642866141293596</v>
      </c>
      <c r="CM179" s="23">
        <f>EXP(-LN(2)/2)*CM178+(1-EXP(-LN(2)/2))/(LN(2)/2)*CG179*CJ179*VLOOKUP('Données projet'!$B$12,Paramètres!$A$1:$I$89,3,0)*0.475*44/12</f>
        <v>3.1223149300509107E-22</v>
      </c>
      <c r="CN179" s="24">
        <f t="shared" si="172"/>
        <v>0.87544434029980267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-1.1368683772161603E-13</v>
      </c>
      <c r="CU179" s="18">
        <f>CT179*VLOOKUP('Données projet'!$B$13,Paramètres!$A$1:$I$89,3,0)*VLOOKUP('Données projet'!$B$13,Paramètres!$A$1:$I$89,5,0)</f>
        <v>-9.2222762759774927E-14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191.03017979797141</v>
      </c>
      <c r="CZ179" s="62">
        <f t="shared" si="150"/>
        <v>222.78252111624278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-1.1368683772161603E-13</v>
      </c>
      <c r="DP179" s="18">
        <f>DO179*VLOOKUP('Données projet'!$B$14,Paramètres!$A$1:$I$89,3,0)*VLOOKUP('Données projet'!$B$14,Paramètres!$A$1:$I$89,5,0)</f>
        <v>-1.0818439477588981E-13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260.93525280373063</v>
      </c>
      <c r="DU179" s="62">
        <f t="shared" si="152"/>
        <v>206.83968452163816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>
        <f>EJ179*VLOOKUP('Données projet'!$B$15,Paramètres!$A$1:$I$89,3,0)*VLOOKUP('Données projet'!$B$15,Paramètres!$A$1:$I$89,5,0)</f>
        <v>0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118.01099353898547</v>
      </c>
      <c r="EP179" s="62">
        <f t="shared" si="154"/>
        <v>103.17146760845947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-9.6633812063373625E-13</v>
      </c>
      <c r="FF179" s="18">
        <f>FE179*VLOOKUP('Données projet'!$B$16,Paramètres!$A$1:$I$89,3,0)*VLOOKUP('Données projet'!$B$16,Paramètres!$A$1:$I$89,5,0)</f>
        <v>-9.6479197964072245E-13</v>
      </c>
      <c r="FG179" s="14" t="e">
        <f t="shared" si="182"/>
        <v>#NUM!</v>
      </c>
      <c r="FH179" s="22" t="e">
        <f t="shared" si="183"/>
        <v>#NUM!</v>
      </c>
      <c r="FI179" s="62" t="e">
        <f t="shared" si="131"/>
        <v>#NUM!</v>
      </c>
      <c r="FJ179" s="62">
        <f ca="1">AVERAGE(OFFSET($FI$3,0,0,'Données projet'!$E$16+1,1))-AVERAGE(OFFSET($H$3,0,0,'Données projet'!$E$16+1,1))</f>
        <v>343.71044073996887</v>
      </c>
      <c r="FK179" s="62">
        <f t="shared" si="156"/>
        <v>193.51732627292375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-9.6633812063373625E-13</v>
      </c>
      <c r="O180" s="14">
        <f>N180*VLOOKUP('Données projet'!$B$9,Paramètres!$A$1:$I$89,3,0)*VLOOKUP('Données projet'!$B$9,Paramètres!$A$1:$I$89,5,0)</f>
        <v>-8.7434273154940449E-13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303.73499739059076</v>
      </c>
      <c r="T180" s="62">
        <f t="shared" si="142"/>
        <v>172.32171001882188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-2.2737367544323206E-13</v>
      </c>
      <c r="AJ180" s="14">
        <f>AI180*VLOOKUP('Données projet'!$B$10,Paramètres!$A$1:$I$89,3,0)*VLOOKUP('Données projet'!$B$10,Paramètres!$A$1:$I$89,5,0)</f>
        <v>-1.6671037883497774E-13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215.66498680344858</v>
      </c>
      <c r="AO180" s="62">
        <f t="shared" si="144"/>
        <v>199.86715787211114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-5.6843418860808015E-14</v>
      </c>
      <c r="BE180" s="14">
        <f>BD180*VLOOKUP('Données projet'!$B$11,Paramètres!$A$1:$I$89,3,0)*VLOOKUP('Données projet'!$B$11,Paramètres!$A$1:$I$89,5,0)</f>
        <v>-3.3992364478763198E-14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155.11440101086782</v>
      </c>
      <c r="BJ180" s="62">
        <f t="shared" si="146"/>
        <v>239.53454701506638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0.73432793827834875</v>
      </c>
      <c r="BQ180" s="23">
        <f>EXP(-LN(2)/25)*BQ179+(1-EXP(-LN(2)/25))/(LN(2)/25)*Calculateur!BL180*Calculateur!BN180*VLOOKUP('Données projet'!$B$11,Paramètres!$A$1:$I$89,3,0)*0.475*44/12</f>
        <v>0.12297146301800488</v>
      </c>
      <c r="BR180" s="23">
        <f>EXP(-LN(2)/2)*BR179+(1-EXP(-LN(2)/2))/(LN(2)/2)*BL180*BO180*VLOOKUP('Données projet'!$B$11,Paramètres!$A$1:$I$89,3,0)*0.475*44/12</f>
        <v>2.2078100600389997E-22</v>
      </c>
      <c r="BS180" s="24">
        <f t="shared" si="169"/>
        <v>0.85729940129635362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-5.6843418860808015E-14</v>
      </c>
      <c r="BZ180" s="14">
        <f>BY180*VLOOKUP('Données projet'!$B$12,Paramètres!$A$1:$I$89,3,0)*VLOOKUP('Données projet'!$B$12,Paramètres!$A$1:$I$89,5,0)</f>
        <v>-3.3992364478763198E-14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155.11440101086782</v>
      </c>
      <c r="CE180" s="62">
        <f t="shared" si="148"/>
        <v>239.53454701506638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0.73432793827834875</v>
      </c>
      <c r="CL180" s="23">
        <f>EXP(-LN(2)/25)*CL179+(1-EXP(-LN(2)/25))/(LN(2)/25)*Calculateur!CG180*Calculateur!CI180*VLOOKUP('Données projet'!$B$12,Paramètres!$A$1:$I$89,3,0)*0.475*44/12</f>
        <v>0.12297146301800488</v>
      </c>
      <c r="CM180" s="23">
        <f>EXP(-LN(2)/2)*CM179+(1-EXP(-LN(2)/2))/(LN(2)/2)*CG180*CJ180*VLOOKUP('Données projet'!$B$12,Paramètres!$A$1:$I$89,3,0)*0.475*44/12</f>
        <v>2.2078100600389997E-22</v>
      </c>
      <c r="CN180" s="24">
        <f t="shared" si="172"/>
        <v>0.85729940129635362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-1.1368683772161603E-13</v>
      </c>
      <c r="CU180" s="18">
        <f>CT180*VLOOKUP('Données projet'!$B$13,Paramètres!$A$1:$I$89,3,0)*VLOOKUP('Données projet'!$B$13,Paramètres!$A$1:$I$89,5,0)</f>
        <v>-9.2222762759774927E-14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191.03017979797141</v>
      </c>
      <c r="CZ180" s="62">
        <f t="shared" si="150"/>
        <v>222.78252111624278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-1.1368683772161603E-13</v>
      </c>
      <c r="DP180" s="18">
        <f>DO180*VLOOKUP('Données projet'!$B$14,Paramètres!$A$1:$I$89,3,0)*VLOOKUP('Données projet'!$B$14,Paramètres!$A$1:$I$89,5,0)</f>
        <v>-1.0818439477588981E-13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260.93525280373063</v>
      </c>
      <c r="DU180" s="62">
        <f t="shared" si="152"/>
        <v>206.83968452163816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>
        <f>EJ180*VLOOKUP('Données projet'!$B$15,Paramètres!$A$1:$I$89,3,0)*VLOOKUP('Données projet'!$B$15,Paramètres!$A$1:$I$89,5,0)</f>
        <v>0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118.01099353898547</v>
      </c>
      <c r="EP180" s="62">
        <f t="shared" si="154"/>
        <v>103.17146760845947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-9.6633812063373625E-13</v>
      </c>
      <c r="FF180" s="18">
        <f>FE180*VLOOKUP('Données projet'!$B$16,Paramètres!$A$1:$I$89,3,0)*VLOOKUP('Données projet'!$B$16,Paramètres!$A$1:$I$89,5,0)</f>
        <v>-9.6479197964072245E-13</v>
      </c>
      <c r="FG180" s="14" t="e">
        <f t="shared" si="182"/>
        <v>#NUM!</v>
      </c>
      <c r="FH180" s="22" t="e">
        <f t="shared" si="183"/>
        <v>#NUM!</v>
      </c>
      <c r="FI180" s="62" t="e">
        <f t="shared" si="131"/>
        <v>#NUM!</v>
      </c>
      <c r="FJ180" s="62">
        <f ca="1">AVERAGE(OFFSET($FI$3,0,0,'Données projet'!$E$16+1,1))-AVERAGE(OFFSET($H$3,0,0,'Données projet'!$E$16+1,1))</f>
        <v>343.71044073996887</v>
      </c>
      <c r="FK180" s="62">
        <f t="shared" si="156"/>
        <v>193.51732627292375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-9.6633812063373625E-13</v>
      </c>
      <c r="O181" s="14">
        <f>N181*VLOOKUP('Données projet'!$B$9,Paramètres!$A$1:$I$89,3,0)*VLOOKUP('Données projet'!$B$9,Paramètres!$A$1:$I$89,5,0)</f>
        <v>-8.7434273154940449E-13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303.73499739059076</v>
      </c>
      <c r="T181" s="62">
        <f t="shared" si="142"/>
        <v>172.32171001882188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-2.2737367544323206E-13</v>
      </c>
      <c r="AJ181" s="14">
        <f>AI181*VLOOKUP('Données projet'!$B$10,Paramètres!$A$1:$I$89,3,0)*VLOOKUP('Données projet'!$B$10,Paramètres!$A$1:$I$89,5,0)</f>
        <v>-1.6671037883497774E-13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215.66498680344858</v>
      </c>
      <c r="AO181" s="62">
        <f t="shared" si="144"/>
        <v>199.86715787211114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-5.6843418860808015E-14</v>
      </c>
      <c r="BE181" s="14">
        <f>BD181*VLOOKUP('Données projet'!$B$11,Paramètres!$A$1:$I$89,3,0)*VLOOKUP('Données projet'!$B$11,Paramètres!$A$1:$I$89,5,0)</f>
        <v>-3.3992364478763198E-14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155.11440101086782</v>
      </c>
      <c r="BJ181" s="62">
        <f t="shared" si="146"/>
        <v>239.53454701506638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0.71992821530452666</v>
      </c>
      <c r="BQ181" s="23">
        <f>EXP(-LN(2)/25)*BQ180+(1-EXP(-LN(2)/25))/(LN(2)/25)*Calculateur!BL181*Calculateur!BN181*VLOOKUP('Données projet'!$B$11,Paramètres!$A$1:$I$89,3,0)*0.475*44/12</f>
        <v>0.11960880189498935</v>
      </c>
      <c r="BR181" s="23">
        <f>EXP(-LN(2)/2)*BR180+(1-EXP(-LN(2)/2))/(LN(2)/2)*BL181*BO181*VLOOKUP('Données projet'!$B$11,Paramètres!$A$1:$I$89,3,0)*0.475*44/12</f>
        <v>1.5611574650254554E-22</v>
      </c>
      <c r="BS181" s="24">
        <f t="shared" si="169"/>
        <v>0.83953701719951601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-5.6843418860808015E-14</v>
      </c>
      <c r="BZ181" s="14">
        <f>BY181*VLOOKUP('Données projet'!$B$12,Paramètres!$A$1:$I$89,3,0)*VLOOKUP('Données projet'!$B$12,Paramètres!$A$1:$I$89,5,0)</f>
        <v>-3.3992364478763198E-14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155.11440101086782</v>
      </c>
      <c r="CE181" s="62">
        <f t="shared" si="148"/>
        <v>239.53454701506638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0.71992821530452666</v>
      </c>
      <c r="CL181" s="23">
        <f>EXP(-LN(2)/25)*CL180+(1-EXP(-LN(2)/25))/(LN(2)/25)*Calculateur!CG181*Calculateur!CI181*VLOOKUP('Données projet'!$B$12,Paramètres!$A$1:$I$89,3,0)*0.475*44/12</f>
        <v>0.11960880189498935</v>
      </c>
      <c r="CM181" s="23">
        <f>EXP(-LN(2)/2)*CM180+(1-EXP(-LN(2)/2))/(LN(2)/2)*CG181*CJ181*VLOOKUP('Données projet'!$B$12,Paramètres!$A$1:$I$89,3,0)*0.475*44/12</f>
        <v>1.5611574650254554E-22</v>
      </c>
      <c r="CN181" s="24">
        <f t="shared" si="172"/>
        <v>0.83953701719951601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-1.1368683772161603E-13</v>
      </c>
      <c r="CU181" s="18">
        <f>CT181*VLOOKUP('Données projet'!$B$13,Paramètres!$A$1:$I$89,3,0)*VLOOKUP('Données projet'!$B$13,Paramètres!$A$1:$I$89,5,0)</f>
        <v>-9.2222762759774927E-14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191.03017979797141</v>
      </c>
      <c r="CZ181" s="62">
        <f t="shared" si="150"/>
        <v>222.78252111624278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-1.1368683772161603E-13</v>
      </c>
      <c r="DP181" s="18">
        <f>DO181*VLOOKUP('Données projet'!$B$14,Paramètres!$A$1:$I$89,3,0)*VLOOKUP('Données projet'!$B$14,Paramètres!$A$1:$I$89,5,0)</f>
        <v>-1.0818439477588981E-13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260.93525280373063</v>
      </c>
      <c r="DU181" s="62">
        <f t="shared" si="152"/>
        <v>206.83968452163816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>
        <f>EJ181*VLOOKUP('Données projet'!$B$15,Paramètres!$A$1:$I$89,3,0)*VLOOKUP('Données projet'!$B$15,Paramètres!$A$1:$I$89,5,0)</f>
        <v>0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118.01099353898547</v>
      </c>
      <c r="EP181" s="62">
        <f t="shared" si="154"/>
        <v>103.17146760845947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-9.6633812063373625E-13</v>
      </c>
      <c r="FF181" s="18">
        <f>FE181*VLOOKUP('Données projet'!$B$16,Paramètres!$A$1:$I$89,3,0)*VLOOKUP('Données projet'!$B$16,Paramètres!$A$1:$I$89,5,0)</f>
        <v>-9.6479197964072245E-13</v>
      </c>
      <c r="FG181" s="14" t="e">
        <f t="shared" si="182"/>
        <v>#NUM!</v>
      </c>
      <c r="FH181" s="22" t="e">
        <f t="shared" si="183"/>
        <v>#NUM!</v>
      </c>
      <c r="FI181" s="62" t="e">
        <f t="shared" si="131"/>
        <v>#NUM!</v>
      </c>
      <c r="FJ181" s="62">
        <f ca="1">AVERAGE(OFFSET($FI$3,0,0,'Données projet'!$E$16+1,1))-AVERAGE(OFFSET($H$3,0,0,'Données projet'!$E$16+1,1))</f>
        <v>343.71044073996887</v>
      </c>
      <c r="FK181" s="62">
        <f t="shared" si="156"/>
        <v>193.51732627292375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-9.6633812063373625E-13</v>
      </c>
      <c r="O182" s="14">
        <f>N182*VLOOKUP('Données projet'!$B$9,Paramètres!$A$1:$I$89,3,0)*VLOOKUP('Données projet'!$B$9,Paramètres!$A$1:$I$89,5,0)</f>
        <v>-8.7434273154940449E-13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303.73499739059076</v>
      </c>
      <c r="T182" s="62">
        <f t="shared" si="142"/>
        <v>172.32171001882188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-2.2737367544323206E-13</v>
      </c>
      <c r="AJ182" s="14">
        <f>AI182*VLOOKUP('Données projet'!$B$10,Paramètres!$A$1:$I$89,3,0)*VLOOKUP('Données projet'!$B$10,Paramètres!$A$1:$I$89,5,0)</f>
        <v>-1.6671037883497774E-13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215.66498680344858</v>
      </c>
      <c r="AO182" s="62">
        <f t="shared" si="144"/>
        <v>199.86715787211114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-5.6843418860808015E-14</v>
      </c>
      <c r="BE182" s="14">
        <f>BD182*VLOOKUP('Données projet'!$B$11,Paramètres!$A$1:$I$89,3,0)*VLOOKUP('Données projet'!$B$11,Paramètres!$A$1:$I$89,5,0)</f>
        <v>-3.3992364478763198E-14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155.11440101086782</v>
      </c>
      <c r="BJ182" s="62">
        <f t="shared" si="146"/>
        <v>239.53454701506638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0.70581086211525745</v>
      </c>
      <c r="BQ182" s="23">
        <f>EXP(-LN(2)/25)*BQ181+(1-EXP(-LN(2)/25))/(LN(2)/25)*Calculateur!BL182*Calculateur!BN182*VLOOKUP('Données projet'!$B$11,Paramètres!$A$1:$I$89,3,0)*0.475*44/12</f>
        <v>0.11633809291721735</v>
      </c>
      <c r="BR182" s="23">
        <f>EXP(-LN(2)/2)*BR181+(1-EXP(-LN(2)/2))/(LN(2)/2)*BL182*BO182*VLOOKUP('Données projet'!$B$11,Paramètres!$A$1:$I$89,3,0)*0.475*44/12</f>
        <v>1.1039050300194999E-22</v>
      </c>
      <c r="BS182" s="24">
        <f t="shared" si="169"/>
        <v>0.82214895503247476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-5.6843418860808015E-14</v>
      </c>
      <c r="BZ182" s="14">
        <f>BY182*VLOOKUP('Données projet'!$B$12,Paramètres!$A$1:$I$89,3,0)*VLOOKUP('Données projet'!$B$12,Paramètres!$A$1:$I$89,5,0)</f>
        <v>-3.3992364478763198E-14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155.11440101086782</v>
      </c>
      <c r="CE182" s="62">
        <f t="shared" si="148"/>
        <v>239.53454701506638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0.70581086211525745</v>
      </c>
      <c r="CL182" s="23">
        <f>EXP(-LN(2)/25)*CL181+(1-EXP(-LN(2)/25))/(LN(2)/25)*Calculateur!CG182*Calculateur!CI182*VLOOKUP('Données projet'!$B$12,Paramètres!$A$1:$I$89,3,0)*0.475*44/12</f>
        <v>0.11633809291721735</v>
      </c>
      <c r="CM182" s="23">
        <f>EXP(-LN(2)/2)*CM181+(1-EXP(-LN(2)/2))/(LN(2)/2)*CG182*CJ182*VLOOKUP('Données projet'!$B$12,Paramètres!$A$1:$I$89,3,0)*0.475*44/12</f>
        <v>1.1039050300194999E-22</v>
      </c>
      <c r="CN182" s="24">
        <f t="shared" si="172"/>
        <v>0.82214895503247476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-1.1368683772161603E-13</v>
      </c>
      <c r="CU182" s="18">
        <f>CT182*VLOOKUP('Données projet'!$B$13,Paramètres!$A$1:$I$89,3,0)*VLOOKUP('Données projet'!$B$13,Paramètres!$A$1:$I$89,5,0)</f>
        <v>-9.2222762759774927E-14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191.03017979797141</v>
      </c>
      <c r="CZ182" s="62">
        <f t="shared" si="150"/>
        <v>222.78252111624278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-1.1368683772161603E-13</v>
      </c>
      <c r="DP182" s="18">
        <f>DO182*VLOOKUP('Données projet'!$B$14,Paramètres!$A$1:$I$89,3,0)*VLOOKUP('Données projet'!$B$14,Paramètres!$A$1:$I$89,5,0)</f>
        <v>-1.0818439477588981E-13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260.93525280373063</v>
      </c>
      <c r="DU182" s="62">
        <f t="shared" si="152"/>
        <v>206.83968452163816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>
        <f>EJ182*VLOOKUP('Données projet'!$B$15,Paramètres!$A$1:$I$89,3,0)*VLOOKUP('Données projet'!$B$15,Paramètres!$A$1:$I$89,5,0)</f>
        <v>0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118.01099353898547</v>
      </c>
      <c r="EP182" s="62">
        <f t="shared" si="154"/>
        <v>103.17146760845947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-9.6633812063373625E-13</v>
      </c>
      <c r="FF182" s="18">
        <f>FE182*VLOOKUP('Données projet'!$B$16,Paramètres!$A$1:$I$89,3,0)*VLOOKUP('Données projet'!$B$16,Paramètres!$A$1:$I$89,5,0)</f>
        <v>-9.6479197964072245E-13</v>
      </c>
      <c r="FG182" s="14" t="e">
        <f t="shared" si="182"/>
        <v>#NUM!</v>
      </c>
      <c r="FH182" s="22" t="e">
        <f t="shared" si="183"/>
        <v>#NUM!</v>
      </c>
      <c r="FI182" s="62" t="e">
        <f t="shared" si="131"/>
        <v>#NUM!</v>
      </c>
      <c r="FJ182" s="62">
        <f ca="1">AVERAGE(OFFSET($FI$3,0,0,'Données projet'!$E$16+1,1))-AVERAGE(OFFSET($H$3,0,0,'Données projet'!$E$16+1,1))</f>
        <v>343.71044073996887</v>
      </c>
      <c r="FK182" s="62">
        <f t="shared" si="156"/>
        <v>193.51732627292375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-9.6633812063373625E-13</v>
      </c>
      <c r="O183" s="14">
        <f>N183*VLOOKUP('Données projet'!$B$9,Paramètres!$A$1:$I$89,3,0)*VLOOKUP('Données projet'!$B$9,Paramètres!$A$1:$I$89,5,0)</f>
        <v>-8.7434273154940449E-13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303.73499739059076</v>
      </c>
      <c r="T183" s="62">
        <f t="shared" si="142"/>
        <v>172.32171001882188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-2.2737367544323206E-13</v>
      </c>
      <c r="AJ183" s="14">
        <f>AI183*VLOOKUP('Données projet'!$B$10,Paramètres!$A$1:$I$89,3,0)*VLOOKUP('Données projet'!$B$10,Paramètres!$A$1:$I$89,5,0)</f>
        <v>-1.6671037883497774E-13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215.66498680344858</v>
      </c>
      <c r="AO183" s="62">
        <f t="shared" si="144"/>
        <v>199.86715787211114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-5.6843418860808015E-14</v>
      </c>
      <c r="BE183" s="14">
        <f>BD183*VLOOKUP('Données projet'!$B$11,Paramètres!$A$1:$I$89,3,0)*VLOOKUP('Données projet'!$B$11,Paramètres!$A$1:$I$89,5,0)</f>
        <v>-3.3992364478763198E-14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155.11440101086782</v>
      </c>
      <c r="BJ183" s="62">
        <f t="shared" si="146"/>
        <v>239.53454701506638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0.69197034161129456</v>
      </c>
      <c r="BQ183" s="23">
        <f>EXP(-LN(2)/25)*BQ182+(1-EXP(-LN(2)/25))/(LN(2)/25)*Calculateur!BL183*Calculateur!BN183*VLOOKUP('Données projet'!$B$11,Paramètres!$A$1:$I$89,3,0)*0.475*44/12</f>
        <v>0.11315682164844162</v>
      </c>
      <c r="BR183" s="23">
        <f>EXP(-LN(2)/2)*BR182+(1-EXP(-LN(2)/2))/(LN(2)/2)*BL183*BO183*VLOOKUP('Données projet'!$B$11,Paramètres!$A$1:$I$89,3,0)*0.475*44/12</f>
        <v>7.8057873251272768E-23</v>
      </c>
      <c r="BS183" s="24">
        <f t="shared" si="169"/>
        <v>0.80512716325973621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-5.6843418860808015E-14</v>
      </c>
      <c r="BZ183" s="14">
        <f>BY183*VLOOKUP('Données projet'!$B$12,Paramètres!$A$1:$I$89,3,0)*VLOOKUP('Données projet'!$B$12,Paramètres!$A$1:$I$89,5,0)</f>
        <v>-3.3992364478763198E-14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155.11440101086782</v>
      </c>
      <c r="CE183" s="62">
        <f t="shared" si="148"/>
        <v>239.53454701506638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0.69197034161129456</v>
      </c>
      <c r="CL183" s="23">
        <f>EXP(-LN(2)/25)*CL182+(1-EXP(-LN(2)/25))/(LN(2)/25)*Calculateur!CG183*Calculateur!CI183*VLOOKUP('Données projet'!$B$12,Paramètres!$A$1:$I$89,3,0)*0.475*44/12</f>
        <v>0.11315682164844162</v>
      </c>
      <c r="CM183" s="23">
        <f>EXP(-LN(2)/2)*CM182+(1-EXP(-LN(2)/2))/(LN(2)/2)*CG183*CJ183*VLOOKUP('Données projet'!$B$12,Paramètres!$A$1:$I$89,3,0)*0.475*44/12</f>
        <v>7.8057873251272768E-23</v>
      </c>
      <c r="CN183" s="24">
        <f t="shared" si="172"/>
        <v>0.80512716325973621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-1.1368683772161603E-13</v>
      </c>
      <c r="CU183" s="18">
        <f>CT183*VLOOKUP('Données projet'!$B$13,Paramètres!$A$1:$I$89,3,0)*VLOOKUP('Données projet'!$B$13,Paramètres!$A$1:$I$89,5,0)</f>
        <v>-9.2222762759774927E-14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191.03017979797141</v>
      </c>
      <c r="CZ183" s="62">
        <f t="shared" si="150"/>
        <v>222.78252111624278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-1.1368683772161603E-13</v>
      </c>
      <c r="DP183" s="18">
        <f>DO183*VLOOKUP('Données projet'!$B$14,Paramètres!$A$1:$I$89,3,0)*VLOOKUP('Données projet'!$B$14,Paramètres!$A$1:$I$89,5,0)</f>
        <v>-1.0818439477588981E-13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260.93525280373063</v>
      </c>
      <c r="DU183" s="62">
        <f t="shared" si="152"/>
        <v>206.83968452163816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>
        <f>EJ183*VLOOKUP('Données projet'!$B$15,Paramètres!$A$1:$I$89,3,0)*VLOOKUP('Données projet'!$B$15,Paramètres!$A$1:$I$89,5,0)</f>
        <v>0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118.01099353898547</v>
      </c>
      <c r="EP183" s="62">
        <f t="shared" si="154"/>
        <v>103.17146760845947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-9.6633812063373625E-13</v>
      </c>
      <c r="FF183" s="18">
        <f>FE183*VLOOKUP('Données projet'!$B$16,Paramètres!$A$1:$I$89,3,0)*VLOOKUP('Données projet'!$B$16,Paramètres!$A$1:$I$89,5,0)</f>
        <v>-9.6479197964072245E-13</v>
      </c>
      <c r="FG183" s="14" t="e">
        <f t="shared" si="182"/>
        <v>#NUM!</v>
      </c>
      <c r="FH183" s="22" t="e">
        <f t="shared" si="183"/>
        <v>#NUM!</v>
      </c>
      <c r="FI183" s="62" t="e">
        <f t="shared" si="131"/>
        <v>#NUM!</v>
      </c>
      <c r="FJ183" s="62">
        <f ca="1">AVERAGE(OFFSET($FI$3,0,0,'Données projet'!$E$16+1,1))-AVERAGE(OFFSET($H$3,0,0,'Données projet'!$E$16+1,1))</f>
        <v>343.71044073996887</v>
      </c>
      <c r="FK183" s="62">
        <f t="shared" si="156"/>
        <v>193.51732627292375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-9.6633812063373625E-13</v>
      </c>
      <c r="O184" s="14">
        <f>N184*VLOOKUP('Données projet'!$B$9,Paramètres!$A$1:$I$89,3,0)*VLOOKUP('Données projet'!$B$9,Paramètres!$A$1:$I$89,5,0)</f>
        <v>-8.7434273154940449E-13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303.73499739059076</v>
      </c>
      <c r="T184" s="62">
        <f t="shared" si="142"/>
        <v>172.32171001882188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-2.2737367544323206E-13</v>
      </c>
      <c r="AJ184" s="14">
        <f>AI184*VLOOKUP('Données projet'!$B$10,Paramètres!$A$1:$I$89,3,0)*VLOOKUP('Données projet'!$B$10,Paramètres!$A$1:$I$89,5,0)</f>
        <v>-1.6671037883497774E-13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215.66498680344858</v>
      </c>
      <c r="AO184" s="62">
        <f t="shared" si="144"/>
        <v>199.86715787211114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-5.6843418860808015E-14</v>
      </c>
      <c r="BE184" s="14">
        <f>BD184*VLOOKUP('Données projet'!$B$11,Paramètres!$A$1:$I$89,3,0)*VLOOKUP('Données projet'!$B$11,Paramètres!$A$1:$I$89,5,0)</f>
        <v>-3.3992364478763198E-14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155.11440101086782</v>
      </c>
      <c r="BJ184" s="62">
        <f t="shared" si="146"/>
        <v>239.53454701506638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0.67840122527253044</v>
      </c>
      <c r="BQ184" s="23">
        <f>EXP(-LN(2)/25)*BQ183+(1-EXP(-LN(2)/25))/(LN(2)/25)*Calculateur!BL184*Calculateur!BN184*VLOOKUP('Données projet'!$B$11,Paramètres!$A$1:$I$89,3,0)*0.475*44/12</f>
        <v>0.11006254240980635</v>
      </c>
      <c r="BR184" s="23">
        <f>EXP(-LN(2)/2)*BR183+(1-EXP(-LN(2)/2))/(LN(2)/2)*BL184*BO184*VLOOKUP('Données projet'!$B$11,Paramètres!$A$1:$I$89,3,0)*0.475*44/12</f>
        <v>5.5195251500974993E-23</v>
      </c>
      <c r="BS184" s="24">
        <f t="shared" si="169"/>
        <v>0.78846376768233684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-5.6843418860808015E-14</v>
      </c>
      <c r="BZ184" s="14">
        <f>BY184*VLOOKUP('Données projet'!$B$12,Paramètres!$A$1:$I$89,3,0)*VLOOKUP('Données projet'!$B$12,Paramètres!$A$1:$I$89,5,0)</f>
        <v>-3.3992364478763198E-14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155.11440101086782</v>
      </c>
      <c r="CE184" s="62">
        <f t="shared" si="148"/>
        <v>239.53454701506638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0.67840122527253044</v>
      </c>
      <c r="CL184" s="23">
        <f>EXP(-LN(2)/25)*CL183+(1-EXP(-LN(2)/25))/(LN(2)/25)*Calculateur!CG184*Calculateur!CI184*VLOOKUP('Données projet'!$B$12,Paramètres!$A$1:$I$89,3,0)*0.475*44/12</f>
        <v>0.11006254240980635</v>
      </c>
      <c r="CM184" s="23">
        <f>EXP(-LN(2)/2)*CM183+(1-EXP(-LN(2)/2))/(LN(2)/2)*CG184*CJ184*VLOOKUP('Données projet'!$B$12,Paramètres!$A$1:$I$89,3,0)*0.475*44/12</f>
        <v>5.5195251500974993E-23</v>
      </c>
      <c r="CN184" s="24">
        <f t="shared" si="172"/>
        <v>0.78846376768233684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-1.1368683772161603E-13</v>
      </c>
      <c r="CU184" s="18">
        <f>CT184*VLOOKUP('Données projet'!$B$13,Paramètres!$A$1:$I$89,3,0)*VLOOKUP('Données projet'!$B$13,Paramètres!$A$1:$I$89,5,0)</f>
        <v>-9.2222762759774927E-14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191.03017979797141</v>
      </c>
      <c r="CZ184" s="62">
        <f t="shared" si="150"/>
        <v>222.78252111624278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-1.1368683772161603E-13</v>
      </c>
      <c r="DP184" s="18">
        <f>DO184*VLOOKUP('Données projet'!$B$14,Paramètres!$A$1:$I$89,3,0)*VLOOKUP('Données projet'!$B$14,Paramètres!$A$1:$I$89,5,0)</f>
        <v>-1.0818439477588981E-13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260.93525280373063</v>
      </c>
      <c r="DU184" s="62">
        <f t="shared" si="152"/>
        <v>206.83968452163816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>
        <f>EJ184*VLOOKUP('Données projet'!$B$15,Paramètres!$A$1:$I$89,3,0)*VLOOKUP('Données projet'!$B$15,Paramètres!$A$1:$I$89,5,0)</f>
        <v>0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118.01099353898547</v>
      </c>
      <c r="EP184" s="62">
        <f t="shared" si="154"/>
        <v>103.17146760845947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-9.6633812063373625E-13</v>
      </c>
      <c r="FF184" s="18">
        <f>FE184*VLOOKUP('Données projet'!$B$16,Paramètres!$A$1:$I$89,3,0)*VLOOKUP('Données projet'!$B$16,Paramètres!$A$1:$I$89,5,0)</f>
        <v>-9.6479197964072245E-13</v>
      </c>
      <c r="FG184" s="14" t="e">
        <f t="shared" si="182"/>
        <v>#NUM!</v>
      </c>
      <c r="FH184" s="22" t="e">
        <f t="shared" si="183"/>
        <v>#NUM!</v>
      </c>
      <c r="FI184" s="62" t="e">
        <f t="shared" si="131"/>
        <v>#NUM!</v>
      </c>
      <c r="FJ184" s="62">
        <f ca="1">AVERAGE(OFFSET($FI$3,0,0,'Données projet'!$E$16+1,1))-AVERAGE(OFFSET($H$3,0,0,'Données projet'!$E$16+1,1))</f>
        <v>343.71044073996887</v>
      </c>
      <c r="FK184" s="62">
        <f t="shared" si="156"/>
        <v>193.51732627292375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-9.6633812063373625E-13</v>
      </c>
      <c r="O185" s="14">
        <f>N185*VLOOKUP('Données projet'!$B$9,Paramètres!$A$1:$I$89,3,0)*VLOOKUP('Données projet'!$B$9,Paramètres!$A$1:$I$89,5,0)</f>
        <v>-8.7434273154940449E-13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303.73499739059076</v>
      </c>
      <c r="T185" s="62">
        <f t="shared" si="142"/>
        <v>172.32171001882188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-2.2737367544323206E-13</v>
      </c>
      <c r="AJ185" s="14">
        <f>AI185*VLOOKUP('Données projet'!$B$10,Paramètres!$A$1:$I$89,3,0)*VLOOKUP('Données projet'!$B$10,Paramètres!$A$1:$I$89,5,0)</f>
        <v>-1.6671037883497774E-13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215.66498680344858</v>
      </c>
      <c r="AO185" s="62">
        <f t="shared" si="144"/>
        <v>199.86715787211114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-5.6843418860808015E-14</v>
      </c>
      <c r="BE185" s="14">
        <f>BD185*VLOOKUP('Données projet'!$B$11,Paramètres!$A$1:$I$89,3,0)*VLOOKUP('Données projet'!$B$11,Paramètres!$A$1:$I$89,5,0)</f>
        <v>-3.3992364478763198E-14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155.11440101086782</v>
      </c>
      <c r="BJ185" s="62">
        <f t="shared" si="146"/>
        <v>239.53454701506638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0.66509819102882572</v>
      </c>
      <c r="BQ185" s="23">
        <f>EXP(-LN(2)/25)*BQ184+(1-EXP(-LN(2)/25))/(LN(2)/25)*Calculateur!BL185*Calculateur!BN185*VLOOKUP('Données projet'!$B$11,Paramètres!$A$1:$I$89,3,0)*0.475*44/12</f>
        <v>0.10705287639967265</v>
      </c>
      <c r="BR185" s="23">
        <f>EXP(-LN(2)/2)*BR184+(1-EXP(-LN(2)/2))/(LN(2)/2)*BL185*BO185*VLOOKUP('Données projet'!$B$11,Paramètres!$A$1:$I$89,3,0)*0.475*44/12</f>
        <v>3.9028936625636384E-23</v>
      </c>
      <c r="BS185" s="24">
        <f t="shared" si="169"/>
        <v>0.77215106742849837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-5.6843418860808015E-14</v>
      </c>
      <c r="BZ185" s="14">
        <f>BY185*VLOOKUP('Données projet'!$B$12,Paramètres!$A$1:$I$89,3,0)*VLOOKUP('Données projet'!$B$12,Paramètres!$A$1:$I$89,5,0)</f>
        <v>-3.3992364478763198E-14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155.11440101086782</v>
      </c>
      <c r="CE185" s="62">
        <f t="shared" si="148"/>
        <v>239.53454701506638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0.66509819102882572</v>
      </c>
      <c r="CL185" s="23">
        <f>EXP(-LN(2)/25)*CL184+(1-EXP(-LN(2)/25))/(LN(2)/25)*Calculateur!CG185*Calculateur!CI185*VLOOKUP('Données projet'!$B$12,Paramètres!$A$1:$I$89,3,0)*0.475*44/12</f>
        <v>0.10705287639967265</v>
      </c>
      <c r="CM185" s="23">
        <f>EXP(-LN(2)/2)*CM184+(1-EXP(-LN(2)/2))/(LN(2)/2)*CG185*CJ185*VLOOKUP('Données projet'!$B$12,Paramètres!$A$1:$I$89,3,0)*0.475*44/12</f>
        <v>3.9028936625636384E-23</v>
      </c>
      <c r="CN185" s="24">
        <f t="shared" si="172"/>
        <v>0.77215106742849837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-1.1368683772161603E-13</v>
      </c>
      <c r="CU185" s="18">
        <f>CT185*VLOOKUP('Données projet'!$B$13,Paramètres!$A$1:$I$89,3,0)*VLOOKUP('Données projet'!$B$13,Paramètres!$A$1:$I$89,5,0)</f>
        <v>-9.2222762759774927E-14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191.03017979797141</v>
      </c>
      <c r="CZ185" s="62">
        <f t="shared" si="150"/>
        <v>222.78252111624278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-1.1368683772161603E-13</v>
      </c>
      <c r="DP185" s="18">
        <f>DO185*VLOOKUP('Données projet'!$B$14,Paramètres!$A$1:$I$89,3,0)*VLOOKUP('Données projet'!$B$14,Paramètres!$A$1:$I$89,5,0)</f>
        <v>-1.0818439477588981E-13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260.93525280373063</v>
      </c>
      <c r="DU185" s="62">
        <f t="shared" si="152"/>
        <v>206.83968452163816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>
        <f>EJ185*VLOOKUP('Données projet'!$B$15,Paramètres!$A$1:$I$89,3,0)*VLOOKUP('Données projet'!$B$15,Paramètres!$A$1:$I$89,5,0)</f>
        <v>0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118.01099353898547</v>
      </c>
      <c r="EP185" s="62">
        <f t="shared" si="154"/>
        <v>103.17146760845947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-9.6633812063373625E-13</v>
      </c>
      <c r="FF185" s="18">
        <f>FE185*VLOOKUP('Données projet'!$B$16,Paramètres!$A$1:$I$89,3,0)*VLOOKUP('Données projet'!$B$16,Paramètres!$A$1:$I$89,5,0)</f>
        <v>-9.6479197964072245E-13</v>
      </c>
      <c r="FG185" s="14" t="e">
        <f t="shared" si="182"/>
        <v>#NUM!</v>
      </c>
      <c r="FH185" s="22" t="e">
        <f t="shared" si="183"/>
        <v>#NUM!</v>
      </c>
      <c r="FI185" s="62" t="e">
        <f t="shared" si="131"/>
        <v>#NUM!</v>
      </c>
      <c r="FJ185" s="62">
        <f ca="1">AVERAGE(OFFSET($FI$3,0,0,'Données projet'!$E$16+1,1))-AVERAGE(OFFSET($H$3,0,0,'Données projet'!$E$16+1,1))</f>
        <v>343.71044073996887</v>
      </c>
      <c r="FK185" s="62">
        <f t="shared" si="156"/>
        <v>193.51732627292375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-9.6633812063373625E-13</v>
      </c>
      <c r="O186" s="14">
        <f>N186*VLOOKUP('Données projet'!$B$9,Paramètres!$A$1:$I$89,3,0)*VLOOKUP('Données projet'!$B$9,Paramètres!$A$1:$I$89,5,0)</f>
        <v>-8.7434273154940449E-13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303.73499739059076</v>
      </c>
      <c r="T186" s="62">
        <f t="shared" si="142"/>
        <v>172.32171001882188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-2.2737367544323206E-13</v>
      </c>
      <c r="AJ186" s="14">
        <f>AI186*VLOOKUP('Données projet'!$B$10,Paramètres!$A$1:$I$89,3,0)*VLOOKUP('Données projet'!$B$10,Paramètres!$A$1:$I$89,5,0)</f>
        <v>-1.6671037883497774E-13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215.66498680344858</v>
      </c>
      <c r="AO186" s="62">
        <f t="shared" si="144"/>
        <v>199.86715787211114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-5.6843418860808015E-14</v>
      </c>
      <c r="BE186" s="14">
        <f>BD186*VLOOKUP('Données projet'!$B$11,Paramètres!$A$1:$I$89,3,0)*VLOOKUP('Données projet'!$B$11,Paramètres!$A$1:$I$89,5,0)</f>
        <v>-3.3992364478763198E-14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155.11440101086782</v>
      </c>
      <c r="BJ186" s="62">
        <f t="shared" si="146"/>
        <v>239.53454701506638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0.65205602117259043</v>
      </c>
      <c r="BQ186" s="23">
        <f>EXP(-LN(2)/25)*BQ185+(1-EXP(-LN(2)/25))/(LN(2)/25)*Calculateur!BL186*Calculateur!BN186*VLOOKUP('Données projet'!$B$11,Paramètres!$A$1:$I$89,3,0)*0.475*44/12</f>
        <v>0.1041255098648575</v>
      </c>
      <c r="BR186" s="23">
        <f>EXP(-LN(2)/2)*BR185+(1-EXP(-LN(2)/2))/(LN(2)/2)*BL186*BO186*VLOOKUP('Données projet'!$B$11,Paramètres!$A$1:$I$89,3,0)*0.475*44/12</f>
        <v>2.7597625750487496E-23</v>
      </c>
      <c r="BS186" s="24">
        <f t="shared" si="169"/>
        <v>0.7561815310374479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-5.6843418860808015E-14</v>
      </c>
      <c r="BZ186" s="14">
        <f>BY186*VLOOKUP('Données projet'!$B$12,Paramètres!$A$1:$I$89,3,0)*VLOOKUP('Données projet'!$B$12,Paramètres!$A$1:$I$89,5,0)</f>
        <v>-3.3992364478763198E-14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155.11440101086782</v>
      </c>
      <c r="CE186" s="62">
        <f t="shared" si="148"/>
        <v>239.53454701506638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0.65205602117259043</v>
      </c>
      <c r="CL186" s="23">
        <f>EXP(-LN(2)/25)*CL185+(1-EXP(-LN(2)/25))/(LN(2)/25)*Calculateur!CG186*Calculateur!CI186*VLOOKUP('Données projet'!$B$12,Paramètres!$A$1:$I$89,3,0)*0.475*44/12</f>
        <v>0.1041255098648575</v>
      </c>
      <c r="CM186" s="23">
        <f>EXP(-LN(2)/2)*CM185+(1-EXP(-LN(2)/2))/(LN(2)/2)*CG186*CJ186*VLOOKUP('Données projet'!$B$12,Paramètres!$A$1:$I$89,3,0)*0.475*44/12</f>
        <v>2.7597625750487496E-23</v>
      </c>
      <c r="CN186" s="24">
        <f t="shared" si="172"/>
        <v>0.7561815310374479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-1.1368683772161603E-13</v>
      </c>
      <c r="CU186" s="18">
        <f>CT186*VLOOKUP('Données projet'!$B$13,Paramètres!$A$1:$I$89,3,0)*VLOOKUP('Données projet'!$B$13,Paramètres!$A$1:$I$89,5,0)</f>
        <v>-9.2222762759774927E-14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191.03017979797141</v>
      </c>
      <c r="CZ186" s="62">
        <f t="shared" si="150"/>
        <v>222.78252111624278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-1.1368683772161603E-13</v>
      </c>
      <c r="DP186" s="18">
        <f>DO186*VLOOKUP('Données projet'!$B$14,Paramètres!$A$1:$I$89,3,0)*VLOOKUP('Données projet'!$B$14,Paramètres!$A$1:$I$89,5,0)</f>
        <v>-1.0818439477588981E-13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260.93525280373063</v>
      </c>
      <c r="DU186" s="62">
        <f t="shared" si="152"/>
        <v>206.83968452163816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>
        <f>EJ186*VLOOKUP('Données projet'!$B$15,Paramètres!$A$1:$I$89,3,0)*VLOOKUP('Données projet'!$B$15,Paramètres!$A$1:$I$89,5,0)</f>
        <v>0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118.01099353898547</v>
      </c>
      <c r="EP186" s="62">
        <f t="shared" si="154"/>
        <v>103.17146760845947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-9.6633812063373625E-13</v>
      </c>
      <c r="FF186" s="18">
        <f>FE186*VLOOKUP('Données projet'!$B$16,Paramètres!$A$1:$I$89,3,0)*VLOOKUP('Données projet'!$B$16,Paramètres!$A$1:$I$89,5,0)</f>
        <v>-9.6479197964072245E-13</v>
      </c>
      <c r="FG186" s="14" t="e">
        <f t="shared" si="182"/>
        <v>#NUM!</v>
      </c>
      <c r="FH186" s="22" t="e">
        <f t="shared" si="183"/>
        <v>#NUM!</v>
      </c>
      <c r="FI186" s="62" t="e">
        <f t="shared" si="131"/>
        <v>#NUM!</v>
      </c>
      <c r="FJ186" s="62">
        <f ca="1">AVERAGE(OFFSET($FI$3,0,0,'Données projet'!$E$16+1,1))-AVERAGE(OFFSET($H$3,0,0,'Données projet'!$E$16+1,1))</f>
        <v>343.71044073996887</v>
      </c>
      <c r="FK186" s="62">
        <f t="shared" si="156"/>
        <v>193.51732627292375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-9.6633812063373625E-13</v>
      </c>
      <c r="O187" s="14">
        <f>N187*VLOOKUP('Données projet'!$B$9,Paramètres!$A$1:$I$89,3,0)*VLOOKUP('Données projet'!$B$9,Paramètres!$A$1:$I$89,5,0)</f>
        <v>-8.7434273154940449E-13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303.73499739059076</v>
      </c>
      <c r="T187" s="62">
        <f t="shared" si="142"/>
        <v>172.32171001882188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-2.2737367544323206E-13</v>
      </c>
      <c r="AJ187" s="14">
        <f>AI187*VLOOKUP('Données projet'!$B$10,Paramètres!$A$1:$I$89,3,0)*VLOOKUP('Données projet'!$B$10,Paramètres!$A$1:$I$89,5,0)</f>
        <v>-1.6671037883497774E-13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215.66498680344858</v>
      </c>
      <c r="AO187" s="62">
        <f t="shared" si="144"/>
        <v>199.86715787211114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-5.6843418860808015E-14</v>
      </c>
      <c r="BE187" s="14">
        <f>BD187*VLOOKUP('Données projet'!$B$11,Paramètres!$A$1:$I$89,3,0)*VLOOKUP('Données projet'!$B$11,Paramètres!$A$1:$I$89,5,0)</f>
        <v>-3.3992364478763198E-14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155.11440101086782</v>
      </c>
      <c r="BJ187" s="62">
        <f t="shared" si="146"/>
        <v>239.53454701506638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0.63926960031229774</v>
      </c>
      <c r="BQ187" s="23">
        <f>EXP(-LN(2)/25)*BQ186+(1-EXP(-LN(2)/25))/(LN(2)/25)*Calculateur!BL187*Calculateur!BN187*VLOOKUP('Données projet'!$B$11,Paramètres!$A$1:$I$89,3,0)*0.475*44/12</f>
        <v>0.10127819232188039</v>
      </c>
      <c r="BR187" s="23">
        <f>EXP(-LN(2)/2)*BR186+(1-EXP(-LN(2)/2))/(LN(2)/2)*BL187*BO187*VLOOKUP('Données projet'!$B$11,Paramètres!$A$1:$I$89,3,0)*0.475*44/12</f>
        <v>1.9514468312818192E-23</v>
      </c>
      <c r="BS187" s="24">
        <f t="shared" si="169"/>
        <v>0.74054779263417814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-5.6843418860808015E-14</v>
      </c>
      <c r="BZ187" s="14">
        <f>BY187*VLOOKUP('Données projet'!$B$12,Paramètres!$A$1:$I$89,3,0)*VLOOKUP('Données projet'!$B$12,Paramètres!$A$1:$I$89,5,0)</f>
        <v>-3.3992364478763198E-14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155.11440101086782</v>
      </c>
      <c r="CE187" s="62">
        <f t="shared" si="148"/>
        <v>239.53454701506638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0.63926960031229774</v>
      </c>
      <c r="CL187" s="23">
        <f>EXP(-LN(2)/25)*CL186+(1-EXP(-LN(2)/25))/(LN(2)/25)*Calculateur!CG187*Calculateur!CI187*VLOOKUP('Données projet'!$B$12,Paramètres!$A$1:$I$89,3,0)*0.475*44/12</f>
        <v>0.10127819232188039</v>
      </c>
      <c r="CM187" s="23">
        <f>EXP(-LN(2)/2)*CM186+(1-EXP(-LN(2)/2))/(LN(2)/2)*CG187*CJ187*VLOOKUP('Données projet'!$B$12,Paramètres!$A$1:$I$89,3,0)*0.475*44/12</f>
        <v>1.9514468312818192E-23</v>
      </c>
      <c r="CN187" s="24">
        <f t="shared" si="172"/>
        <v>0.74054779263417814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-1.1368683772161603E-13</v>
      </c>
      <c r="CU187" s="18">
        <f>CT187*VLOOKUP('Données projet'!$B$13,Paramètres!$A$1:$I$89,3,0)*VLOOKUP('Données projet'!$B$13,Paramètres!$A$1:$I$89,5,0)</f>
        <v>-9.2222762759774927E-14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191.03017979797141</v>
      </c>
      <c r="CZ187" s="62">
        <f t="shared" si="150"/>
        <v>222.78252111624278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-1.1368683772161603E-13</v>
      </c>
      <c r="DP187" s="18">
        <f>DO187*VLOOKUP('Données projet'!$B$14,Paramètres!$A$1:$I$89,3,0)*VLOOKUP('Données projet'!$B$14,Paramètres!$A$1:$I$89,5,0)</f>
        <v>-1.0818439477588981E-13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260.93525280373063</v>
      </c>
      <c r="DU187" s="62">
        <f t="shared" si="152"/>
        <v>206.83968452163816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>
        <f>EJ187*VLOOKUP('Données projet'!$B$15,Paramètres!$A$1:$I$89,3,0)*VLOOKUP('Données projet'!$B$15,Paramètres!$A$1:$I$89,5,0)</f>
        <v>0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118.01099353898547</v>
      </c>
      <c r="EP187" s="62">
        <f t="shared" si="154"/>
        <v>103.17146760845947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-9.6633812063373625E-13</v>
      </c>
      <c r="FF187" s="18">
        <f>FE187*VLOOKUP('Données projet'!$B$16,Paramètres!$A$1:$I$89,3,0)*VLOOKUP('Données projet'!$B$16,Paramètres!$A$1:$I$89,5,0)</f>
        <v>-9.6479197964072245E-13</v>
      </c>
      <c r="FG187" s="14" t="e">
        <f t="shared" si="182"/>
        <v>#NUM!</v>
      </c>
      <c r="FH187" s="22" t="e">
        <f t="shared" si="183"/>
        <v>#NUM!</v>
      </c>
      <c r="FI187" s="62" t="e">
        <f t="shared" si="131"/>
        <v>#NUM!</v>
      </c>
      <c r="FJ187" s="62">
        <f ca="1">AVERAGE(OFFSET($FI$3,0,0,'Données projet'!$E$16+1,1))-AVERAGE(OFFSET($H$3,0,0,'Données projet'!$E$16+1,1))</f>
        <v>343.71044073996887</v>
      </c>
      <c r="FK187" s="62">
        <f t="shared" si="156"/>
        <v>193.51732627292375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-9.6633812063373625E-13</v>
      </c>
      <c r="O188" s="14">
        <f>N188*VLOOKUP('Données projet'!$B$9,Paramètres!$A$1:$I$89,3,0)*VLOOKUP('Données projet'!$B$9,Paramètres!$A$1:$I$89,5,0)</f>
        <v>-8.7434273154940449E-13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303.73499739059076</v>
      </c>
      <c r="T188" s="62">
        <f t="shared" si="142"/>
        <v>172.32171001882188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-2.2737367544323206E-13</v>
      </c>
      <c r="AJ188" s="14">
        <f>AI188*VLOOKUP('Données projet'!$B$10,Paramètres!$A$1:$I$89,3,0)*VLOOKUP('Données projet'!$B$10,Paramètres!$A$1:$I$89,5,0)</f>
        <v>-1.6671037883497774E-13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215.66498680344858</v>
      </c>
      <c r="AO188" s="62">
        <f t="shared" si="144"/>
        <v>199.86715787211114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-5.6843418860808015E-14</v>
      </c>
      <c r="BE188" s="14">
        <f>BD188*VLOOKUP('Données projet'!$B$11,Paramètres!$A$1:$I$89,3,0)*VLOOKUP('Données projet'!$B$11,Paramètres!$A$1:$I$89,5,0)</f>
        <v>-3.3992364478763198E-14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155.11440101086782</v>
      </c>
      <c r="BJ188" s="62">
        <f t="shared" si="146"/>
        <v>239.53454701506638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0.62673391336612871</v>
      </c>
      <c r="BQ188" s="23">
        <f>EXP(-LN(2)/25)*BQ187+(1-EXP(-LN(2)/25))/(LN(2)/25)*Calculateur!BL188*Calculateur!BN188*VLOOKUP('Données projet'!$B$11,Paramètres!$A$1:$I$89,3,0)*0.475*44/12</f>
        <v>9.8508734826849909E-2</v>
      </c>
      <c r="BR188" s="23">
        <f>EXP(-LN(2)/2)*BR187+(1-EXP(-LN(2)/2))/(LN(2)/2)*BL188*BO188*VLOOKUP('Données projet'!$B$11,Paramètres!$A$1:$I$89,3,0)*0.475*44/12</f>
        <v>1.3798812875243748E-23</v>
      </c>
      <c r="BS188" s="24">
        <f t="shared" si="169"/>
        <v>0.72524264819297857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-5.6843418860808015E-14</v>
      </c>
      <c r="BZ188" s="14">
        <f>BY188*VLOOKUP('Données projet'!$B$12,Paramètres!$A$1:$I$89,3,0)*VLOOKUP('Données projet'!$B$12,Paramètres!$A$1:$I$89,5,0)</f>
        <v>-3.3992364478763198E-14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155.11440101086782</v>
      </c>
      <c r="CE188" s="62">
        <f t="shared" si="148"/>
        <v>239.53454701506638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0.62673391336612871</v>
      </c>
      <c r="CL188" s="23">
        <f>EXP(-LN(2)/25)*CL187+(1-EXP(-LN(2)/25))/(LN(2)/25)*Calculateur!CG188*Calculateur!CI188*VLOOKUP('Données projet'!$B$12,Paramètres!$A$1:$I$89,3,0)*0.475*44/12</f>
        <v>9.8508734826849909E-2</v>
      </c>
      <c r="CM188" s="23">
        <f>EXP(-LN(2)/2)*CM187+(1-EXP(-LN(2)/2))/(LN(2)/2)*CG188*CJ188*VLOOKUP('Données projet'!$B$12,Paramètres!$A$1:$I$89,3,0)*0.475*44/12</f>
        <v>1.3798812875243748E-23</v>
      </c>
      <c r="CN188" s="24">
        <f t="shared" si="172"/>
        <v>0.72524264819297857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-1.1368683772161603E-13</v>
      </c>
      <c r="CU188" s="18">
        <f>CT188*VLOOKUP('Données projet'!$B$13,Paramètres!$A$1:$I$89,3,0)*VLOOKUP('Données projet'!$B$13,Paramètres!$A$1:$I$89,5,0)</f>
        <v>-9.2222762759774927E-14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191.03017979797141</v>
      </c>
      <c r="CZ188" s="62">
        <f t="shared" si="150"/>
        <v>222.78252111624278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-1.1368683772161603E-13</v>
      </c>
      <c r="DP188" s="18">
        <f>DO188*VLOOKUP('Données projet'!$B$14,Paramètres!$A$1:$I$89,3,0)*VLOOKUP('Données projet'!$B$14,Paramètres!$A$1:$I$89,5,0)</f>
        <v>-1.0818439477588981E-13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260.93525280373063</v>
      </c>
      <c r="DU188" s="62">
        <f t="shared" si="152"/>
        <v>206.83968452163816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>
        <f>EJ188*VLOOKUP('Données projet'!$B$15,Paramètres!$A$1:$I$89,3,0)*VLOOKUP('Données projet'!$B$15,Paramètres!$A$1:$I$89,5,0)</f>
        <v>0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118.01099353898547</v>
      </c>
      <c r="EP188" s="62">
        <f t="shared" si="154"/>
        <v>103.17146760845947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-9.6633812063373625E-13</v>
      </c>
      <c r="FF188" s="18">
        <f>FE188*VLOOKUP('Données projet'!$B$16,Paramètres!$A$1:$I$89,3,0)*VLOOKUP('Données projet'!$B$16,Paramètres!$A$1:$I$89,5,0)</f>
        <v>-9.6479197964072245E-13</v>
      </c>
      <c r="FG188" s="14" t="e">
        <f t="shared" si="182"/>
        <v>#NUM!</v>
      </c>
      <c r="FH188" s="22" t="e">
        <f t="shared" si="183"/>
        <v>#NUM!</v>
      </c>
      <c r="FI188" s="62" t="e">
        <f t="shared" si="131"/>
        <v>#NUM!</v>
      </c>
      <c r="FJ188" s="62">
        <f ca="1">AVERAGE(OFFSET($FI$3,0,0,'Données projet'!$E$16+1,1))-AVERAGE(OFFSET($H$3,0,0,'Données projet'!$E$16+1,1))</f>
        <v>343.71044073996887</v>
      </c>
      <c r="FK188" s="62">
        <f t="shared" si="156"/>
        <v>193.51732627292375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-9.6633812063373625E-13</v>
      </c>
      <c r="O189" s="14">
        <f>N189*VLOOKUP('Données projet'!$B$9,Paramètres!$A$1:$I$89,3,0)*VLOOKUP('Données projet'!$B$9,Paramètres!$A$1:$I$89,5,0)</f>
        <v>-8.7434273154940449E-13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303.73499739059076</v>
      </c>
      <c r="T189" s="62">
        <f t="shared" si="142"/>
        <v>172.32171001882188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-2.2737367544323206E-13</v>
      </c>
      <c r="AJ189" s="14">
        <f>AI189*VLOOKUP('Données projet'!$B$10,Paramètres!$A$1:$I$89,3,0)*VLOOKUP('Données projet'!$B$10,Paramètres!$A$1:$I$89,5,0)</f>
        <v>-1.6671037883497774E-13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215.66498680344858</v>
      </c>
      <c r="AO189" s="62">
        <f t="shared" si="144"/>
        <v>199.86715787211114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-5.6843418860808015E-14</v>
      </c>
      <c r="BE189" s="14">
        <f>BD189*VLOOKUP('Données projet'!$B$11,Paramètres!$A$1:$I$89,3,0)*VLOOKUP('Données projet'!$B$11,Paramètres!$A$1:$I$89,5,0)</f>
        <v>-3.3992364478763198E-14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155.11440101086782</v>
      </c>
      <c r="BJ189" s="62">
        <f t="shared" si="146"/>
        <v>239.53454701506638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0.61444404359496008</v>
      </c>
      <c r="BQ189" s="23">
        <f>EXP(-LN(2)/25)*BQ188+(1-EXP(-LN(2)/25))/(LN(2)/25)*Calculateur!BL189*Calculateur!BN189*VLOOKUP('Données projet'!$B$11,Paramètres!$A$1:$I$89,3,0)*0.475*44/12</f>
        <v>9.5815008292660472E-2</v>
      </c>
      <c r="BR189" s="23">
        <f>EXP(-LN(2)/2)*BR188+(1-EXP(-LN(2)/2))/(LN(2)/2)*BL189*BO189*VLOOKUP('Données projet'!$B$11,Paramètres!$A$1:$I$89,3,0)*0.475*44/12</f>
        <v>9.7572341564090961E-24</v>
      </c>
      <c r="BS189" s="24">
        <f t="shared" si="169"/>
        <v>0.71025905188762051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-5.6843418860808015E-14</v>
      </c>
      <c r="BZ189" s="14">
        <f>BY189*VLOOKUP('Données projet'!$B$12,Paramètres!$A$1:$I$89,3,0)*VLOOKUP('Données projet'!$B$12,Paramètres!$A$1:$I$89,5,0)</f>
        <v>-3.3992364478763198E-14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155.11440101086782</v>
      </c>
      <c r="CE189" s="62">
        <f t="shared" si="148"/>
        <v>239.53454701506638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0.61444404359496008</v>
      </c>
      <c r="CL189" s="23">
        <f>EXP(-LN(2)/25)*CL188+(1-EXP(-LN(2)/25))/(LN(2)/25)*Calculateur!CG189*Calculateur!CI189*VLOOKUP('Données projet'!$B$12,Paramètres!$A$1:$I$89,3,0)*0.475*44/12</f>
        <v>9.5815008292660472E-2</v>
      </c>
      <c r="CM189" s="23">
        <f>EXP(-LN(2)/2)*CM188+(1-EXP(-LN(2)/2))/(LN(2)/2)*CG189*CJ189*VLOOKUP('Données projet'!$B$12,Paramètres!$A$1:$I$89,3,0)*0.475*44/12</f>
        <v>9.7572341564090961E-24</v>
      </c>
      <c r="CN189" s="24">
        <f t="shared" si="172"/>
        <v>0.71025905188762051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-1.1368683772161603E-13</v>
      </c>
      <c r="CU189" s="18">
        <f>CT189*VLOOKUP('Données projet'!$B$13,Paramètres!$A$1:$I$89,3,0)*VLOOKUP('Données projet'!$B$13,Paramètres!$A$1:$I$89,5,0)</f>
        <v>-9.2222762759774927E-14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191.03017979797141</v>
      </c>
      <c r="CZ189" s="62">
        <f t="shared" si="150"/>
        <v>222.78252111624278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-1.1368683772161603E-13</v>
      </c>
      <c r="DP189" s="18">
        <f>DO189*VLOOKUP('Données projet'!$B$14,Paramètres!$A$1:$I$89,3,0)*VLOOKUP('Données projet'!$B$14,Paramètres!$A$1:$I$89,5,0)</f>
        <v>-1.0818439477588981E-13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260.93525280373063</v>
      </c>
      <c r="DU189" s="62">
        <f t="shared" si="152"/>
        <v>206.83968452163816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>
        <f>EJ189*VLOOKUP('Données projet'!$B$15,Paramètres!$A$1:$I$89,3,0)*VLOOKUP('Données projet'!$B$15,Paramètres!$A$1:$I$89,5,0)</f>
        <v>0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118.01099353898547</v>
      </c>
      <c r="EP189" s="62">
        <f t="shared" si="154"/>
        <v>103.17146760845947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-9.6633812063373625E-13</v>
      </c>
      <c r="FF189" s="18">
        <f>FE189*VLOOKUP('Données projet'!$B$16,Paramètres!$A$1:$I$89,3,0)*VLOOKUP('Données projet'!$B$16,Paramètres!$A$1:$I$89,5,0)</f>
        <v>-9.6479197964072245E-13</v>
      </c>
      <c r="FG189" s="14" t="e">
        <f t="shared" si="182"/>
        <v>#NUM!</v>
      </c>
      <c r="FH189" s="22" t="e">
        <f t="shared" si="183"/>
        <v>#NUM!</v>
      </c>
      <c r="FI189" s="62" t="e">
        <f t="shared" si="131"/>
        <v>#NUM!</v>
      </c>
      <c r="FJ189" s="62">
        <f ca="1">AVERAGE(OFFSET($FI$3,0,0,'Données projet'!$E$16+1,1))-AVERAGE(OFFSET($H$3,0,0,'Données projet'!$E$16+1,1))</f>
        <v>343.71044073996887</v>
      </c>
      <c r="FK189" s="62">
        <f t="shared" si="156"/>
        <v>193.51732627292375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-9.6633812063373625E-13</v>
      </c>
      <c r="O190" s="14">
        <f>N190*VLOOKUP('Données projet'!$B$9,Paramètres!$A$1:$I$89,3,0)*VLOOKUP('Données projet'!$B$9,Paramètres!$A$1:$I$89,5,0)</f>
        <v>-8.7434273154940449E-13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303.73499739059076</v>
      </c>
      <c r="T190" s="62">
        <f t="shared" si="142"/>
        <v>172.32171001882188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-2.2737367544323206E-13</v>
      </c>
      <c r="AJ190" s="14">
        <f>AI190*VLOOKUP('Données projet'!$B$10,Paramètres!$A$1:$I$89,3,0)*VLOOKUP('Données projet'!$B$10,Paramètres!$A$1:$I$89,5,0)</f>
        <v>-1.6671037883497774E-13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215.66498680344858</v>
      </c>
      <c r="AO190" s="62">
        <f t="shared" si="144"/>
        <v>199.86715787211114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-5.6843418860808015E-14</v>
      </c>
      <c r="BE190" s="14">
        <f>BD190*VLOOKUP('Données projet'!$B$11,Paramètres!$A$1:$I$89,3,0)*VLOOKUP('Données projet'!$B$11,Paramètres!$A$1:$I$89,5,0)</f>
        <v>-3.3992364478763198E-14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155.11440101086782</v>
      </c>
      <c r="BJ190" s="62">
        <f t="shared" si="146"/>
        <v>239.53454701506638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0.60239517067392367</v>
      </c>
      <c r="BQ190" s="23">
        <f>EXP(-LN(2)/25)*BQ189+(1-EXP(-LN(2)/25))/(LN(2)/25)*Calculateur!BL190*Calculateur!BN190*VLOOKUP('Données projet'!$B$11,Paramètres!$A$1:$I$89,3,0)*0.475*44/12</f>
        <v>9.3194941852205379E-2</v>
      </c>
      <c r="BR190" s="23">
        <f>EXP(-LN(2)/2)*BR189+(1-EXP(-LN(2)/2))/(LN(2)/2)*BL190*BO190*VLOOKUP('Données projet'!$B$11,Paramètres!$A$1:$I$89,3,0)*0.475*44/12</f>
        <v>6.8994064376218741E-24</v>
      </c>
      <c r="BS190" s="24">
        <f t="shared" si="169"/>
        <v>0.69559011252612901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-5.6843418860808015E-14</v>
      </c>
      <c r="BZ190" s="14">
        <f>BY190*VLOOKUP('Données projet'!$B$12,Paramètres!$A$1:$I$89,3,0)*VLOOKUP('Données projet'!$B$12,Paramètres!$A$1:$I$89,5,0)</f>
        <v>-3.3992364478763198E-14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155.11440101086782</v>
      </c>
      <c r="CE190" s="62">
        <f t="shared" si="148"/>
        <v>239.53454701506638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0.60239517067392367</v>
      </c>
      <c r="CL190" s="23">
        <f>EXP(-LN(2)/25)*CL189+(1-EXP(-LN(2)/25))/(LN(2)/25)*Calculateur!CG190*Calculateur!CI190*VLOOKUP('Données projet'!$B$12,Paramètres!$A$1:$I$89,3,0)*0.475*44/12</f>
        <v>9.3194941852205379E-2</v>
      </c>
      <c r="CM190" s="23">
        <f>EXP(-LN(2)/2)*CM189+(1-EXP(-LN(2)/2))/(LN(2)/2)*CG190*CJ190*VLOOKUP('Données projet'!$B$12,Paramètres!$A$1:$I$89,3,0)*0.475*44/12</f>
        <v>6.8994064376218741E-24</v>
      </c>
      <c r="CN190" s="24">
        <f t="shared" si="172"/>
        <v>0.69559011252612901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-1.1368683772161603E-13</v>
      </c>
      <c r="CU190" s="18">
        <f>CT190*VLOOKUP('Données projet'!$B$13,Paramètres!$A$1:$I$89,3,0)*VLOOKUP('Données projet'!$B$13,Paramètres!$A$1:$I$89,5,0)</f>
        <v>-9.2222762759774927E-14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191.03017979797141</v>
      </c>
      <c r="CZ190" s="62">
        <f t="shared" si="150"/>
        <v>222.78252111624278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-1.1368683772161603E-13</v>
      </c>
      <c r="DP190" s="18">
        <f>DO190*VLOOKUP('Données projet'!$B$14,Paramètres!$A$1:$I$89,3,0)*VLOOKUP('Données projet'!$B$14,Paramètres!$A$1:$I$89,5,0)</f>
        <v>-1.0818439477588981E-13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260.93525280373063</v>
      </c>
      <c r="DU190" s="62">
        <f t="shared" si="152"/>
        <v>206.83968452163816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>
        <f>EJ190*VLOOKUP('Données projet'!$B$15,Paramètres!$A$1:$I$89,3,0)*VLOOKUP('Données projet'!$B$15,Paramètres!$A$1:$I$89,5,0)</f>
        <v>0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118.01099353898547</v>
      </c>
      <c r="EP190" s="62">
        <f t="shared" si="154"/>
        <v>103.17146760845947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-9.6633812063373625E-13</v>
      </c>
      <c r="FF190" s="18">
        <f>FE190*VLOOKUP('Données projet'!$B$16,Paramètres!$A$1:$I$89,3,0)*VLOOKUP('Données projet'!$B$16,Paramètres!$A$1:$I$89,5,0)</f>
        <v>-9.6479197964072245E-13</v>
      </c>
      <c r="FG190" s="14" t="e">
        <f t="shared" si="182"/>
        <v>#NUM!</v>
      </c>
      <c r="FH190" s="22" t="e">
        <f t="shared" si="183"/>
        <v>#NUM!</v>
      </c>
      <c r="FI190" s="62" t="e">
        <f t="shared" si="131"/>
        <v>#NUM!</v>
      </c>
      <c r="FJ190" s="62">
        <f ca="1">AVERAGE(OFFSET($FI$3,0,0,'Données projet'!$E$16+1,1))-AVERAGE(OFFSET($H$3,0,0,'Données projet'!$E$16+1,1))</f>
        <v>343.71044073996887</v>
      </c>
      <c r="FK190" s="62">
        <f t="shared" si="156"/>
        <v>193.51732627292375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-9.6633812063373625E-13</v>
      </c>
      <c r="O191" s="14">
        <f>N191*VLOOKUP('Données projet'!$B$9,Paramètres!$A$1:$I$89,3,0)*VLOOKUP('Données projet'!$B$9,Paramètres!$A$1:$I$89,5,0)</f>
        <v>-8.7434273154940449E-13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303.73499739059076</v>
      </c>
      <c r="T191" s="62">
        <f t="shared" si="142"/>
        <v>172.32171001882188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-2.2737367544323206E-13</v>
      </c>
      <c r="AJ191" s="14">
        <f>AI191*VLOOKUP('Données projet'!$B$10,Paramètres!$A$1:$I$89,3,0)*VLOOKUP('Données projet'!$B$10,Paramètres!$A$1:$I$89,5,0)</f>
        <v>-1.6671037883497774E-13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215.66498680344858</v>
      </c>
      <c r="AO191" s="62">
        <f t="shared" si="144"/>
        <v>199.86715787211114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-5.6843418860808015E-14</v>
      </c>
      <c r="BE191" s="14">
        <f>BD191*VLOOKUP('Données projet'!$B$11,Paramètres!$A$1:$I$89,3,0)*VLOOKUP('Données projet'!$B$11,Paramètres!$A$1:$I$89,5,0)</f>
        <v>-3.3992364478763198E-14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155.11440101086782</v>
      </c>
      <c r="BJ191" s="62">
        <f t="shared" si="146"/>
        <v>239.53454701506638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0.59058256880178195</v>
      </c>
      <c r="BQ191" s="23">
        <f>EXP(-LN(2)/25)*BQ190+(1-EXP(-LN(2)/25))/(LN(2)/25)*Calculateur!BL191*Calculateur!BN191*VLOOKUP('Données projet'!$B$11,Paramètres!$A$1:$I$89,3,0)*0.475*44/12</f>
        <v>9.0646521266347826E-2</v>
      </c>
      <c r="BR191" s="23">
        <f>EXP(-LN(2)/2)*BR190+(1-EXP(-LN(2)/2))/(LN(2)/2)*BL191*BO191*VLOOKUP('Données projet'!$B$11,Paramètres!$A$1:$I$89,3,0)*0.475*44/12</f>
        <v>4.878617078204548E-24</v>
      </c>
      <c r="BS191" s="24">
        <f t="shared" si="169"/>
        <v>0.68122909006812982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-5.6843418860808015E-14</v>
      </c>
      <c r="BZ191" s="14">
        <f>BY191*VLOOKUP('Données projet'!$B$12,Paramètres!$A$1:$I$89,3,0)*VLOOKUP('Données projet'!$B$12,Paramètres!$A$1:$I$89,5,0)</f>
        <v>-3.3992364478763198E-14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155.11440101086782</v>
      </c>
      <c r="CE191" s="62">
        <f t="shared" si="148"/>
        <v>239.53454701506638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0.59058256880178195</v>
      </c>
      <c r="CL191" s="23">
        <f>EXP(-LN(2)/25)*CL190+(1-EXP(-LN(2)/25))/(LN(2)/25)*Calculateur!CG191*Calculateur!CI191*VLOOKUP('Données projet'!$B$12,Paramètres!$A$1:$I$89,3,0)*0.475*44/12</f>
        <v>9.0646521266347826E-2</v>
      </c>
      <c r="CM191" s="23">
        <f>EXP(-LN(2)/2)*CM190+(1-EXP(-LN(2)/2))/(LN(2)/2)*CG191*CJ191*VLOOKUP('Données projet'!$B$12,Paramètres!$A$1:$I$89,3,0)*0.475*44/12</f>
        <v>4.878617078204548E-24</v>
      </c>
      <c r="CN191" s="24">
        <f t="shared" si="172"/>
        <v>0.68122909006812982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-1.1368683772161603E-13</v>
      </c>
      <c r="CU191" s="18">
        <f>CT191*VLOOKUP('Données projet'!$B$13,Paramètres!$A$1:$I$89,3,0)*VLOOKUP('Données projet'!$B$13,Paramètres!$A$1:$I$89,5,0)</f>
        <v>-9.2222762759774927E-14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191.03017979797141</v>
      </c>
      <c r="CZ191" s="62">
        <f t="shared" si="150"/>
        <v>222.78252111624278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-1.1368683772161603E-13</v>
      </c>
      <c r="DP191" s="18">
        <f>DO191*VLOOKUP('Données projet'!$B$14,Paramètres!$A$1:$I$89,3,0)*VLOOKUP('Données projet'!$B$14,Paramètres!$A$1:$I$89,5,0)</f>
        <v>-1.0818439477588981E-13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260.93525280373063</v>
      </c>
      <c r="DU191" s="62">
        <f t="shared" si="152"/>
        <v>206.83968452163816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>
        <f>EJ191*VLOOKUP('Données projet'!$B$15,Paramètres!$A$1:$I$89,3,0)*VLOOKUP('Données projet'!$B$15,Paramètres!$A$1:$I$89,5,0)</f>
        <v>0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118.01099353898547</v>
      </c>
      <c r="EP191" s="62">
        <f t="shared" si="154"/>
        <v>103.17146760845947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-9.6633812063373625E-13</v>
      </c>
      <c r="FF191" s="18">
        <f>FE191*VLOOKUP('Données projet'!$B$16,Paramètres!$A$1:$I$89,3,0)*VLOOKUP('Données projet'!$B$16,Paramètres!$A$1:$I$89,5,0)</f>
        <v>-9.6479197964072245E-13</v>
      </c>
      <c r="FG191" s="14" t="e">
        <f t="shared" si="182"/>
        <v>#NUM!</v>
      </c>
      <c r="FH191" s="22" t="e">
        <f t="shared" si="183"/>
        <v>#NUM!</v>
      </c>
      <c r="FI191" s="62" t="e">
        <f t="shared" si="131"/>
        <v>#NUM!</v>
      </c>
      <c r="FJ191" s="62">
        <f ca="1">AVERAGE(OFFSET($FI$3,0,0,'Données projet'!$E$16+1,1))-AVERAGE(OFFSET($H$3,0,0,'Données projet'!$E$16+1,1))</f>
        <v>343.71044073996887</v>
      </c>
      <c r="FK191" s="62">
        <f t="shared" si="156"/>
        <v>193.51732627292375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-9.6633812063373625E-13</v>
      </c>
      <c r="O192" s="14">
        <f>N192*VLOOKUP('Données projet'!$B$9,Paramètres!$A$1:$I$89,3,0)*VLOOKUP('Données projet'!$B$9,Paramètres!$A$1:$I$89,5,0)</f>
        <v>-8.7434273154940449E-13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303.73499739059076</v>
      </c>
      <c r="T192" s="62">
        <f t="shared" si="142"/>
        <v>172.32171001882188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-2.2737367544323206E-13</v>
      </c>
      <c r="AJ192" s="14">
        <f>AI192*VLOOKUP('Données projet'!$B$10,Paramètres!$A$1:$I$89,3,0)*VLOOKUP('Données projet'!$B$10,Paramètres!$A$1:$I$89,5,0)</f>
        <v>-1.6671037883497774E-13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215.66498680344858</v>
      </c>
      <c r="AO192" s="62">
        <f t="shared" si="144"/>
        <v>199.86715787211114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-5.6843418860808015E-14</v>
      </c>
      <c r="BE192" s="14">
        <f>BD192*VLOOKUP('Données projet'!$B$11,Paramètres!$A$1:$I$89,3,0)*VLOOKUP('Données projet'!$B$11,Paramètres!$A$1:$I$89,5,0)</f>
        <v>-3.3992364478763198E-14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155.11440101086782</v>
      </c>
      <c r="BJ192" s="62">
        <f t="shared" si="146"/>
        <v>239.53454701506638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0.57900160484737717</v>
      </c>
      <c r="BQ192" s="23">
        <f>EXP(-LN(2)/25)*BQ191+(1-EXP(-LN(2)/25))/(LN(2)/25)*Calculateur!BL192*Calculateur!BN192*VLOOKUP('Données projet'!$B$11,Paramètres!$A$1:$I$89,3,0)*0.475*44/12</f>
        <v>8.8167787375426174E-2</v>
      </c>
      <c r="BR192" s="23">
        <f>EXP(-LN(2)/2)*BR191+(1-EXP(-LN(2)/2))/(LN(2)/2)*BL192*BO192*VLOOKUP('Données projet'!$B$11,Paramètres!$A$1:$I$89,3,0)*0.475*44/12</f>
        <v>3.4497032188109371E-24</v>
      </c>
      <c r="BS192" s="24">
        <f t="shared" si="169"/>
        <v>0.66716939222280336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-5.6843418860808015E-14</v>
      </c>
      <c r="BZ192" s="14">
        <f>BY192*VLOOKUP('Données projet'!$B$12,Paramètres!$A$1:$I$89,3,0)*VLOOKUP('Données projet'!$B$12,Paramètres!$A$1:$I$89,5,0)</f>
        <v>-3.3992364478763198E-14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155.11440101086782</v>
      </c>
      <c r="CE192" s="62">
        <f t="shared" si="148"/>
        <v>239.53454701506638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0.57900160484737717</v>
      </c>
      <c r="CL192" s="23">
        <f>EXP(-LN(2)/25)*CL191+(1-EXP(-LN(2)/25))/(LN(2)/25)*Calculateur!CG192*Calculateur!CI192*VLOOKUP('Données projet'!$B$12,Paramètres!$A$1:$I$89,3,0)*0.475*44/12</f>
        <v>8.8167787375426174E-2</v>
      </c>
      <c r="CM192" s="23">
        <f>EXP(-LN(2)/2)*CM191+(1-EXP(-LN(2)/2))/(LN(2)/2)*CG192*CJ192*VLOOKUP('Données projet'!$B$12,Paramètres!$A$1:$I$89,3,0)*0.475*44/12</f>
        <v>3.4497032188109371E-24</v>
      </c>
      <c r="CN192" s="24">
        <f t="shared" si="172"/>
        <v>0.66716939222280336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-1.1368683772161603E-13</v>
      </c>
      <c r="CU192" s="18">
        <f>CT192*VLOOKUP('Données projet'!$B$13,Paramètres!$A$1:$I$89,3,0)*VLOOKUP('Données projet'!$B$13,Paramètres!$A$1:$I$89,5,0)</f>
        <v>-9.2222762759774927E-14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191.03017979797141</v>
      </c>
      <c r="CZ192" s="62">
        <f t="shared" si="150"/>
        <v>222.78252111624278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-1.1368683772161603E-13</v>
      </c>
      <c r="DP192" s="18">
        <f>DO192*VLOOKUP('Données projet'!$B$14,Paramètres!$A$1:$I$89,3,0)*VLOOKUP('Données projet'!$B$14,Paramètres!$A$1:$I$89,5,0)</f>
        <v>-1.0818439477588981E-13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260.93525280373063</v>
      </c>
      <c r="DU192" s="62">
        <f t="shared" si="152"/>
        <v>206.83968452163816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>
        <f>EJ192*VLOOKUP('Données projet'!$B$15,Paramètres!$A$1:$I$89,3,0)*VLOOKUP('Données projet'!$B$15,Paramètres!$A$1:$I$89,5,0)</f>
        <v>0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118.01099353898547</v>
      </c>
      <c r="EP192" s="62">
        <f t="shared" si="154"/>
        <v>103.17146760845947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-9.6633812063373625E-13</v>
      </c>
      <c r="FF192" s="18">
        <f>FE192*VLOOKUP('Données projet'!$B$16,Paramètres!$A$1:$I$89,3,0)*VLOOKUP('Données projet'!$B$16,Paramètres!$A$1:$I$89,5,0)</f>
        <v>-9.6479197964072245E-13</v>
      </c>
      <c r="FG192" s="14" t="e">
        <f t="shared" si="182"/>
        <v>#NUM!</v>
      </c>
      <c r="FH192" s="22" t="e">
        <f t="shared" si="183"/>
        <v>#NUM!</v>
      </c>
      <c r="FI192" s="62" t="e">
        <f t="shared" si="131"/>
        <v>#NUM!</v>
      </c>
      <c r="FJ192" s="62">
        <f ca="1">AVERAGE(OFFSET($FI$3,0,0,'Données projet'!$E$16+1,1))-AVERAGE(OFFSET($H$3,0,0,'Données projet'!$E$16+1,1))</f>
        <v>343.71044073996887</v>
      </c>
      <c r="FK192" s="62">
        <f t="shared" si="156"/>
        <v>193.51732627292375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-9.6633812063373625E-13</v>
      </c>
      <c r="O193" s="14">
        <f>N193*VLOOKUP('Données projet'!$B$9,Paramètres!$A$1:$I$89,3,0)*VLOOKUP('Données projet'!$B$9,Paramètres!$A$1:$I$89,5,0)</f>
        <v>-8.7434273154940449E-13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303.73499739059076</v>
      </c>
      <c r="T193" s="62">
        <f t="shared" si="142"/>
        <v>172.32171001882188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-2.2737367544323206E-13</v>
      </c>
      <c r="AJ193" s="14">
        <f>AI193*VLOOKUP('Données projet'!$B$10,Paramètres!$A$1:$I$89,3,0)*VLOOKUP('Données projet'!$B$10,Paramètres!$A$1:$I$89,5,0)</f>
        <v>-1.6671037883497774E-13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215.66498680344858</v>
      </c>
      <c r="AO193" s="62">
        <f t="shared" si="144"/>
        <v>199.86715787211114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-5.6843418860808015E-14</v>
      </c>
      <c r="BE193" s="14">
        <f>BD193*VLOOKUP('Données projet'!$B$11,Paramètres!$A$1:$I$89,3,0)*VLOOKUP('Données projet'!$B$11,Paramètres!$A$1:$I$89,5,0)</f>
        <v>-3.3992364478763198E-14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155.11440101086782</v>
      </c>
      <c r="BJ193" s="62">
        <f t="shared" si="146"/>
        <v>239.53454701506638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0.56764773653242784</v>
      </c>
      <c r="BQ193" s="23">
        <f>EXP(-LN(2)/25)*BQ192+(1-EXP(-LN(2)/25))/(LN(2)/25)*Calculateur!BL193*Calculateur!BN193*VLOOKUP('Données projet'!$B$11,Paramètres!$A$1:$I$89,3,0)*0.475*44/12</f>
        <v>8.5756834593102724E-2</v>
      </c>
      <c r="BR193" s="23">
        <f>EXP(-LN(2)/2)*BR192+(1-EXP(-LN(2)/2))/(LN(2)/2)*BL193*BO193*VLOOKUP('Données projet'!$B$11,Paramètres!$A$1:$I$89,3,0)*0.475*44/12</f>
        <v>2.439308539102274E-24</v>
      </c>
      <c r="BS193" s="24">
        <f t="shared" si="169"/>
        <v>0.65340457112553052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-5.6843418860808015E-14</v>
      </c>
      <c r="BZ193" s="14">
        <f>BY193*VLOOKUP('Données projet'!$B$12,Paramètres!$A$1:$I$89,3,0)*VLOOKUP('Données projet'!$B$12,Paramètres!$A$1:$I$89,5,0)</f>
        <v>-3.3992364478763198E-14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155.11440101086782</v>
      </c>
      <c r="CE193" s="62">
        <f t="shared" si="148"/>
        <v>239.53454701506638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0.56764773653242784</v>
      </c>
      <c r="CL193" s="23">
        <f>EXP(-LN(2)/25)*CL192+(1-EXP(-LN(2)/25))/(LN(2)/25)*Calculateur!CG193*Calculateur!CI193*VLOOKUP('Données projet'!$B$12,Paramètres!$A$1:$I$89,3,0)*0.475*44/12</f>
        <v>8.5756834593102724E-2</v>
      </c>
      <c r="CM193" s="23">
        <f>EXP(-LN(2)/2)*CM192+(1-EXP(-LN(2)/2))/(LN(2)/2)*CG193*CJ193*VLOOKUP('Données projet'!$B$12,Paramètres!$A$1:$I$89,3,0)*0.475*44/12</f>
        <v>2.439308539102274E-24</v>
      </c>
      <c r="CN193" s="24">
        <f t="shared" si="172"/>
        <v>0.65340457112553052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-1.1368683772161603E-13</v>
      </c>
      <c r="CU193" s="18">
        <f>CT193*VLOOKUP('Données projet'!$B$13,Paramètres!$A$1:$I$89,3,0)*VLOOKUP('Données projet'!$B$13,Paramètres!$A$1:$I$89,5,0)</f>
        <v>-9.2222762759774927E-14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191.03017979797141</v>
      </c>
      <c r="CZ193" s="62">
        <f t="shared" si="150"/>
        <v>222.78252111624278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-1.1368683772161603E-13</v>
      </c>
      <c r="DP193" s="18">
        <f>DO193*VLOOKUP('Données projet'!$B$14,Paramètres!$A$1:$I$89,3,0)*VLOOKUP('Données projet'!$B$14,Paramètres!$A$1:$I$89,5,0)</f>
        <v>-1.0818439477588981E-13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260.93525280373063</v>
      </c>
      <c r="DU193" s="62">
        <f t="shared" si="152"/>
        <v>206.83968452163816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>
        <f>EJ193*VLOOKUP('Données projet'!$B$15,Paramètres!$A$1:$I$89,3,0)*VLOOKUP('Données projet'!$B$15,Paramètres!$A$1:$I$89,5,0)</f>
        <v>0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118.01099353898547</v>
      </c>
      <c r="EP193" s="62">
        <f t="shared" si="154"/>
        <v>103.17146760845947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-9.6633812063373625E-13</v>
      </c>
      <c r="FF193" s="18">
        <f>FE193*VLOOKUP('Données projet'!$B$16,Paramètres!$A$1:$I$89,3,0)*VLOOKUP('Données projet'!$B$16,Paramètres!$A$1:$I$89,5,0)</f>
        <v>-9.6479197964072245E-13</v>
      </c>
      <c r="FG193" s="14" t="e">
        <f t="shared" si="182"/>
        <v>#NUM!</v>
      </c>
      <c r="FH193" s="22" t="e">
        <f t="shared" si="183"/>
        <v>#NUM!</v>
      </c>
      <c r="FI193" s="62" t="e">
        <f t="shared" si="131"/>
        <v>#NUM!</v>
      </c>
      <c r="FJ193" s="62">
        <f ca="1">AVERAGE(OFFSET($FI$3,0,0,'Données projet'!$E$16+1,1))-AVERAGE(OFFSET($H$3,0,0,'Données projet'!$E$16+1,1))</f>
        <v>343.71044073996887</v>
      </c>
      <c r="FK193" s="62">
        <f t="shared" si="156"/>
        <v>193.51732627292375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-9.6633812063373625E-13</v>
      </c>
      <c r="O194" s="14">
        <f>N194*VLOOKUP('Données projet'!$B$9,Paramètres!$A$1:$I$89,3,0)*VLOOKUP('Données projet'!$B$9,Paramètres!$A$1:$I$89,5,0)</f>
        <v>-8.7434273154940449E-13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303.73499739059076</v>
      </c>
      <c r="T194" s="62">
        <f t="shared" si="142"/>
        <v>172.32171001882188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-2.2737367544323206E-13</v>
      </c>
      <c r="AJ194" s="14">
        <f>AI194*VLOOKUP('Données projet'!$B$10,Paramètres!$A$1:$I$89,3,0)*VLOOKUP('Données projet'!$B$10,Paramètres!$A$1:$I$89,5,0)</f>
        <v>-1.6671037883497774E-13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215.66498680344858</v>
      </c>
      <c r="AO194" s="62">
        <f t="shared" si="144"/>
        <v>199.86715787211114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-5.6843418860808015E-14</v>
      </c>
      <c r="BE194" s="14">
        <f>BD194*VLOOKUP('Données projet'!$B$11,Paramètres!$A$1:$I$89,3,0)*VLOOKUP('Données projet'!$B$11,Paramètres!$A$1:$I$89,5,0)</f>
        <v>-3.3992364478763198E-14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155.11440101086782</v>
      </c>
      <c r="BJ194" s="62">
        <f t="shared" si="146"/>
        <v>239.53454701506638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0.55651651064995877</v>
      </c>
      <c r="BQ194" s="23">
        <f>EXP(-LN(2)/25)*BQ193+(1-EXP(-LN(2)/25))/(LN(2)/25)*Calculateur!BL194*Calculateur!BN194*VLOOKUP('Données projet'!$B$11,Paramètres!$A$1:$I$89,3,0)*0.475*44/12</f>
        <v>8.3411809441398393E-2</v>
      </c>
      <c r="BR194" s="23">
        <f>EXP(-LN(2)/2)*BR193+(1-EXP(-LN(2)/2))/(LN(2)/2)*BL194*BO194*VLOOKUP('Données projet'!$B$11,Paramètres!$A$1:$I$89,3,0)*0.475*44/12</f>
        <v>1.7248516094054685E-24</v>
      </c>
      <c r="BS194" s="24">
        <f t="shared" si="169"/>
        <v>0.63992832009135714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-5.6843418860808015E-14</v>
      </c>
      <c r="BZ194" s="14">
        <f>BY194*VLOOKUP('Données projet'!$B$12,Paramètres!$A$1:$I$89,3,0)*VLOOKUP('Données projet'!$B$12,Paramètres!$A$1:$I$89,5,0)</f>
        <v>-3.3992364478763198E-14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155.11440101086782</v>
      </c>
      <c r="CE194" s="62">
        <f t="shared" si="148"/>
        <v>239.53454701506638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0.55651651064995877</v>
      </c>
      <c r="CL194" s="23">
        <f>EXP(-LN(2)/25)*CL193+(1-EXP(-LN(2)/25))/(LN(2)/25)*Calculateur!CG194*Calculateur!CI194*VLOOKUP('Données projet'!$B$12,Paramètres!$A$1:$I$89,3,0)*0.475*44/12</f>
        <v>8.3411809441398393E-2</v>
      </c>
      <c r="CM194" s="23">
        <f>EXP(-LN(2)/2)*CM193+(1-EXP(-LN(2)/2))/(LN(2)/2)*CG194*CJ194*VLOOKUP('Données projet'!$B$12,Paramètres!$A$1:$I$89,3,0)*0.475*44/12</f>
        <v>1.7248516094054685E-24</v>
      </c>
      <c r="CN194" s="24">
        <f t="shared" si="172"/>
        <v>0.63992832009135714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-1.1368683772161603E-13</v>
      </c>
      <c r="CU194" s="18">
        <f>CT194*VLOOKUP('Données projet'!$B$13,Paramètres!$A$1:$I$89,3,0)*VLOOKUP('Données projet'!$B$13,Paramètres!$A$1:$I$89,5,0)</f>
        <v>-9.2222762759774927E-14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191.03017979797141</v>
      </c>
      <c r="CZ194" s="62">
        <f t="shared" si="150"/>
        <v>222.78252111624278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-1.1368683772161603E-13</v>
      </c>
      <c r="DP194" s="18">
        <f>DO194*VLOOKUP('Données projet'!$B$14,Paramètres!$A$1:$I$89,3,0)*VLOOKUP('Données projet'!$B$14,Paramètres!$A$1:$I$89,5,0)</f>
        <v>-1.0818439477588981E-13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260.93525280373063</v>
      </c>
      <c r="DU194" s="62">
        <f t="shared" si="152"/>
        <v>206.83968452163816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>
        <f>EJ194*VLOOKUP('Données projet'!$B$15,Paramètres!$A$1:$I$89,3,0)*VLOOKUP('Données projet'!$B$15,Paramètres!$A$1:$I$89,5,0)</f>
        <v>0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118.01099353898547</v>
      </c>
      <c r="EP194" s="62">
        <f t="shared" si="154"/>
        <v>103.17146760845947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-9.6633812063373625E-13</v>
      </c>
      <c r="FF194" s="18">
        <f>FE194*VLOOKUP('Données projet'!$B$16,Paramètres!$A$1:$I$89,3,0)*VLOOKUP('Données projet'!$B$16,Paramètres!$A$1:$I$89,5,0)</f>
        <v>-9.6479197964072245E-13</v>
      </c>
      <c r="FG194" s="14" t="e">
        <f t="shared" si="182"/>
        <v>#NUM!</v>
      </c>
      <c r="FH194" s="22" t="e">
        <f t="shared" si="183"/>
        <v>#NUM!</v>
      </c>
      <c r="FI194" s="62" t="e">
        <f t="shared" si="131"/>
        <v>#NUM!</v>
      </c>
      <c r="FJ194" s="62">
        <f ca="1">AVERAGE(OFFSET($FI$3,0,0,'Données projet'!$E$16+1,1))-AVERAGE(OFFSET($H$3,0,0,'Données projet'!$E$16+1,1))</f>
        <v>343.71044073996887</v>
      </c>
      <c r="FK194" s="62">
        <f t="shared" si="156"/>
        <v>193.51732627292375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-9.6633812063373625E-13</v>
      </c>
      <c r="O195" s="14">
        <f>N195*VLOOKUP('Données projet'!$B$9,Paramètres!$A$1:$I$89,3,0)*VLOOKUP('Données projet'!$B$9,Paramètres!$A$1:$I$89,5,0)</f>
        <v>-8.7434273154940449E-13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303.73499739059076</v>
      </c>
      <c r="T195" s="62">
        <f t="shared" si="142"/>
        <v>172.32171001882188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-2.2737367544323206E-13</v>
      </c>
      <c r="AJ195" s="14">
        <f>AI195*VLOOKUP('Données projet'!$B$10,Paramètres!$A$1:$I$89,3,0)*VLOOKUP('Données projet'!$B$10,Paramètres!$A$1:$I$89,5,0)</f>
        <v>-1.6671037883497774E-13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215.66498680344858</v>
      </c>
      <c r="AO195" s="62">
        <f t="shared" si="144"/>
        <v>199.86715787211114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-5.6843418860808015E-14</v>
      </c>
      <c r="BE195" s="14">
        <f>BD195*VLOOKUP('Données projet'!$B$11,Paramètres!$A$1:$I$89,3,0)*VLOOKUP('Données projet'!$B$11,Paramètres!$A$1:$I$89,5,0)</f>
        <v>-3.3992364478763198E-14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155.11440101086782</v>
      </c>
      <c r="BJ195" s="62">
        <f t="shared" si="146"/>
        <v>239.53454701506638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0.54560356131766752</v>
      </c>
      <c r="BQ195" s="23">
        <f>EXP(-LN(2)/25)*BQ194+(1-EXP(-LN(2)/25))/(LN(2)/25)*Calculateur!BL195*Calculateur!BN195*VLOOKUP('Données projet'!$B$11,Paramètres!$A$1:$I$89,3,0)*0.475*44/12</f>
        <v>8.1130909125786937E-2</v>
      </c>
      <c r="BR195" s="23">
        <f>EXP(-LN(2)/2)*BR194+(1-EXP(-LN(2)/2))/(LN(2)/2)*BL195*BO195*VLOOKUP('Données projet'!$B$11,Paramètres!$A$1:$I$89,3,0)*0.475*44/12</f>
        <v>1.219654269551137E-24</v>
      </c>
      <c r="BS195" s="24">
        <f t="shared" si="169"/>
        <v>0.62673447044345443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-5.6843418860808015E-14</v>
      </c>
      <c r="BZ195" s="14">
        <f>BY195*VLOOKUP('Données projet'!$B$12,Paramètres!$A$1:$I$89,3,0)*VLOOKUP('Données projet'!$B$12,Paramètres!$A$1:$I$89,5,0)</f>
        <v>-3.3992364478763198E-14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155.11440101086782</v>
      </c>
      <c r="CE195" s="62">
        <f t="shared" si="148"/>
        <v>239.53454701506638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0.54560356131766752</v>
      </c>
      <c r="CL195" s="23">
        <f>EXP(-LN(2)/25)*CL194+(1-EXP(-LN(2)/25))/(LN(2)/25)*Calculateur!CG195*Calculateur!CI195*VLOOKUP('Données projet'!$B$12,Paramètres!$A$1:$I$89,3,0)*0.475*44/12</f>
        <v>8.1130909125786937E-2</v>
      </c>
      <c r="CM195" s="23">
        <f>EXP(-LN(2)/2)*CM194+(1-EXP(-LN(2)/2))/(LN(2)/2)*CG195*CJ195*VLOOKUP('Données projet'!$B$12,Paramètres!$A$1:$I$89,3,0)*0.475*44/12</f>
        <v>1.219654269551137E-24</v>
      </c>
      <c r="CN195" s="24">
        <f t="shared" si="172"/>
        <v>0.62673447044345443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-1.1368683772161603E-13</v>
      </c>
      <c r="CU195" s="18">
        <f>CT195*VLOOKUP('Données projet'!$B$13,Paramètres!$A$1:$I$89,3,0)*VLOOKUP('Données projet'!$B$13,Paramètres!$A$1:$I$89,5,0)</f>
        <v>-9.2222762759774927E-14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191.03017979797141</v>
      </c>
      <c r="CZ195" s="62">
        <f t="shared" si="150"/>
        <v>222.78252111624278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-1.1368683772161603E-13</v>
      </c>
      <c r="DP195" s="18">
        <f>DO195*VLOOKUP('Données projet'!$B$14,Paramètres!$A$1:$I$89,3,0)*VLOOKUP('Données projet'!$B$14,Paramètres!$A$1:$I$89,5,0)</f>
        <v>-1.0818439477588981E-13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260.93525280373063</v>
      </c>
      <c r="DU195" s="62">
        <f t="shared" si="152"/>
        <v>206.83968452163816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>
        <f>EJ195*VLOOKUP('Données projet'!$B$15,Paramètres!$A$1:$I$89,3,0)*VLOOKUP('Données projet'!$B$15,Paramètres!$A$1:$I$89,5,0)</f>
        <v>0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118.01099353898547</v>
      </c>
      <c r="EP195" s="62">
        <f t="shared" si="154"/>
        <v>103.17146760845947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-9.6633812063373625E-13</v>
      </c>
      <c r="FF195" s="18">
        <f>FE195*VLOOKUP('Données projet'!$B$16,Paramètres!$A$1:$I$89,3,0)*VLOOKUP('Données projet'!$B$16,Paramètres!$A$1:$I$89,5,0)</f>
        <v>-9.6479197964072245E-13</v>
      </c>
      <c r="FG195" s="14" t="e">
        <f t="shared" si="182"/>
        <v>#NUM!</v>
      </c>
      <c r="FH195" s="22" t="e">
        <f t="shared" si="183"/>
        <v>#NUM!</v>
      </c>
      <c r="FI195" s="62" t="e">
        <f t="shared" si="131"/>
        <v>#NUM!</v>
      </c>
      <c r="FJ195" s="62">
        <f ca="1">AVERAGE(OFFSET($FI$3,0,0,'Données projet'!$E$16+1,1))-AVERAGE(OFFSET($H$3,0,0,'Données projet'!$E$16+1,1))</f>
        <v>343.71044073996887</v>
      </c>
      <c r="FK195" s="62">
        <f t="shared" si="156"/>
        <v>193.51732627292375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-9.6633812063373625E-13</v>
      </c>
      <c r="O196" s="14">
        <f>N196*VLOOKUP('Données projet'!$B$9,Paramètres!$A$1:$I$89,3,0)*VLOOKUP('Données projet'!$B$9,Paramètres!$A$1:$I$89,5,0)</f>
        <v>-8.7434273154940449E-13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303.73499739059076</v>
      </c>
      <c r="T196" s="62">
        <f t="shared" si="142"/>
        <v>172.32171001882188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-2.2737367544323206E-13</v>
      </c>
      <c r="AJ196" s="14">
        <f>AI196*VLOOKUP('Données projet'!$B$10,Paramètres!$A$1:$I$89,3,0)*VLOOKUP('Données projet'!$B$10,Paramètres!$A$1:$I$89,5,0)</f>
        <v>-1.6671037883497774E-13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215.66498680344858</v>
      </c>
      <c r="AO196" s="62">
        <f t="shared" si="144"/>
        <v>199.86715787211114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-5.6843418860808015E-14</v>
      </c>
      <c r="BE196" s="14">
        <f>BD196*VLOOKUP('Données projet'!$B$11,Paramètres!$A$1:$I$89,3,0)*VLOOKUP('Données projet'!$B$11,Paramètres!$A$1:$I$89,5,0)</f>
        <v>-3.3992364478763198E-14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155.11440101086782</v>
      </c>
      <c r="BJ196" s="62">
        <f t="shared" si="146"/>
        <v>239.53454701506638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0.53490460826554065</v>
      </c>
      <c r="BQ196" s="23">
        <f>EXP(-LN(2)/25)*BQ195+(1-EXP(-LN(2)/25))/(LN(2)/25)*Calculateur!BL196*Calculateur!BN196*VLOOKUP('Données projet'!$B$11,Paramètres!$A$1:$I$89,3,0)*0.475*44/12</f>
        <v>7.8912380149253211E-2</v>
      </c>
      <c r="BR196" s="23">
        <f>EXP(-LN(2)/2)*BR195+(1-EXP(-LN(2)/2))/(LN(2)/2)*BL196*BO196*VLOOKUP('Données projet'!$B$11,Paramètres!$A$1:$I$89,3,0)*0.475*44/12</f>
        <v>8.6242580470273426E-25</v>
      </c>
      <c r="BS196" s="24">
        <f t="shared" si="169"/>
        <v>0.61381698841479382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-5.6843418860808015E-14</v>
      </c>
      <c r="BZ196" s="14">
        <f>BY196*VLOOKUP('Données projet'!$B$12,Paramètres!$A$1:$I$89,3,0)*VLOOKUP('Données projet'!$B$12,Paramètres!$A$1:$I$89,5,0)</f>
        <v>-3.3992364478763198E-14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155.11440101086782</v>
      </c>
      <c r="CE196" s="62">
        <f t="shared" si="148"/>
        <v>239.53454701506638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0.53490460826554065</v>
      </c>
      <c r="CL196" s="23">
        <f>EXP(-LN(2)/25)*CL195+(1-EXP(-LN(2)/25))/(LN(2)/25)*Calculateur!CG196*Calculateur!CI196*VLOOKUP('Données projet'!$B$12,Paramètres!$A$1:$I$89,3,0)*0.475*44/12</f>
        <v>7.8912380149253211E-2</v>
      </c>
      <c r="CM196" s="23">
        <f>EXP(-LN(2)/2)*CM195+(1-EXP(-LN(2)/2))/(LN(2)/2)*CG196*CJ196*VLOOKUP('Données projet'!$B$12,Paramètres!$A$1:$I$89,3,0)*0.475*44/12</f>
        <v>8.6242580470273426E-25</v>
      </c>
      <c r="CN196" s="24">
        <f t="shared" si="172"/>
        <v>0.61381698841479382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-1.1368683772161603E-13</v>
      </c>
      <c r="CU196" s="18">
        <f>CT196*VLOOKUP('Données projet'!$B$13,Paramètres!$A$1:$I$89,3,0)*VLOOKUP('Données projet'!$B$13,Paramètres!$A$1:$I$89,5,0)</f>
        <v>-9.2222762759774927E-14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191.03017979797141</v>
      </c>
      <c r="CZ196" s="62">
        <f t="shared" si="150"/>
        <v>222.78252111624278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-1.1368683772161603E-13</v>
      </c>
      <c r="DP196" s="18">
        <f>DO196*VLOOKUP('Données projet'!$B$14,Paramètres!$A$1:$I$89,3,0)*VLOOKUP('Données projet'!$B$14,Paramètres!$A$1:$I$89,5,0)</f>
        <v>-1.0818439477588981E-13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260.93525280373063</v>
      </c>
      <c r="DU196" s="62">
        <f t="shared" si="152"/>
        <v>206.83968452163816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>
        <f>EJ196*VLOOKUP('Données projet'!$B$15,Paramètres!$A$1:$I$89,3,0)*VLOOKUP('Données projet'!$B$15,Paramètres!$A$1:$I$89,5,0)</f>
        <v>0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118.01099353898547</v>
      </c>
      <c r="EP196" s="62">
        <f t="shared" si="154"/>
        <v>103.17146760845947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-9.6633812063373625E-13</v>
      </c>
      <c r="FF196" s="18">
        <f>FE196*VLOOKUP('Données projet'!$B$16,Paramètres!$A$1:$I$89,3,0)*VLOOKUP('Données projet'!$B$16,Paramètres!$A$1:$I$89,5,0)</f>
        <v>-9.6479197964072245E-13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199">FH196+(EZ196+FA196)*44/12</f>
        <v>#NUM!</v>
      </c>
      <c r="FJ196" s="62">
        <f ca="1">AVERAGE(OFFSET($FI$3,0,0,'Données projet'!$E$16+1,1))-AVERAGE(OFFSET($H$3,0,0,'Données projet'!$E$16+1,1))</f>
        <v>343.71044073996887</v>
      </c>
      <c r="FK196" s="62">
        <f t="shared" si="156"/>
        <v>193.51732627292375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-9.6633812063373625E-13</v>
      </c>
      <c r="O197" s="14">
        <f>N197*VLOOKUP('Données projet'!$B$9,Paramètres!$A$1:$I$89,3,0)*VLOOKUP('Données projet'!$B$9,Paramètres!$A$1:$I$89,5,0)</f>
        <v>-8.7434273154940449E-13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303.73499739059076</v>
      </c>
      <c r="T197" s="62">
        <f t="shared" ref="T197:T203" si="204">$T$3</f>
        <v>172.32171001882188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-2.2737367544323206E-13</v>
      </c>
      <c r="AJ197" s="14">
        <f>AI197*VLOOKUP('Données projet'!$B$10,Paramètres!$A$1:$I$89,3,0)*VLOOKUP('Données projet'!$B$10,Paramètres!$A$1:$I$89,5,0)</f>
        <v>-1.6671037883497774E-13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215.66498680344858</v>
      </c>
      <c r="AO197" s="62">
        <f t="shared" ref="AO197:AO203" si="205">$AO$3</f>
        <v>199.86715787211114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-5.6843418860808015E-14</v>
      </c>
      <c r="BE197" s="14">
        <f>BD197*VLOOKUP('Données projet'!$B$11,Paramètres!$A$1:$I$89,3,0)*VLOOKUP('Données projet'!$B$11,Paramètres!$A$1:$I$89,5,0)</f>
        <v>-3.3992364478763198E-14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155.11440101086782</v>
      </c>
      <c r="BJ197" s="62">
        <f t="shared" ref="BJ197:BJ203" si="206">$BJ$3</f>
        <v>239.53454701506638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0.52441545515704902</v>
      </c>
      <c r="BQ197" s="23">
        <f>EXP(-LN(2)/25)*BQ196+(1-EXP(-LN(2)/25))/(LN(2)/25)*Calculateur!BL197*Calculateur!BN197*VLOOKUP('Données projet'!$B$11,Paramètres!$A$1:$I$89,3,0)*0.475*44/12</f>
        <v>7.6754516964250161E-2</v>
      </c>
      <c r="BR197" s="23">
        <f>EXP(-LN(2)/2)*BR196+(1-EXP(-LN(2)/2))/(LN(2)/2)*BL197*BO197*VLOOKUP('Données projet'!$B$11,Paramètres!$A$1:$I$89,3,0)*0.475*44/12</f>
        <v>6.098271347755685E-25</v>
      </c>
      <c r="BS197" s="24">
        <f t="shared" si="169"/>
        <v>0.60116997212129919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-5.6843418860808015E-14</v>
      </c>
      <c r="BZ197" s="14">
        <f>BY197*VLOOKUP('Données projet'!$B$12,Paramètres!$A$1:$I$89,3,0)*VLOOKUP('Données projet'!$B$12,Paramètres!$A$1:$I$89,5,0)</f>
        <v>-3.3992364478763198E-14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155.11440101086782</v>
      </c>
      <c r="CE197" s="62">
        <f t="shared" ref="CE197:CE203" si="207">$CE$3</f>
        <v>239.53454701506638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0.52441545515704902</v>
      </c>
      <c r="CL197" s="23">
        <f>EXP(-LN(2)/25)*CL196+(1-EXP(-LN(2)/25))/(LN(2)/25)*Calculateur!CG197*Calculateur!CI197*VLOOKUP('Données projet'!$B$12,Paramètres!$A$1:$I$89,3,0)*0.475*44/12</f>
        <v>7.6754516964250161E-2</v>
      </c>
      <c r="CM197" s="23">
        <f>EXP(-LN(2)/2)*CM196+(1-EXP(-LN(2)/2))/(LN(2)/2)*CG197*CJ197*VLOOKUP('Données projet'!$B$12,Paramètres!$A$1:$I$89,3,0)*0.475*44/12</f>
        <v>6.098271347755685E-25</v>
      </c>
      <c r="CN197" s="24">
        <f t="shared" si="172"/>
        <v>0.60116997212129919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-1.1368683772161603E-13</v>
      </c>
      <c r="CU197" s="18">
        <f>CT197*VLOOKUP('Données projet'!$B$13,Paramètres!$A$1:$I$89,3,0)*VLOOKUP('Données projet'!$B$13,Paramètres!$A$1:$I$89,5,0)</f>
        <v>-9.2222762759774927E-14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191.03017979797141</v>
      </c>
      <c r="CZ197" s="62">
        <f t="shared" ref="CZ197:CZ203" si="208">$CZ$3</f>
        <v>222.78252111624278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-1.1368683772161603E-13</v>
      </c>
      <c r="DP197" s="18">
        <f>DO197*VLOOKUP('Données projet'!$B$14,Paramètres!$A$1:$I$89,3,0)*VLOOKUP('Données projet'!$B$14,Paramètres!$A$1:$I$89,5,0)</f>
        <v>-1.0818439477588981E-13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260.93525280373063</v>
      </c>
      <c r="DU197" s="62">
        <f t="shared" ref="DU197:DU203" si="209">$DU$3</f>
        <v>206.83968452163816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>
        <f>EJ197*VLOOKUP('Données projet'!$B$15,Paramètres!$A$1:$I$89,3,0)*VLOOKUP('Données projet'!$B$15,Paramètres!$A$1:$I$89,5,0)</f>
        <v>0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118.01099353898547</v>
      </c>
      <c r="EP197" s="62">
        <f t="shared" ref="EP197:EP203" si="210">$EP$3</f>
        <v>103.17146760845947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-9.6633812063373625E-13</v>
      </c>
      <c r="FF197" s="18">
        <f>FE197*VLOOKUP('Données projet'!$B$16,Paramètres!$A$1:$I$89,3,0)*VLOOKUP('Données projet'!$B$16,Paramètres!$A$1:$I$89,5,0)</f>
        <v>-9.6479197964072245E-13</v>
      </c>
      <c r="FG197" s="14" t="e">
        <f t="shared" si="182"/>
        <v>#NUM!</v>
      </c>
      <c r="FH197" s="22" t="e">
        <f t="shared" si="183"/>
        <v>#NUM!</v>
      </c>
      <c r="FI197" s="62" t="e">
        <f t="shared" si="199"/>
        <v>#NUM!</v>
      </c>
      <c r="FJ197" s="62">
        <f ca="1">AVERAGE(OFFSET($FI$3,0,0,'Données projet'!$E$16+1,1))-AVERAGE(OFFSET($H$3,0,0,'Données projet'!$E$16+1,1))</f>
        <v>343.71044073996887</v>
      </c>
      <c r="FK197" s="62">
        <f t="shared" ref="FK197:FK203" si="211">$FK$3</f>
        <v>193.51732627292375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-9.6633812063373625E-13</v>
      </c>
      <c r="O198" s="14">
        <f>N198*VLOOKUP('Données projet'!$B$9,Paramètres!$A$1:$I$89,3,0)*VLOOKUP('Données projet'!$B$9,Paramètres!$A$1:$I$89,5,0)</f>
        <v>-8.7434273154940449E-13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303.73499739059076</v>
      </c>
      <c r="T198" s="62">
        <f t="shared" si="204"/>
        <v>172.32171001882188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-2.2737367544323206E-13</v>
      </c>
      <c r="AJ198" s="14">
        <f>AI198*VLOOKUP('Données projet'!$B$10,Paramètres!$A$1:$I$89,3,0)*VLOOKUP('Données projet'!$B$10,Paramètres!$A$1:$I$89,5,0)</f>
        <v>-1.6671037883497774E-13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215.66498680344858</v>
      </c>
      <c r="AO198" s="62">
        <f t="shared" si="205"/>
        <v>199.86715787211114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-5.6843418860808015E-14</v>
      </c>
      <c r="BE198" s="14">
        <f>BD198*VLOOKUP('Données projet'!$B$11,Paramètres!$A$1:$I$89,3,0)*VLOOKUP('Données projet'!$B$11,Paramètres!$A$1:$I$89,5,0)</f>
        <v>-3.3992364478763198E-14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155.11440101086782</v>
      </c>
      <c r="BJ198" s="62">
        <f t="shared" si="206"/>
        <v>239.53454701506638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0.5141319879432632</v>
      </c>
      <c r="BQ198" s="23">
        <f>EXP(-LN(2)/25)*BQ197+(1-EXP(-LN(2)/25))/(LN(2)/25)*Calculateur!BL198*Calculateur!BN198*VLOOKUP('Données projet'!$B$11,Paramètres!$A$1:$I$89,3,0)*0.475*44/12</f>
        <v>7.4655660661518117E-2</v>
      </c>
      <c r="BR198" s="23">
        <f>EXP(-LN(2)/2)*BR197+(1-EXP(-LN(2)/2))/(LN(2)/2)*BL198*BO198*VLOOKUP('Données projet'!$B$11,Paramètres!$A$1:$I$89,3,0)*0.475*44/12</f>
        <v>4.3121290235136713E-25</v>
      </c>
      <c r="BS198" s="24">
        <f t="shared" si="169"/>
        <v>0.58878764860478128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-5.6843418860808015E-14</v>
      </c>
      <c r="BZ198" s="14">
        <f>BY198*VLOOKUP('Données projet'!$B$12,Paramètres!$A$1:$I$89,3,0)*VLOOKUP('Données projet'!$B$12,Paramètres!$A$1:$I$89,5,0)</f>
        <v>-3.3992364478763198E-14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155.11440101086782</v>
      </c>
      <c r="CE198" s="62">
        <f t="shared" si="207"/>
        <v>239.53454701506638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0.5141319879432632</v>
      </c>
      <c r="CL198" s="23">
        <f>EXP(-LN(2)/25)*CL197+(1-EXP(-LN(2)/25))/(LN(2)/25)*Calculateur!CG198*Calculateur!CI198*VLOOKUP('Données projet'!$B$12,Paramètres!$A$1:$I$89,3,0)*0.475*44/12</f>
        <v>7.4655660661518117E-2</v>
      </c>
      <c r="CM198" s="23">
        <f>EXP(-LN(2)/2)*CM197+(1-EXP(-LN(2)/2))/(LN(2)/2)*CG198*CJ198*VLOOKUP('Données projet'!$B$12,Paramètres!$A$1:$I$89,3,0)*0.475*44/12</f>
        <v>4.3121290235136713E-25</v>
      </c>
      <c r="CN198" s="24">
        <f t="shared" si="172"/>
        <v>0.58878764860478128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-1.1368683772161603E-13</v>
      </c>
      <c r="CU198" s="18">
        <f>CT198*VLOOKUP('Données projet'!$B$13,Paramètres!$A$1:$I$89,3,0)*VLOOKUP('Données projet'!$B$13,Paramètres!$A$1:$I$89,5,0)</f>
        <v>-9.2222762759774927E-14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191.03017979797141</v>
      </c>
      <c r="CZ198" s="62">
        <f t="shared" si="208"/>
        <v>222.78252111624278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-1.1368683772161603E-13</v>
      </c>
      <c r="DP198" s="18">
        <f>DO198*VLOOKUP('Données projet'!$B$14,Paramètres!$A$1:$I$89,3,0)*VLOOKUP('Données projet'!$B$14,Paramètres!$A$1:$I$89,5,0)</f>
        <v>-1.0818439477588981E-13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260.93525280373063</v>
      </c>
      <c r="DU198" s="62">
        <f t="shared" si="209"/>
        <v>206.83968452163816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>
        <f>EJ198*VLOOKUP('Données projet'!$B$15,Paramètres!$A$1:$I$89,3,0)*VLOOKUP('Données projet'!$B$15,Paramètres!$A$1:$I$89,5,0)</f>
        <v>0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118.01099353898547</v>
      </c>
      <c r="EP198" s="62">
        <f t="shared" si="210"/>
        <v>103.17146760845947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-9.6633812063373625E-13</v>
      </c>
      <c r="FF198" s="18">
        <f>FE198*VLOOKUP('Données projet'!$B$16,Paramètres!$A$1:$I$89,3,0)*VLOOKUP('Données projet'!$B$16,Paramètres!$A$1:$I$89,5,0)</f>
        <v>-9.6479197964072245E-13</v>
      </c>
      <c r="FG198" s="14" t="e">
        <f t="shared" si="182"/>
        <v>#NUM!</v>
      </c>
      <c r="FH198" s="22" t="e">
        <f t="shared" si="183"/>
        <v>#NUM!</v>
      </c>
      <c r="FI198" s="62" t="e">
        <f t="shared" si="199"/>
        <v>#NUM!</v>
      </c>
      <c r="FJ198" s="62">
        <f ca="1">AVERAGE(OFFSET($FI$3,0,0,'Données projet'!$E$16+1,1))-AVERAGE(OFFSET($H$3,0,0,'Données projet'!$E$16+1,1))</f>
        <v>343.71044073996887</v>
      </c>
      <c r="FK198" s="62">
        <f t="shared" si="211"/>
        <v>193.51732627292375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-9.6633812063373625E-13</v>
      </c>
      <c r="O199" s="14">
        <f>N199*VLOOKUP('Données projet'!$B$9,Paramètres!$A$1:$I$89,3,0)*VLOOKUP('Données projet'!$B$9,Paramètres!$A$1:$I$89,5,0)</f>
        <v>-8.7434273154940449E-13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303.73499739059076</v>
      </c>
      <c r="T199" s="62">
        <f t="shared" si="204"/>
        <v>172.32171001882188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-2.2737367544323206E-13</v>
      </c>
      <c r="AJ199" s="14">
        <f>AI199*VLOOKUP('Données projet'!$B$10,Paramètres!$A$1:$I$89,3,0)*VLOOKUP('Données projet'!$B$10,Paramètres!$A$1:$I$89,5,0)</f>
        <v>-1.6671037883497774E-13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215.66498680344858</v>
      </c>
      <c r="AO199" s="62">
        <f t="shared" si="205"/>
        <v>199.86715787211114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-5.6843418860808015E-14</v>
      </c>
      <c r="BE199" s="14">
        <f>BD199*VLOOKUP('Données projet'!$B$11,Paramètres!$A$1:$I$89,3,0)*VLOOKUP('Données projet'!$B$11,Paramètres!$A$1:$I$89,5,0)</f>
        <v>-3.3992364478763198E-14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155.11440101086782</v>
      </c>
      <c r="BJ199" s="62">
        <f t="shared" si="206"/>
        <v>239.53454701506638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0.50405017324924406</v>
      </c>
      <c r="BQ199" s="23">
        <f>EXP(-LN(2)/25)*BQ198+(1-EXP(-LN(2)/25))/(LN(2)/25)*Calculateur!BL199*Calculateur!BN199*VLOOKUP('Données projet'!$B$11,Paramètres!$A$1:$I$89,3,0)*0.475*44/12</f>
        <v>7.261419769475834E-2</v>
      </c>
      <c r="BR199" s="23">
        <f>EXP(-LN(2)/2)*BR198+(1-EXP(-LN(2)/2))/(LN(2)/2)*BL199*BO199*VLOOKUP('Données projet'!$B$11,Paramètres!$A$1:$I$89,3,0)*0.475*44/12</f>
        <v>3.0491356738778425E-25</v>
      </c>
      <c r="BS199" s="24">
        <f t="shared" si="169"/>
        <v>0.57666437094400236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-5.6843418860808015E-14</v>
      </c>
      <c r="BZ199" s="14">
        <f>BY199*VLOOKUP('Données projet'!$B$12,Paramètres!$A$1:$I$89,3,0)*VLOOKUP('Données projet'!$B$12,Paramètres!$A$1:$I$89,5,0)</f>
        <v>-3.3992364478763198E-14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155.11440101086782</v>
      </c>
      <c r="CE199" s="62">
        <f t="shared" si="207"/>
        <v>239.53454701506638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0.50405017324924406</v>
      </c>
      <c r="CL199" s="23">
        <f>EXP(-LN(2)/25)*CL198+(1-EXP(-LN(2)/25))/(LN(2)/25)*Calculateur!CG199*Calculateur!CI199*VLOOKUP('Données projet'!$B$12,Paramètres!$A$1:$I$89,3,0)*0.475*44/12</f>
        <v>7.261419769475834E-2</v>
      </c>
      <c r="CM199" s="23">
        <f>EXP(-LN(2)/2)*CM198+(1-EXP(-LN(2)/2))/(LN(2)/2)*CG199*CJ199*VLOOKUP('Données projet'!$B$12,Paramètres!$A$1:$I$89,3,0)*0.475*44/12</f>
        <v>3.0491356738778425E-25</v>
      </c>
      <c r="CN199" s="24">
        <f t="shared" si="172"/>
        <v>0.57666437094400236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-1.1368683772161603E-13</v>
      </c>
      <c r="CU199" s="18">
        <f>CT199*VLOOKUP('Données projet'!$B$13,Paramètres!$A$1:$I$89,3,0)*VLOOKUP('Données projet'!$B$13,Paramètres!$A$1:$I$89,5,0)</f>
        <v>-9.2222762759774927E-14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191.03017979797141</v>
      </c>
      <c r="CZ199" s="62">
        <f t="shared" si="208"/>
        <v>222.78252111624278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-1.1368683772161603E-13</v>
      </c>
      <c r="DP199" s="18">
        <f>DO199*VLOOKUP('Données projet'!$B$14,Paramètres!$A$1:$I$89,3,0)*VLOOKUP('Données projet'!$B$14,Paramètres!$A$1:$I$89,5,0)</f>
        <v>-1.0818439477588981E-13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260.93525280373063</v>
      </c>
      <c r="DU199" s="62">
        <f t="shared" si="209"/>
        <v>206.83968452163816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>
        <f>EJ199*VLOOKUP('Données projet'!$B$15,Paramètres!$A$1:$I$89,3,0)*VLOOKUP('Données projet'!$B$15,Paramètres!$A$1:$I$89,5,0)</f>
        <v>0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118.01099353898547</v>
      </c>
      <c r="EP199" s="62">
        <f t="shared" si="210"/>
        <v>103.17146760845947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-9.6633812063373625E-13</v>
      </c>
      <c r="FF199" s="18">
        <f>FE199*VLOOKUP('Données projet'!$B$16,Paramètres!$A$1:$I$89,3,0)*VLOOKUP('Données projet'!$B$16,Paramètres!$A$1:$I$89,5,0)</f>
        <v>-9.6479197964072245E-13</v>
      </c>
      <c r="FG199" s="14" t="e">
        <f t="shared" si="182"/>
        <v>#NUM!</v>
      </c>
      <c r="FH199" s="22" t="e">
        <f t="shared" si="183"/>
        <v>#NUM!</v>
      </c>
      <c r="FI199" s="62" t="e">
        <f t="shared" si="199"/>
        <v>#NUM!</v>
      </c>
      <c r="FJ199" s="62">
        <f ca="1">AVERAGE(OFFSET($FI$3,0,0,'Données projet'!$E$16+1,1))-AVERAGE(OFFSET($H$3,0,0,'Données projet'!$E$16+1,1))</f>
        <v>343.71044073996887</v>
      </c>
      <c r="FK199" s="62">
        <f t="shared" si="211"/>
        <v>193.51732627292375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-9.6633812063373625E-13</v>
      </c>
      <c r="O200" s="14">
        <f>N200*VLOOKUP('Données projet'!$B$9,Paramètres!$A$1:$I$89,3,0)*VLOOKUP('Données projet'!$B$9,Paramètres!$A$1:$I$89,5,0)</f>
        <v>-8.7434273154940449E-13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303.73499739059076</v>
      </c>
      <c r="T200" s="62">
        <f t="shared" si="204"/>
        <v>172.32171001882188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-2.2737367544323206E-13</v>
      </c>
      <c r="AJ200" s="14">
        <f>AI200*VLOOKUP('Données projet'!$B$10,Paramètres!$A$1:$I$89,3,0)*VLOOKUP('Données projet'!$B$10,Paramètres!$A$1:$I$89,5,0)</f>
        <v>-1.6671037883497774E-13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215.66498680344858</v>
      </c>
      <c r="AO200" s="62">
        <f t="shared" si="205"/>
        <v>199.86715787211114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-5.6843418860808015E-14</v>
      </c>
      <c r="BE200" s="14">
        <f>BD200*VLOOKUP('Données projet'!$B$11,Paramètres!$A$1:$I$89,3,0)*VLOOKUP('Données projet'!$B$11,Paramètres!$A$1:$I$89,5,0)</f>
        <v>-3.3992364478763198E-14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155.11440101086782</v>
      </c>
      <c r="BJ200" s="62">
        <f t="shared" si="206"/>
        <v>239.53454701506638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0.49416605679207487</v>
      </c>
      <c r="BQ200" s="23">
        <f>EXP(-LN(2)/25)*BQ199+(1-EXP(-LN(2)/25))/(LN(2)/25)*Calculateur!BL200*Calculateur!BN200*VLOOKUP('Données projet'!$B$11,Paramètres!$A$1:$I$89,3,0)*0.475*44/12</f>
        <v>7.0628558640180472E-2</v>
      </c>
      <c r="BR200" s="23">
        <f>EXP(-LN(2)/2)*BR199+(1-EXP(-LN(2)/2))/(LN(2)/2)*BL200*BO200*VLOOKUP('Données projet'!$B$11,Paramètres!$A$1:$I$89,3,0)*0.475*44/12</f>
        <v>2.1560645117568357E-25</v>
      </c>
      <c r="BS200" s="24">
        <f t="shared" si="169"/>
        <v>0.5647946154322554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-5.6843418860808015E-14</v>
      </c>
      <c r="BZ200" s="14">
        <f>BY200*VLOOKUP('Données projet'!$B$12,Paramètres!$A$1:$I$89,3,0)*VLOOKUP('Données projet'!$B$12,Paramètres!$A$1:$I$89,5,0)</f>
        <v>-3.3992364478763198E-14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155.11440101086782</v>
      </c>
      <c r="CE200" s="62">
        <f t="shared" si="207"/>
        <v>239.53454701506638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0.49416605679207487</v>
      </c>
      <c r="CL200" s="23">
        <f>EXP(-LN(2)/25)*CL199+(1-EXP(-LN(2)/25))/(LN(2)/25)*Calculateur!CG200*Calculateur!CI200*VLOOKUP('Données projet'!$B$12,Paramètres!$A$1:$I$89,3,0)*0.475*44/12</f>
        <v>7.0628558640180472E-2</v>
      </c>
      <c r="CM200" s="23">
        <f>EXP(-LN(2)/2)*CM199+(1-EXP(-LN(2)/2))/(LN(2)/2)*CG200*CJ200*VLOOKUP('Données projet'!$B$12,Paramètres!$A$1:$I$89,3,0)*0.475*44/12</f>
        <v>2.1560645117568357E-25</v>
      </c>
      <c r="CN200" s="24">
        <f t="shared" si="172"/>
        <v>0.5647946154322554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-1.1368683772161603E-13</v>
      </c>
      <c r="CU200" s="18">
        <f>CT200*VLOOKUP('Données projet'!$B$13,Paramètres!$A$1:$I$89,3,0)*VLOOKUP('Données projet'!$B$13,Paramètres!$A$1:$I$89,5,0)</f>
        <v>-9.2222762759774927E-14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191.03017979797141</v>
      </c>
      <c r="CZ200" s="62">
        <f t="shared" si="208"/>
        <v>222.78252111624278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-1.1368683772161603E-13</v>
      </c>
      <c r="DP200" s="18">
        <f>DO200*VLOOKUP('Données projet'!$B$14,Paramètres!$A$1:$I$89,3,0)*VLOOKUP('Données projet'!$B$14,Paramètres!$A$1:$I$89,5,0)</f>
        <v>-1.0818439477588981E-13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260.93525280373063</v>
      </c>
      <c r="DU200" s="62">
        <f t="shared" si="209"/>
        <v>206.83968452163816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>
        <f>EJ200*VLOOKUP('Données projet'!$B$15,Paramètres!$A$1:$I$89,3,0)*VLOOKUP('Données projet'!$B$15,Paramètres!$A$1:$I$89,5,0)</f>
        <v>0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118.01099353898547</v>
      </c>
      <c r="EP200" s="62">
        <f t="shared" si="210"/>
        <v>103.17146760845947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-9.6633812063373625E-13</v>
      </c>
      <c r="FF200" s="18">
        <f>FE200*VLOOKUP('Données projet'!$B$16,Paramètres!$A$1:$I$89,3,0)*VLOOKUP('Données projet'!$B$16,Paramètres!$A$1:$I$89,5,0)</f>
        <v>-9.6479197964072245E-13</v>
      </c>
      <c r="FG200" s="14" t="e">
        <f t="shared" si="182"/>
        <v>#NUM!</v>
      </c>
      <c r="FH200" s="22" t="e">
        <f t="shared" si="183"/>
        <v>#NUM!</v>
      </c>
      <c r="FI200" s="62" t="e">
        <f t="shared" si="199"/>
        <v>#NUM!</v>
      </c>
      <c r="FJ200" s="62">
        <f ca="1">AVERAGE(OFFSET($FI$3,0,0,'Données projet'!$E$16+1,1))-AVERAGE(OFFSET($H$3,0,0,'Données projet'!$E$16+1,1))</f>
        <v>343.71044073996887</v>
      </c>
      <c r="FK200" s="62">
        <f t="shared" si="211"/>
        <v>193.51732627292375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-9.6633812063373625E-13</v>
      </c>
      <c r="O201" s="14">
        <f>N201*VLOOKUP('Données projet'!$B$9,Paramètres!$A$1:$I$89,3,0)*VLOOKUP('Données projet'!$B$9,Paramètres!$A$1:$I$89,5,0)</f>
        <v>-8.7434273154940449E-13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303.73499739059076</v>
      </c>
      <c r="T201" s="62">
        <f t="shared" si="204"/>
        <v>172.32171001882188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-2.2737367544323206E-13</v>
      </c>
      <c r="AJ201" s="14">
        <f>AI201*VLOOKUP('Données projet'!$B$10,Paramètres!$A$1:$I$89,3,0)*VLOOKUP('Données projet'!$B$10,Paramètres!$A$1:$I$89,5,0)</f>
        <v>-1.6671037883497774E-13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215.66498680344858</v>
      </c>
      <c r="AO201" s="62">
        <f t="shared" si="205"/>
        <v>199.86715787211114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-5.6843418860808015E-14</v>
      </c>
      <c r="BE201" s="14">
        <f>BD201*VLOOKUP('Données projet'!$B$11,Paramètres!$A$1:$I$89,3,0)*VLOOKUP('Données projet'!$B$11,Paramètres!$A$1:$I$89,5,0)</f>
        <v>-3.3992364478763198E-14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155.11440101086782</v>
      </c>
      <c r="BJ201" s="62">
        <f t="shared" si="206"/>
        <v>239.53454701506638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0.48447576182991503</v>
      </c>
      <c r="BQ201" s="23">
        <f>EXP(-LN(2)/25)*BQ200+(1-EXP(-LN(2)/25))/(LN(2)/25)*Calculateur!BL201*Calculateur!BN201*VLOOKUP('Données projet'!$B$11,Paramètres!$A$1:$I$89,3,0)*0.475*44/12</f>
        <v>6.8697216989970264E-2</v>
      </c>
      <c r="BR201" s="23">
        <f>EXP(-LN(2)/2)*BR200+(1-EXP(-LN(2)/2))/(LN(2)/2)*BL201*BO201*VLOOKUP('Données projet'!$B$11,Paramètres!$A$1:$I$89,3,0)*0.475*44/12</f>
        <v>1.5245678369389213E-25</v>
      </c>
      <c r="BS201" s="24">
        <f t="shared" si="169"/>
        <v>0.55317297881988525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-5.6843418860808015E-14</v>
      </c>
      <c r="BZ201" s="14">
        <f>BY201*VLOOKUP('Données projet'!$B$12,Paramètres!$A$1:$I$89,3,0)*VLOOKUP('Données projet'!$B$12,Paramètres!$A$1:$I$89,5,0)</f>
        <v>-3.3992364478763198E-14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155.11440101086782</v>
      </c>
      <c r="CE201" s="62">
        <f t="shared" si="207"/>
        <v>239.53454701506638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0.48447576182991503</v>
      </c>
      <c r="CL201" s="23">
        <f>EXP(-LN(2)/25)*CL200+(1-EXP(-LN(2)/25))/(LN(2)/25)*Calculateur!CG201*Calculateur!CI201*VLOOKUP('Données projet'!$B$12,Paramètres!$A$1:$I$89,3,0)*0.475*44/12</f>
        <v>6.8697216989970264E-2</v>
      </c>
      <c r="CM201" s="23">
        <f>EXP(-LN(2)/2)*CM200+(1-EXP(-LN(2)/2))/(LN(2)/2)*CG201*CJ201*VLOOKUP('Données projet'!$B$12,Paramètres!$A$1:$I$89,3,0)*0.475*44/12</f>
        <v>1.5245678369389213E-25</v>
      </c>
      <c r="CN201" s="24">
        <f t="shared" si="172"/>
        <v>0.55317297881988525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-1.1368683772161603E-13</v>
      </c>
      <c r="CU201" s="18">
        <f>CT201*VLOOKUP('Données projet'!$B$13,Paramètres!$A$1:$I$89,3,0)*VLOOKUP('Données projet'!$B$13,Paramètres!$A$1:$I$89,5,0)</f>
        <v>-9.2222762759774927E-14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191.03017979797141</v>
      </c>
      <c r="CZ201" s="62">
        <f t="shared" si="208"/>
        <v>222.78252111624278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-1.1368683772161603E-13</v>
      </c>
      <c r="DP201" s="18">
        <f>DO201*VLOOKUP('Données projet'!$B$14,Paramètres!$A$1:$I$89,3,0)*VLOOKUP('Données projet'!$B$14,Paramètres!$A$1:$I$89,5,0)</f>
        <v>-1.0818439477588981E-13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260.93525280373063</v>
      </c>
      <c r="DU201" s="62">
        <f t="shared" si="209"/>
        <v>206.83968452163816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>
        <f>EJ201*VLOOKUP('Données projet'!$B$15,Paramètres!$A$1:$I$89,3,0)*VLOOKUP('Données projet'!$B$15,Paramètres!$A$1:$I$89,5,0)</f>
        <v>0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118.01099353898547</v>
      </c>
      <c r="EP201" s="62">
        <f t="shared" si="210"/>
        <v>103.17146760845947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-9.6633812063373625E-13</v>
      </c>
      <c r="FF201" s="18">
        <f>FE201*VLOOKUP('Données projet'!$B$16,Paramètres!$A$1:$I$89,3,0)*VLOOKUP('Données projet'!$B$16,Paramètres!$A$1:$I$89,5,0)</f>
        <v>-9.6479197964072245E-13</v>
      </c>
      <c r="FG201" s="14" t="e">
        <f t="shared" si="182"/>
        <v>#NUM!</v>
      </c>
      <c r="FH201" s="22" t="e">
        <f t="shared" si="183"/>
        <v>#NUM!</v>
      </c>
      <c r="FI201" s="62" t="e">
        <f t="shared" si="199"/>
        <v>#NUM!</v>
      </c>
      <c r="FJ201" s="62">
        <f ca="1">AVERAGE(OFFSET($FI$3,0,0,'Données projet'!$E$16+1,1))-AVERAGE(OFFSET($H$3,0,0,'Données projet'!$E$16+1,1))</f>
        <v>343.71044073996887</v>
      </c>
      <c r="FK201" s="62">
        <f t="shared" si="211"/>
        <v>193.51732627292375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-9.6633812063373625E-13</v>
      </c>
      <c r="O202" s="14">
        <f>N202*VLOOKUP('Données projet'!$B$9,Paramètres!$A$1:$I$89,3,0)*VLOOKUP('Données projet'!$B$9,Paramètres!$A$1:$I$89,5,0)</f>
        <v>-8.7434273154940449E-13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303.73499739059076</v>
      </c>
      <c r="T202" s="62">
        <f t="shared" si="204"/>
        <v>172.32171001882188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-2.2737367544323206E-13</v>
      </c>
      <c r="AJ202" s="14">
        <f>AI202*VLOOKUP('Données projet'!$B$10,Paramètres!$A$1:$I$89,3,0)*VLOOKUP('Données projet'!$B$10,Paramètres!$A$1:$I$89,5,0)</f>
        <v>-1.6671037883497774E-13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215.66498680344858</v>
      </c>
      <c r="AO202" s="62">
        <f t="shared" si="205"/>
        <v>199.86715787211114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-5.6843418860808015E-14</v>
      </c>
      <c r="BE202" s="14">
        <f>BD202*VLOOKUP('Données projet'!$B$11,Paramètres!$A$1:$I$89,3,0)*VLOOKUP('Données projet'!$B$11,Paramètres!$A$1:$I$89,5,0)</f>
        <v>-3.3992364478763198E-14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155.11440101086782</v>
      </c>
      <c r="BJ202" s="62">
        <f t="shared" si="206"/>
        <v>239.53454701506638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0.4749754876414668</v>
      </c>
      <c r="BQ202" s="23">
        <f>EXP(-LN(2)/25)*BQ201+(1-EXP(-LN(2)/25))/(LN(2)/25)*Calculateur!BL202*Calculateur!BN202*VLOOKUP('Données projet'!$B$11,Paramètres!$A$1:$I$89,3,0)*0.475*44/12</f>
        <v>6.6818687978749888E-2</v>
      </c>
      <c r="BR202" s="23">
        <f>EXP(-LN(2)/2)*BR201+(1-EXP(-LN(2)/2))/(LN(2)/2)*BL202*BO202*VLOOKUP('Données projet'!$B$11,Paramètres!$A$1:$I$89,3,0)*0.475*44/12</f>
        <v>1.0780322558784178E-25</v>
      </c>
      <c r="BS202" s="24">
        <f t="shared" si="169"/>
        <v>0.5417941756202167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-5.6843418860808015E-14</v>
      </c>
      <c r="BZ202" s="14">
        <f>BY202*VLOOKUP('Données projet'!$B$12,Paramètres!$A$1:$I$89,3,0)*VLOOKUP('Données projet'!$B$12,Paramètres!$A$1:$I$89,5,0)</f>
        <v>-3.3992364478763198E-14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155.11440101086782</v>
      </c>
      <c r="CE202" s="62">
        <f t="shared" si="207"/>
        <v>239.53454701506638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0.4749754876414668</v>
      </c>
      <c r="CL202" s="23">
        <f>EXP(-LN(2)/25)*CL201+(1-EXP(-LN(2)/25))/(LN(2)/25)*Calculateur!CG202*Calculateur!CI202*VLOOKUP('Données projet'!$B$12,Paramètres!$A$1:$I$89,3,0)*0.475*44/12</f>
        <v>6.6818687978749888E-2</v>
      </c>
      <c r="CM202" s="23">
        <f>EXP(-LN(2)/2)*CM201+(1-EXP(-LN(2)/2))/(LN(2)/2)*CG202*CJ202*VLOOKUP('Données projet'!$B$12,Paramètres!$A$1:$I$89,3,0)*0.475*44/12</f>
        <v>1.0780322558784178E-25</v>
      </c>
      <c r="CN202" s="24">
        <f t="shared" si="172"/>
        <v>0.5417941756202167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-1.1368683772161603E-13</v>
      </c>
      <c r="CU202" s="18">
        <f>CT202*VLOOKUP('Données projet'!$B$13,Paramètres!$A$1:$I$89,3,0)*VLOOKUP('Données projet'!$B$13,Paramètres!$A$1:$I$89,5,0)</f>
        <v>-9.2222762759774927E-14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191.03017979797141</v>
      </c>
      <c r="CZ202" s="62">
        <f t="shared" si="208"/>
        <v>222.78252111624278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-1.1368683772161603E-13</v>
      </c>
      <c r="DP202" s="18">
        <f>DO202*VLOOKUP('Données projet'!$B$14,Paramètres!$A$1:$I$89,3,0)*VLOOKUP('Données projet'!$B$14,Paramètres!$A$1:$I$89,5,0)</f>
        <v>-1.0818439477588981E-13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260.93525280373063</v>
      </c>
      <c r="DU202" s="62">
        <f t="shared" si="209"/>
        <v>206.83968452163816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>
        <f>EJ202*VLOOKUP('Données projet'!$B$15,Paramètres!$A$1:$I$89,3,0)*VLOOKUP('Données projet'!$B$15,Paramètres!$A$1:$I$89,5,0)</f>
        <v>0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118.01099353898547</v>
      </c>
      <c r="EP202" s="62">
        <f t="shared" si="210"/>
        <v>103.17146760845947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-9.6633812063373625E-13</v>
      </c>
      <c r="FF202" s="18">
        <f>FE202*VLOOKUP('Données projet'!$B$16,Paramètres!$A$1:$I$89,3,0)*VLOOKUP('Données projet'!$B$16,Paramètres!$A$1:$I$89,5,0)</f>
        <v>-9.6479197964072245E-13</v>
      </c>
      <c r="FG202" s="14" t="e">
        <f t="shared" si="182"/>
        <v>#NUM!</v>
      </c>
      <c r="FH202" s="22" t="e">
        <f t="shared" si="183"/>
        <v>#NUM!</v>
      </c>
      <c r="FI202" s="62" t="e">
        <f t="shared" si="199"/>
        <v>#NUM!</v>
      </c>
      <c r="FJ202" s="62">
        <f ca="1">AVERAGE(OFFSET($FI$3,0,0,'Données projet'!$E$16+1,1))-AVERAGE(OFFSET($H$3,0,0,'Données projet'!$E$16+1,1))</f>
        <v>343.71044073996887</v>
      </c>
      <c r="FK202" s="62">
        <f t="shared" si="211"/>
        <v>193.51732627292375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-9.6633812063373625E-13</v>
      </c>
      <c r="O203" s="14">
        <f>N203*VLOOKUP('Données projet'!$B$9,Paramètres!$A$1:$I$89,3,0)*VLOOKUP('Données projet'!$B$9,Paramètres!$A$1:$I$89,5,0)</f>
        <v>-8.7434273154940449E-13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303.73499739059076</v>
      </c>
      <c r="T203" s="62">
        <f t="shared" si="204"/>
        <v>172.32171001882188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-2.2737367544323206E-13</v>
      </c>
      <c r="AJ203" s="14">
        <f>AI203*VLOOKUP('Données projet'!$B$10,Paramètres!$A$1:$I$89,3,0)*VLOOKUP('Données projet'!$B$10,Paramètres!$A$1:$I$89,5,0)</f>
        <v>-1.6671037883497774E-13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215.66498680344858</v>
      </c>
      <c r="AO203" s="62">
        <f t="shared" si="205"/>
        <v>199.86715787211114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-5.6843418860808015E-14</v>
      </c>
      <c r="BE203" s="14">
        <f>BD203*VLOOKUP('Données projet'!$B$11,Paramètres!$A$1:$I$89,3,0)*VLOOKUP('Données projet'!$B$11,Paramètres!$A$1:$I$89,5,0)</f>
        <v>-3.3992364478763198E-14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155.11440101086782</v>
      </c>
      <c r="BJ203" s="62">
        <f t="shared" si="206"/>
        <v>239.53454701506638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0.46566150803525896</v>
      </c>
      <c r="BQ203" s="23">
        <f>EXP(-LN(2)/25)*BQ202+(1-EXP(-LN(2)/25))/(LN(2)/25)*Calculateur!BL203*Calculateur!BN203*VLOOKUP('Données projet'!$B$11,Paramètres!$A$1:$I$89,3,0)*0.475*44/12</f>
        <v>6.4991527442128882E-2</v>
      </c>
      <c r="BR203" s="23">
        <f>EXP(-LN(2)/2)*BR202+(1-EXP(-LN(2)/2))/(LN(2)/2)*BL203*BO203*VLOOKUP('Données projet'!$B$11,Paramètres!$A$1:$I$89,3,0)*0.475*44/12</f>
        <v>7.6228391846946063E-26</v>
      </c>
      <c r="BS203" s="24">
        <f t="shared" si="169"/>
        <v>0.53065303547738785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-5.6843418860808015E-14</v>
      </c>
      <c r="BZ203" s="14">
        <f>BY203*VLOOKUP('Données projet'!$B$12,Paramètres!$A$1:$I$89,3,0)*VLOOKUP('Données projet'!$B$12,Paramètres!$A$1:$I$89,5,0)</f>
        <v>-3.3992364478763198E-14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155.11440101086782</v>
      </c>
      <c r="CE203" s="62">
        <f t="shared" si="207"/>
        <v>239.53454701506638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0.46566150803525896</v>
      </c>
      <c r="CL203" s="23">
        <f>EXP(-LN(2)/25)*CL202+(1-EXP(-LN(2)/25))/(LN(2)/25)*Calculateur!CG203*Calculateur!CI203*VLOOKUP('Données projet'!$B$12,Paramètres!$A$1:$I$89,3,0)*0.475*44/12</f>
        <v>6.4991527442128882E-2</v>
      </c>
      <c r="CM203" s="23">
        <f>EXP(-LN(2)/2)*CM202+(1-EXP(-LN(2)/2))/(LN(2)/2)*CG203*CJ203*VLOOKUP('Données projet'!$B$12,Paramètres!$A$1:$I$89,3,0)*0.475*44/12</f>
        <v>7.6228391846946063E-26</v>
      </c>
      <c r="CN203" s="24">
        <f t="shared" si="172"/>
        <v>0.53065303547738785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-1.1368683772161603E-13</v>
      </c>
      <c r="CU203" s="18">
        <f>CT203*VLOOKUP('Données projet'!$B$13,Paramètres!$A$1:$I$89,3,0)*VLOOKUP('Données projet'!$B$13,Paramètres!$A$1:$I$89,5,0)</f>
        <v>-9.2222762759774927E-14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191.03017979797141</v>
      </c>
      <c r="CZ203" s="62">
        <f t="shared" si="208"/>
        <v>222.78252111624278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-1.1368683772161603E-13</v>
      </c>
      <c r="DP203" s="18">
        <f>DO203*VLOOKUP('Données projet'!$B$14,Paramètres!$A$1:$I$89,3,0)*VLOOKUP('Données projet'!$B$14,Paramètres!$A$1:$I$89,5,0)</f>
        <v>-1.0818439477588981E-13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260.93525280373063</v>
      </c>
      <c r="DU203" s="62">
        <f t="shared" si="209"/>
        <v>206.83968452163816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>
        <f>EJ203*VLOOKUP('Données projet'!$B$15,Paramètres!$A$1:$I$89,3,0)*VLOOKUP('Données projet'!$B$15,Paramètres!$A$1:$I$89,5,0)</f>
        <v>0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118.01099353898547</v>
      </c>
      <c r="EP203" s="62">
        <f t="shared" si="210"/>
        <v>103.17146760845947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-9.6633812063373625E-13</v>
      </c>
      <c r="FF203" s="18">
        <f>FE203*VLOOKUP('Données projet'!$B$16,Paramètres!$A$1:$I$89,3,0)*VLOOKUP('Données projet'!$B$16,Paramètres!$A$1:$I$89,5,0)</f>
        <v>-9.6479197964072245E-13</v>
      </c>
      <c r="FG203" s="14" t="e">
        <f t="shared" si="182"/>
        <v>#NUM!</v>
      </c>
      <c r="FH203" s="22" t="e">
        <f t="shared" si="183"/>
        <v>#NUM!</v>
      </c>
      <c r="FI203" s="62" t="e">
        <f t="shared" si="199"/>
        <v>#NUM!</v>
      </c>
      <c r="FJ203" s="62">
        <f ca="1">AVERAGE(OFFSET($FI$3,0,0,'Données projet'!$E$16+1,1))-AVERAGE(OFFSET($H$3,0,0,'Données projet'!$E$16+1,1))</f>
        <v>343.71044073996887</v>
      </c>
      <c r="FK203" s="62">
        <f t="shared" si="211"/>
        <v>193.51732627292375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1.2054868146447177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1.2721747796233518</v>
      </c>
      <c r="BA205" s="88">
        <f>EXP(LN('Données projet'!B88)/'Données projet'!A88)</f>
        <v>1.35673740976754</v>
      </c>
      <c r="BV205" s="88">
        <f>EXP(LN('Données projet'!B114)/'Données projet'!A114)</f>
        <v>1.35673740976754</v>
      </c>
      <c r="CQ205" s="88">
        <f>EXP(LN('Données projet'!B140)/'Données projet'!A140)</f>
        <v>1.2457309396155174</v>
      </c>
      <c r="DL205" s="88">
        <f>EXP(LN('Données projet'!B166)/'Données projet'!A166)</f>
        <v>1.2711106295585217</v>
      </c>
      <c r="EG205" s="88">
        <f>EXP(LN('Données projet'!B192)/'Données projet'!A192)</f>
        <v>1.3139754596796083</v>
      </c>
      <c r="FB205" s="88">
        <f>EXP(LN('Données projet'!B218)/'Données projet'!A218)</f>
        <v>1.2054868146447177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E1" zoomScale="90" zoomScaleNormal="90" workbookViewId="0">
      <selection activeCell="O16" sqref="O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0.28919999999999996</v>
      </c>
      <c r="C6" s="156">
        <f ca="1">IF(OR('Données projet'!B9="",'Données projet'!C9="",'Données projet'!C9=0%),0,Calculateur!S3)</f>
        <v>303.73499739059076</v>
      </c>
      <c r="D6" s="156">
        <f>IF(OR('Données projet'!B9="",'Données projet'!C9="",'Données projet'!C9=0%),0,Calculateur!T3)</f>
        <v>172.32171001882188</v>
      </c>
      <c r="E6" s="156">
        <f ca="1">MIN(C6,D6)</f>
        <v>172.32171001882188</v>
      </c>
      <c r="F6" s="156">
        <f ca="1">E6*B6</f>
        <v>49.835438537443281</v>
      </c>
      <c r="G6" s="156">
        <f ca="1">F6*(100%-'Données projet'!$C$24)*(100%-'Données projet'!$C$25)*(100%-'Données projet'!$C$26)*(100%-'Données projet'!$C$27)</f>
        <v>40.366705215329056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2.0966999999999998</v>
      </c>
      <c r="K6" s="160">
        <f>J6*(100%-'Données projet'!$C$24)*(100%-'Données projet'!$C$25)*(100%-'Données projet'!$C$26)*(100%-'Données projet'!$C$27)</f>
        <v>1.6983269999999999</v>
      </c>
      <c r="L6" s="161">
        <f ca="1">G6+I6+K6</f>
        <v>42.065032215329055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Châtaignier</v>
      </c>
      <c r="B7" s="163">
        <f>'Données projet'!D10</f>
        <v>0.28919999999999996</v>
      </c>
      <c r="C7" s="156">
        <f ca="1">IF(OR('Données projet'!B10="",'Données projet'!C10="",'Données projet'!C10=0%),0,Calculateur!AN3)</f>
        <v>215.66498680344858</v>
      </c>
      <c r="D7" s="156">
        <f>IF(OR('Données projet'!B10="",'Données projet'!C10="",'Données projet'!C10=0%),0,Calculateur!AO3)</f>
        <v>199.86715787211114</v>
      </c>
      <c r="E7" s="156">
        <f t="shared" ref="E7:E15" ca="1" si="0">MIN(C7,D7)</f>
        <v>199.86715787211114</v>
      </c>
      <c r="F7" s="156">
        <f t="shared" ref="F7:F15" ca="1" si="1">E7*B7</f>
        <v>57.801582056614535</v>
      </c>
      <c r="G7" s="156">
        <f ca="1">F7*(100%-'Données projet'!$C$24)*(100%-'Données projet'!$C$25)*(100%-'Données projet'!$C$26)*(100%-'Données projet'!$C$27)</f>
        <v>46.819281465857777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5.1332999999999993</v>
      </c>
      <c r="K7" s="160">
        <f>J7*(100%-'Données projet'!$C$24)*(100%-'Données projet'!$C$25)*(100%-'Données projet'!$C$26)*(100%-'Données projet'!$C$27)</f>
        <v>4.1579729999999993</v>
      </c>
      <c r="L7" s="161">
        <f t="shared" ref="L7:L15" ca="1" si="2">G7+I7+K7</f>
        <v>50.977254465857776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Pin taeda</v>
      </c>
      <c r="B8" s="163">
        <f>'Données projet'!D11</f>
        <v>0.28919999999999996</v>
      </c>
      <c r="C8" s="156">
        <f ca="1">IF(OR('Données projet'!B11="",'Données projet'!C11="",'Données projet'!C11=0%),0,Calculateur!BI3)</f>
        <v>155.11440101086782</v>
      </c>
      <c r="D8" s="156">
        <f>IF(OR('Données projet'!B11="",'Données projet'!C11="",'Données projet'!C11=0%),0,Calculateur!BJ3)</f>
        <v>239.53454701506638</v>
      </c>
      <c r="E8" s="156">
        <f t="shared" ca="1" si="0"/>
        <v>155.11440101086782</v>
      </c>
      <c r="F8" s="156">
        <f t="shared" ca="1" si="1"/>
        <v>44.859084772342968</v>
      </c>
      <c r="G8" s="156">
        <f ca="1">F8*(100%-'Données projet'!$C$24)*(100%-'Données projet'!$C$25)*(100%-'Données projet'!$C$26)*(100%-'Données projet'!$C$27)</f>
        <v>36.335858665597804</v>
      </c>
      <c r="H8" s="164">
        <f>IF(OR('Données projet'!B11="",'Données projet'!C11="",'Données projet'!C11=0%),0,AVERAGE(Calculateur!$BS$3:$BS$33)*B8)</f>
        <v>2.2086264553329431</v>
      </c>
      <c r="I8" s="158">
        <f>H8*(100%-'Données projet'!$C$24)*(100%-'Données projet'!$C$25)*(100%-'Données projet'!$C$26)*(100%-'Données projet'!$C$27)</f>
        <v>1.7889874288196841</v>
      </c>
      <c r="J8" s="159">
        <f>IF(OR('Données projet'!B11="",'Données projet'!C11="",'Données projet'!C11=0%),0,SUM(Calculateur!$BL$3:$BL$33)*VLOOKUP('Données projet'!$B$11,Paramètres!$A$1:$I$89,9,0)*B8)</f>
        <v>13.915436399999999</v>
      </c>
      <c r="K8" s="160">
        <f>J8*(100%-'Données projet'!$C$24)*(100%-'Données projet'!$C$25)*(100%-'Données projet'!$C$26)*(100%-'Données projet'!$C$27)</f>
        <v>11.271503484</v>
      </c>
      <c r="L8" s="161">
        <f t="shared" ca="1" si="2"/>
        <v>49.396349578417485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Pin maritime</v>
      </c>
      <c r="B9" s="163">
        <f>'Données projet'!D12</f>
        <v>8.879999999999999E-2</v>
      </c>
      <c r="C9" s="156">
        <f ca="1">IF(OR('Données projet'!B12="",'Données projet'!C12="",'Données projet'!C12=0%),0,Calculateur!CD3)</f>
        <v>155.11440101086782</v>
      </c>
      <c r="D9" s="156">
        <f>IF(OR('Données projet'!B12="",'Données projet'!C12="",'Données projet'!C12=0%),0,Calculateur!CE3)</f>
        <v>239.53454701506638</v>
      </c>
      <c r="E9" s="156">
        <f t="shared" ca="1" si="0"/>
        <v>155.11440101086782</v>
      </c>
      <c r="F9" s="156">
        <f t="shared" ca="1" si="1"/>
        <v>13.774158809765062</v>
      </c>
      <c r="G9" s="156">
        <f ca="1">F9*(100%-'Données projet'!$C$24)*(100%-'Données projet'!$C$25)*(100%-'Données projet'!$C$26)*(100%-'Données projet'!$C$27)</f>
        <v>11.157068635909701</v>
      </c>
      <c r="H9" s="164">
        <f>IF(OR('Données projet'!B12="",'Données projet'!C12="",'Données projet'!C12=0%),0,AVERAGE(Calculateur!$CN$3:$CN$33)*B9)</f>
        <v>0.67816745931384981</v>
      </c>
      <c r="I9" s="158">
        <f>H9*(100%-'Données projet'!$C$24)*(100%-'Données projet'!$C$25)*(100%-'Données projet'!$C$26)*(100%-'Données projet'!$C$27)</f>
        <v>0.54931564204421834</v>
      </c>
      <c r="J9" s="159">
        <f>IF(OR('Données projet'!B12="",'Données projet'!C12="",'Données projet'!C12=0%),0,SUM(Calculateur!$CG$3:$CG$33)*VLOOKUP('Données projet'!$B$12,Paramètres!$A$1:$I$89,9,0)*B9)</f>
        <v>5.8626647999999992</v>
      </c>
      <c r="K9" s="160">
        <f>J9*(100%-'Données projet'!$C$24)*(100%-'Données projet'!$C$25)*(100%-'Données projet'!$C$26)*(100%-'Données projet'!$C$27)</f>
        <v>4.7487584879999991</v>
      </c>
      <c r="L9" s="161">
        <f t="shared" ca="1" si="2"/>
        <v>16.455142765953919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Bouleau verruqueux</v>
      </c>
      <c r="B10" s="163">
        <f>'Données projet'!D13</f>
        <v>4.4399999999999995E-2</v>
      </c>
      <c r="C10" s="156">
        <f ca="1">IF(OR('Données projet'!B13="",'Données projet'!C13="",'Données projet'!C13=0%),0,Calculateur!CY3)</f>
        <v>191.03017979797141</v>
      </c>
      <c r="D10" s="156">
        <f>IF(OR('Données projet'!B13="",'Données projet'!C13="",'Données projet'!C13=0%),0,Calculateur!CZ3)</f>
        <v>222.78252111624278</v>
      </c>
      <c r="E10" s="156">
        <f t="shared" ca="1" si="0"/>
        <v>191.03017979797141</v>
      </c>
      <c r="F10" s="156">
        <f t="shared" ca="1" si="1"/>
        <v>8.4817399830299305</v>
      </c>
      <c r="G10" s="156">
        <f ca="1">F10*(100%-'Données projet'!$C$24)*(100%-'Données projet'!$C$25)*(100%-'Données projet'!$C$26)*(100%-'Données projet'!$C$27)</f>
        <v>6.8702093862542437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0.44399999999999995</v>
      </c>
      <c r="K10" s="160">
        <f>J10*(100%-'Données projet'!$C$24)*(100%-'Données projet'!$C$25)*(100%-'Données projet'!$C$26)*(100%-'Données projet'!$C$27)</f>
        <v>0.35963999999999996</v>
      </c>
      <c r="L10" s="161">
        <f t="shared" ca="1" si="2"/>
        <v>7.2298493862542434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Charme</v>
      </c>
      <c r="B11" s="163">
        <f>'Données projet'!D14</f>
        <v>4.4399999999999995E-2</v>
      </c>
      <c r="C11" s="156">
        <f ca="1">IF(OR('Données projet'!B14="",'Données projet'!C14="",'Données projet'!C14=0%),0,Calculateur!DT3)</f>
        <v>260.93525280373063</v>
      </c>
      <c r="D11" s="156">
        <f>IF(OR('Données projet'!B14="",'Données projet'!C14="",'Données projet'!C14=0%),0,Calculateur!DU3)</f>
        <v>206.83968452163816</v>
      </c>
      <c r="E11" s="156">
        <f t="shared" ca="1" si="0"/>
        <v>206.83968452163816</v>
      </c>
      <c r="F11" s="156">
        <f t="shared" ca="1" si="1"/>
        <v>9.183681992760734</v>
      </c>
      <c r="G11" s="156">
        <f ca="1">F11*(100%-'Données projet'!$C$24)*(100%-'Données projet'!$C$25)*(100%-'Données projet'!$C$26)*(100%-'Données projet'!$C$27)</f>
        <v>7.4387824141361945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0.46961538461538455</v>
      </c>
      <c r="K11" s="160">
        <f>J11*(100%-'Données projet'!$C$24)*(100%-'Données projet'!$C$25)*(100%-'Données projet'!$C$26)*(100%-'Données projet'!$C$27)</f>
        <v>0.38038846153846151</v>
      </c>
      <c r="L11" s="161">
        <f t="shared" ca="1" si="2"/>
        <v>7.8191708756746561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Pin pignon</v>
      </c>
      <c r="B12" s="163">
        <f>'Données projet'!D15</f>
        <v>4.4399999999999995E-2</v>
      </c>
      <c r="C12" s="156">
        <f ca="1">IF(OR('Données projet'!B15="",'Données projet'!C15="",'Données projet'!C15=0%),0,Calculateur!EO3)</f>
        <v>118.01099353898547</v>
      </c>
      <c r="D12" s="156">
        <f>IF(OR('Données projet'!B15="",'Données projet'!C15="",'Données projet'!C15=0%),0,Calculateur!EP3)</f>
        <v>103.17146760845947</v>
      </c>
      <c r="E12" s="156">
        <f t="shared" ca="1" si="0"/>
        <v>103.17146760845947</v>
      </c>
      <c r="F12" s="156">
        <f t="shared" ca="1" si="1"/>
        <v>4.5808131618156001</v>
      </c>
      <c r="G12" s="156">
        <f ca="1">F12*(100%-'Données projet'!$C$24)*(100%-'Données projet'!$C$25)*(100%-'Données projet'!$C$26)*(100%-'Données projet'!$C$27)</f>
        <v>3.710458661070636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0.21717149999999999</v>
      </c>
      <c r="K12" s="160">
        <f>J12*(100%-'Données projet'!$C$24)*(100%-'Données projet'!$C$25)*(100%-'Données projet'!$C$26)*(100%-'Données projet'!$C$27)</f>
        <v>0.175908915</v>
      </c>
      <c r="L12" s="161">
        <f t="shared" ca="1" si="2"/>
        <v>3.886367576070636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>Chêne tauzin</v>
      </c>
      <c r="B13" s="163">
        <f>'Données projet'!D16</f>
        <v>4.4399999999999995E-2</v>
      </c>
      <c r="C13" s="156">
        <f ca="1">IF(OR('Données projet'!B16="",'Données projet'!C16="",'Données projet'!C16=0%),0,Calculateur!FJ3)</f>
        <v>343.71044073996887</v>
      </c>
      <c r="D13" s="156">
        <f>IF(OR('Données projet'!B16="",'Données projet'!C16="",'Données projet'!C16=0%),0,Calculateur!FK3)</f>
        <v>193.51732627292375</v>
      </c>
      <c r="E13" s="156">
        <f t="shared" ca="1" si="0"/>
        <v>193.51732627292375</v>
      </c>
      <c r="F13" s="156">
        <f t="shared" ca="1" si="1"/>
        <v>8.5921692865178141</v>
      </c>
      <c r="G13" s="156">
        <f ca="1">F13*(100%-'Données projet'!$C$24)*(100%-'Données projet'!$C$25)*(100%-'Données projet'!$C$26)*(100%-'Données projet'!$C$27)</f>
        <v>6.9596571220794301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0.32189999999999996</v>
      </c>
      <c r="K13" s="160">
        <f>J13*(100%-'Données projet'!$C$24)*(100%-'Données projet'!$C$25)*(100%-'Données projet'!$C$26)*(100%-'Données projet'!$C$27)</f>
        <v>0.260739</v>
      </c>
      <c r="L13" s="161">
        <f t="shared" ca="1" si="2"/>
        <v>7.2203961220794302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197.10866860028995</v>
      </c>
      <c r="G16" s="175">
        <f t="shared" ca="1" si="3"/>
        <v>159.65802156623482</v>
      </c>
      <c r="H16" s="176">
        <f t="shared" si="3"/>
        <v>2.8867939146467929</v>
      </c>
      <c r="I16" s="176">
        <f t="shared" si="3"/>
        <v>2.3383030708639025</v>
      </c>
      <c r="J16" s="177">
        <f t="shared" si="3"/>
        <v>28.46078808461538</v>
      </c>
      <c r="K16" s="177">
        <f t="shared" si="3"/>
        <v>23.053238348538461</v>
      </c>
      <c r="L16" s="178">
        <f t="shared" ca="1" si="3"/>
        <v>185.04956298563718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Châtaignier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Pin taeda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Pin maritime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Bouleau verruqueux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Charme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Pin pignon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>Chêne tauzin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N3" zoomScale="80" zoomScaleNormal="80" workbookViewId="0">
      <selection activeCell="N19" sqref="N1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692.77732409427711</v>
      </c>
      <c r="U10" s="190">
        <f>'Données projet'!D9</f>
        <v>0.28919999999999996</v>
      </c>
      <c r="V10" s="189">
        <f>U10*T10</f>
        <v>200.3512021280649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Châtaignier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1384.3651389740489</v>
      </c>
      <c r="U11" s="190">
        <f>'Données projet'!D10</f>
        <v>0.28919999999999996</v>
      </c>
      <c r="V11" s="189">
        <f t="shared" ref="V11" si="0">U11*T11</f>
        <v>400.3583981912949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taeda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2995.915261274617</v>
      </c>
      <c r="U12" s="190">
        <f>'Données projet'!D11</f>
        <v>0.28919999999999996</v>
      </c>
      <c r="V12" s="189">
        <f t="shared" ref="V12:V19" si="1">U12*T12</f>
        <v>866.41869356061909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Pin maritime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2995.915261274617</v>
      </c>
      <c r="U13" s="190">
        <f>'Données projet'!D12</f>
        <v>8.879999999999999E-2</v>
      </c>
      <c r="V13" s="189">
        <f t="shared" si="1"/>
        <v>266.03727520118593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Bouleau verruqueux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842.11859777471182</v>
      </c>
      <c r="U14" s="190">
        <f>'Données projet'!D13</f>
        <v>4.4399999999999995E-2</v>
      </c>
      <c r="V14" s="189">
        <f t="shared" si="1"/>
        <v>37.390065741197198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Charme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477.36304590841013</v>
      </c>
      <c r="U15" s="190">
        <f>'Données projet'!D14</f>
        <v>4.4399999999999995E-2</v>
      </c>
      <c r="V15" s="189">
        <f t="shared" si="1"/>
        <v>21.194919238333409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80</v>
      </c>
      <c r="O16" s="25"/>
      <c r="P16" s="25"/>
      <c r="Q16" s="265"/>
      <c r="R16" s="25"/>
      <c r="S16" s="185" t="str">
        <f>B200</f>
        <v>Pin pignon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83.165999773389814</v>
      </c>
      <c r="U16" s="190">
        <f>'Données projet'!D15</f>
        <v>4.4399999999999995E-2</v>
      </c>
      <c r="V16" s="189">
        <f t="shared" si="1"/>
        <v>3.6925703899385072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79.999999999999929</v>
      </c>
      <c r="O17" s="25"/>
      <c r="P17" s="25"/>
      <c r="Q17" s="265"/>
      <c r="R17" s="25"/>
      <c r="S17" s="185" t="str">
        <f>B231</f>
        <v>Chêne tauzin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692.77732409427711</v>
      </c>
      <c r="U17" s="190">
        <f>'Données projet'!D16</f>
        <v>4.4399999999999995E-2</v>
      </c>
      <c r="V17" s="189">
        <f t="shared" si="1"/>
        <v>30.7593131897859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30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2399.9999999999977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9000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-8973.7975623595794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85.131297381899444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29</v>
      </c>
      <c r="C25" s="206">
        <v>10</v>
      </c>
      <c r="D25" s="194">
        <f t="shared" si="2"/>
        <v>290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-9058.9288597414779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42</v>
      </c>
      <c r="C27" s="206">
        <v>10</v>
      </c>
      <c r="D27" s="194">
        <f t="shared" si="2"/>
        <v>420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42</v>
      </c>
      <c r="C29" s="206">
        <v>20</v>
      </c>
      <c r="D29" s="194">
        <f t="shared" si="2"/>
        <v>840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42</v>
      </c>
      <c r="C31" s="206">
        <v>30</v>
      </c>
      <c r="D31" s="194">
        <f t="shared" si="2"/>
        <v>1260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42</v>
      </c>
      <c r="C33" s="206">
        <v>40</v>
      </c>
      <c r="D33" s="194">
        <f t="shared" si="2"/>
        <v>1680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42</v>
      </c>
      <c r="C35" s="206">
        <v>50</v>
      </c>
      <c r="D35" s="194">
        <f t="shared" si="2"/>
        <v>2100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42</v>
      </c>
      <c r="C36" s="206">
        <v>60</v>
      </c>
      <c r="D36" s="194">
        <f t="shared" si="2"/>
        <v>2520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100</v>
      </c>
      <c r="B37" s="193">
        <f>'Données projet'!D50</f>
        <v>42</v>
      </c>
      <c r="C37" s="206">
        <v>70</v>
      </c>
      <c r="D37" s="194">
        <f t="shared" si="2"/>
        <v>2940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110</v>
      </c>
      <c r="B38" s="193">
        <f>'Données projet'!D51</f>
        <v>39</v>
      </c>
      <c r="C38" s="206">
        <v>80</v>
      </c>
      <c r="D38" s="194">
        <f t="shared" si="2"/>
        <v>3120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120</v>
      </c>
      <c r="B39" s="193">
        <f>'Données projet'!D52</f>
        <v>35</v>
      </c>
      <c r="C39" s="206">
        <v>90</v>
      </c>
      <c r="D39" s="194">
        <f t="shared" si="2"/>
        <v>3150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130</v>
      </c>
      <c r="B40" s="193">
        <f>'Données projet'!D53</f>
        <v>31</v>
      </c>
      <c r="C40" s="206">
        <v>100</v>
      </c>
      <c r="D40" s="194">
        <f t="shared" si="2"/>
        <v>3100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140</v>
      </c>
      <c r="B41" s="193">
        <f>'Données projet'!D54</f>
        <v>27</v>
      </c>
      <c r="C41" s="206">
        <v>120</v>
      </c>
      <c r="D41" s="194">
        <f t="shared" si="2"/>
        <v>3240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150</v>
      </c>
      <c r="B42" s="193">
        <f>'Données projet'!D55</f>
        <v>293</v>
      </c>
      <c r="C42" s="206">
        <v>200</v>
      </c>
      <c r="D42" s="194">
        <f t="shared" si="2"/>
        <v>58600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Châtaignier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15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25</v>
      </c>
      <c r="B56" s="193">
        <f>'Données projet'!D64</f>
        <v>71</v>
      </c>
      <c r="C56" s="204">
        <v>10</v>
      </c>
      <c r="D56" s="191">
        <f t="shared" si="4"/>
        <v>710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35</v>
      </c>
      <c r="B58" s="193">
        <f>'Données projet'!D66</f>
        <v>56</v>
      </c>
      <c r="C58" s="204">
        <v>15</v>
      </c>
      <c r="D58" s="191">
        <f t="shared" si="4"/>
        <v>840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45</v>
      </c>
      <c r="B60" s="193">
        <f>'Données projet'!D68</f>
        <v>50</v>
      </c>
      <c r="C60" s="204">
        <v>20</v>
      </c>
      <c r="D60" s="191">
        <f t="shared" si="4"/>
        <v>1000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55</v>
      </c>
      <c r="B62" s="193">
        <f>'Données projet'!D70</f>
        <v>30</v>
      </c>
      <c r="C62" s="204">
        <v>30</v>
      </c>
      <c r="D62" s="191">
        <f t="shared" si="4"/>
        <v>900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65</v>
      </c>
      <c r="B64" s="193">
        <f>'Données projet'!D72</f>
        <v>23</v>
      </c>
      <c r="C64" s="204">
        <v>40</v>
      </c>
      <c r="D64" s="191">
        <f t="shared" si="4"/>
        <v>920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75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80</v>
      </c>
      <c r="B67" s="193">
        <f>'Données projet'!D75</f>
        <v>295</v>
      </c>
      <c r="C67" s="204">
        <v>80</v>
      </c>
      <c r="D67" s="191">
        <f t="shared" si="4"/>
        <v>23600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Pin taeda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str">
        <f>IF(O77+1&lt;=MIN('Données projet'!$E$9:$E$18),O77+1,"STOP")</f>
        <v>STOP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12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13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14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15</v>
      </c>
      <c r="B88" s="193">
        <f>'Données projet'!D91</f>
        <v>23.3</v>
      </c>
      <c r="C88" s="206">
        <v>10</v>
      </c>
      <c r="D88" s="191">
        <f t="shared" si="6"/>
        <v>233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17</v>
      </c>
      <c r="B89" s="193">
        <f>'Données projet'!D92</f>
        <v>0</v>
      </c>
      <c r="C89" s="206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20</v>
      </c>
      <c r="B90" s="193">
        <f>'Données projet'!D93</f>
        <v>34.1</v>
      </c>
      <c r="C90" s="206">
        <v>15</v>
      </c>
      <c r="D90" s="191">
        <f t="shared" si="6"/>
        <v>511.5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22</v>
      </c>
      <c r="B91" s="193">
        <f>'Données projet'!D94</f>
        <v>0</v>
      </c>
      <c r="C91" s="206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24</v>
      </c>
      <c r="B92" s="193">
        <f>'Données projet'!D95</f>
        <v>0</v>
      </c>
      <c r="C92" s="206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27</v>
      </c>
      <c r="B93" s="193">
        <f>'Données projet'!D96</f>
        <v>54.5</v>
      </c>
      <c r="C93" s="206">
        <v>20</v>
      </c>
      <c r="D93" s="191">
        <f t="shared" si="6"/>
        <v>1090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28</v>
      </c>
      <c r="B94" s="193">
        <f>'Données projet'!D97</f>
        <v>0</v>
      </c>
      <c r="C94" s="206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30</v>
      </c>
      <c r="B95" s="193">
        <f>'Données projet'!D98</f>
        <v>0</v>
      </c>
      <c r="C95" s="206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32</v>
      </c>
      <c r="B96" s="193">
        <f>'Données projet'!D99</f>
        <v>62.7</v>
      </c>
      <c r="C96" s="206">
        <v>25</v>
      </c>
      <c r="D96" s="191">
        <f t="shared" si="6"/>
        <v>1567.5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34</v>
      </c>
      <c r="B97" s="193">
        <f>'Données projet'!D100</f>
        <v>0</v>
      </c>
      <c r="C97" s="206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36</v>
      </c>
      <c r="B98" s="193">
        <f>'Données projet'!D101</f>
        <v>0</v>
      </c>
      <c r="C98" s="206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38</v>
      </c>
      <c r="B99" s="193">
        <f>'Données projet'!D102</f>
        <v>0</v>
      </c>
      <c r="C99" s="206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40</v>
      </c>
      <c r="B100" s="193">
        <f>'Données projet'!D103</f>
        <v>0</v>
      </c>
      <c r="C100" s="206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42</v>
      </c>
      <c r="B101" s="193">
        <f>'Données projet'!D104</f>
        <v>0</v>
      </c>
      <c r="C101" s="206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44</v>
      </c>
      <c r="B102" s="193">
        <f>'Données projet'!D105</f>
        <v>337.8</v>
      </c>
      <c r="C102" s="206">
        <v>40</v>
      </c>
      <c r="D102" s="191">
        <f t="shared" si="6"/>
        <v>13512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Pin maritime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12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13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14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15</v>
      </c>
      <c r="B119" s="193">
        <f>'Données projet'!D117</f>
        <v>23.3</v>
      </c>
      <c r="C119" s="206">
        <v>10</v>
      </c>
      <c r="D119" s="191">
        <f t="shared" si="8"/>
        <v>233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17</v>
      </c>
      <c r="B120" s="193">
        <f>'Données projet'!D118</f>
        <v>0</v>
      </c>
      <c r="C120" s="206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20</v>
      </c>
      <c r="B121" s="193">
        <f>'Données projet'!D119</f>
        <v>34.1</v>
      </c>
      <c r="C121" s="206">
        <v>15</v>
      </c>
      <c r="D121" s="191">
        <f t="shared" si="8"/>
        <v>511.5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22</v>
      </c>
      <c r="B122" s="193">
        <f>'Données projet'!D120</f>
        <v>0</v>
      </c>
      <c r="C122" s="206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24</v>
      </c>
      <c r="B123" s="193">
        <f>'Données projet'!D121</f>
        <v>0</v>
      </c>
      <c r="C123" s="206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27</v>
      </c>
      <c r="B124" s="193">
        <f>'Données projet'!D122</f>
        <v>54.5</v>
      </c>
      <c r="C124" s="206">
        <v>20</v>
      </c>
      <c r="D124" s="191">
        <f t="shared" si="8"/>
        <v>1090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28</v>
      </c>
      <c r="B125" s="193">
        <f>'Données projet'!D123</f>
        <v>0</v>
      </c>
      <c r="C125" s="206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30</v>
      </c>
      <c r="B126" s="193">
        <f>'Données projet'!D124</f>
        <v>0</v>
      </c>
      <c r="C126" s="206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32</v>
      </c>
      <c r="B127" s="193">
        <f>'Données projet'!D125</f>
        <v>62.7</v>
      </c>
      <c r="C127" s="206">
        <v>25</v>
      </c>
      <c r="D127" s="191">
        <f t="shared" si="8"/>
        <v>1567.5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34</v>
      </c>
      <c r="B128" s="193">
        <f>'Données projet'!D126</f>
        <v>0</v>
      </c>
      <c r="C128" s="206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36</v>
      </c>
      <c r="B129" s="193">
        <f>'Données projet'!D127</f>
        <v>0</v>
      </c>
      <c r="C129" s="206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38</v>
      </c>
      <c r="B130" s="193">
        <f>'Données projet'!D128</f>
        <v>0</v>
      </c>
      <c r="C130" s="206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40</v>
      </c>
      <c r="B131" s="193">
        <f>'Données projet'!D129</f>
        <v>0</v>
      </c>
      <c r="C131" s="206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42</v>
      </c>
      <c r="B132" s="193">
        <f>'Données projet'!D130</f>
        <v>0</v>
      </c>
      <c r="C132" s="206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44</v>
      </c>
      <c r="B133" s="193">
        <f>'Données projet'!D131</f>
        <v>337.8</v>
      </c>
      <c r="C133" s="206">
        <v>40</v>
      </c>
      <c r="D133" s="191">
        <f t="shared" si="8"/>
        <v>13512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Bouleau verruqueux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15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20</v>
      </c>
      <c r="B149" s="187">
        <f>'Données projet'!D142</f>
        <v>40</v>
      </c>
      <c r="C149" s="206">
        <v>10</v>
      </c>
      <c r="D149" s="194">
        <f t="shared" si="10"/>
        <v>400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25</v>
      </c>
      <c r="B150" s="187">
        <f>'Données projet'!D143</f>
        <v>0</v>
      </c>
      <c r="C150" s="206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30</v>
      </c>
      <c r="B151" s="187">
        <f>'Données projet'!D144</f>
        <v>0</v>
      </c>
      <c r="C151" s="206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35</v>
      </c>
      <c r="B152" s="187">
        <f>'Données projet'!D145</f>
        <v>76</v>
      </c>
      <c r="C152" s="206">
        <v>15</v>
      </c>
      <c r="D152" s="194">
        <f t="shared" si="10"/>
        <v>1140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40</v>
      </c>
      <c r="B153" s="187">
        <f>'Données projet'!D146</f>
        <v>0</v>
      </c>
      <c r="C153" s="206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45</v>
      </c>
      <c r="B154" s="187">
        <f>'Données projet'!D147</f>
        <v>0</v>
      </c>
      <c r="C154" s="206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50</v>
      </c>
      <c r="B155" s="187">
        <f>'Données projet'!D148</f>
        <v>0</v>
      </c>
      <c r="C155" s="206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55</v>
      </c>
      <c r="B156" s="187">
        <f>'Données projet'!D149</f>
        <v>0</v>
      </c>
      <c r="C156" s="206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60</v>
      </c>
      <c r="B157" s="187">
        <f>'Données projet'!D150</f>
        <v>303</v>
      </c>
      <c r="C157" s="206">
        <v>20</v>
      </c>
      <c r="D157" s="194">
        <f t="shared" si="10"/>
        <v>6060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Charme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15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20</v>
      </c>
      <c r="B179" s="193">
        <f>'Données projet'!D167</f>
        <v>16.666666666666668</v>
      </c>
      <c r="C179" s="204">
        <v>10</v>
      </c>
      <c r="D179" s="191">
        <f t="shared" ref="D179:D197" si="11">B179*C179</f>
        <v>166.66666666666669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25</v>
      </c>
      <c r="B180" s="193">
        <f>'Données projet'!D168</f>
        <v>0</v>
      </c>
      <c r="C180" s="204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30</v>
      </c>
      <c r="B181" s="193">
        <f>'Données projet'!D169</f>
        <v>25.641025641025639</v>
      </c>
      <c r="C181" s="204">
        <v>10</v>
      </c>
      <c r="D181" s="191">
        <f t="shared" si="11"/>
        <v>256.41025641025641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35</v>
      </c>
      <c r="B182" s="193">
        <f>'Données projet'!D170</f>
        <v>0</v>
      </c>
      <c r="C182" s="204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40</v>
      </c>
      <c r="B183" s="193">
        <f>'Données projet'!D171</f>
        <v>28.846153846153847</v>
      </c>
      <c r="C183" s="204">
        <v>15</v>
      </c>
      <c r="D183" s="191">
        <f t="shared" si="11"/>
        <v>432.69230769230768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45</v>
      </c>
      <c r="B184" s="193">
        <f>'Données projet'!D172</f>
        <v>0</v>
      </c>
      <c r="C184" s="204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50</v>
      </c>
      <c r="B185" s="193">
        <f>'Données projet'!D173</f>
        <v>30.769230769230766</v>
      </c>
      <c r="C185" s="204">
        <v>15</v>
      </c>
      <c r="D185" s="191">
        <f t="shared" si="11"/>
        <v>461.53846153846149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55</v>
      </c>
      <c r="B186" s="193">
        <f>'Données projet'!D174</f>
        <v>0</v>
      </c>
      <c r="C186" s="204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60</v>
      </c>
      <c r="B187" s="193">
        <f>'Données projet'!D175</f>
        <v>29.487179487179485</v>
      </c>
      <c r="C187" s="204">
        <v>20</v>
      </c>
      <c r="D187" s="191">
        <f t="shared" si="11"/>
        <v>589.74358974358972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65</v>
      </c>
      <c r="B188" s="193">
        <f>'Données projet'!D176</f>
        <v>0</v>
      </c>
      <c r="C188" s="204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70</v>
      </c>
      <c r="B189" s="193">
        <f>'Données projet'!D177</f>
        <v>28.846153846153847</v>
      </c>
      <c r="C189" s="204">
        <v>25</v>
      </c>
      <c r="D189" s="191">
        <f t="shared" si="11"/>
        <v>721.15384615384619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75</v>
      </c>
      <c r="B190" s="193">
        <f>'Données projet'!D178</f>
        <v>0</v>
      </c>
      <c r="C190" s="204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80</v>
      </c>
      <c r="B191" s="193">
        <f>'Données projet'!D179</f>
        <v>27.564102564102562</v>
      </c>
      <c r="C191" s="204">
        <v>30</v>
      </c>
      <c r="D191" s="191">
        <f t="shared" si="11"/>
        <v>826.92307692307691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85</v>
      </c>
      <c r="B192" s="193">
        <f>'Données projet'!D180</f>
        <v>0</v>
      </c>
      <c r="C192" s="204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90</v>
      </c>
      <c r="B193" s="193">
        <f>'Données projet'!D181</f>
        <v>25.641025641025639</v>
      </c>
      <c r="C193" s="204">
        <v>35</v>
      </c>
      <c r="D193" s="191">
        <f t="shared" si="11"/>
        <v>897.43589743589735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95</v>
      </c>
      <c r="B194" s="193">
        <f>'Données projet'!D182</f>
        <v>0</v>
      </c>
      <c r="C194" s="204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100</v>
      </c>
      <c r="B195" s="193">
        <f>'Données projet'!D183</f>
        <v>23.717948717948715</v>
      </c>
      <c r="C195" s="204">
        <v>40</v>
      </c>
      <c r="D195" s="191">
        <f t="shared" si="11"/>
        <v>948.71794871794862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110</v>
      </c>
      <c r="B196" s="193">
        <f>'Données projet'!D184</f>
        <v>0</v>
      </c>
      <c r="C196" s="204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120</v>
      </c>
      <c r="B197" s="193">
        <f>'Données projet'!D185</f>
        <v>282.05128205128204</v>
      </c>
      <c r="C197" s="204">
        <v>60</v>
      </c>
      <c r="D197" s="191">
        <f t="shared" si="11"/>
        <v>16923.076923076922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Pin pignon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10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20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30</v>
      </c>
      <c r="B211" s="193">
        <f>'Données projet'!D194</f>
        <v>11.375</v>
      </c>
      <c r="C211" s="206">
        <v>10</v>
      </c>
      <c r="D211" s="191">
        <f t="shared" si="12"/>
        <v>113.75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40</v>
      </c>
      <c r="B212" s="193">
        <f>'Données projet'!D195</f>
        <v>7.0000000000000009</v>
      </c>
      <c r="C212" s="206">
        <v>10</v>
      </c>
      <c r="D212" s="191">
        <f t="shared" si="12"/>
        <v>70.000000000000014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50</v>
      </c>
      <c r="B213" s="193">
        <f>'Données projet'!D196</f>
        <v>7.7500000000000009</v>
      </c>
      <c r="C213" s="206">
        <v>10</v>
      </c>
      <c r="D213" s="191">
        <f t="shared" si="12"/>
        <v>77.500000000000014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60</v>
      </c>
      <c r="B214" s="193">
        <f>'Données projet'!D197</f>
        <v>8.25</v>
      </c>
      <c r="C214" s="206">
        <v>10</v>
      </c>
      <c r="D214" s="191">
        <f t="shared" si="12"/>
        <v>82.5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70</v>
      </c>
      <c r="B215" s="193">
        <f>'Données projet'!D198</f>
        <v>8.5</v>
      </c>
      <c r="C215" s="206">
        <v>10</v>
      </c>
      <c r="D215" s="191">
        <f t="shared" si="12"/>
        <v>85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80</v>
      </c>
      <c r="B216" s="193">
        <f>'Données projet'!D199</f>
        <v>9.1666666666666679</v>
      </c>
      <c r="C216" s="206">
        <v>15</v>
      </c>
      <c r="D216" s="191">
        <f t="shared" si="12"/>
        <v>137.50000000000003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90</v>
      </c>
      <c r="B217" s="193">
        <f>'Données projet'!D200</f>
        <v>9.1666666666666679</v>
      </c>
      <c r="C217" s="206">
        <v>20</v>
      </c>
      <c r="D217" s="191">
        <f t="shared" si="12"/>
        <v>183.33333333333337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100</v>
      </c>
      <c r="B218" s="193">
        <f>'Données projet'!D201</f>
        <v>9.125</v>
      </c>
      <c r="C218" s="206">
        <v>25</v>
      </c>
      <c r="D218" s="191">
        <f t="shared" si="12"/>
        <v>228.125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110</v>
      </c>
      <c r="B219" s="193">
        <f>'Données projet'!D202</f>
        <v>9.0416666666666661</v>
      </c>
      <c r="C219" s="206">
        <v>30</v>
      </c>
      <c r="D219" s="191">
        <f t="shared" si="12"/>
        <v>271.25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120</v>
      </c>
      <c r="B220" s="193">
        <f>'Données projet'!D203</f>
        <v>8.875</v>
      </c>
      <c r="C220" s="206">
        <v>30</v>
      </c>
      <c r="D220" s="191">
        <f t="shared" si="12"/>
        <v>266.25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130</v>
      </c>
      <c r="B221" s="193">
        <f>'Données projet'!D204</f>
        <v>8.7083333333333339</v>
      </c>
      <c r="C221" s="206">
        <v>30</v>
      </c>
      <c r="D221" s="191">
        <f t="shared" si="12"/>
        <v>261.25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140</v>
      </c>
      <c r="B222" s="193">
        <f>'Données projet'!D205</f>
        <v>8.5416666666666679</v>
      </c>
      <c r="C222" s="206">
        <v>35</v>
      </c>
      <c r="D222" s="191">
        <f t="shared" si="12"/>
        <v>298.95833333333337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150</v>
      </c>
      <c r="B223" s="193">
        <f>'Données projet'!D206</f>
        <v>130.21250000000001</v>
      </c>
      <c r="C223" s="206">
        <v>40</v>
      </c>
      <c r="D223" s="191">
        <f t="shared" si="12"/>
        <v>5208.5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>Chêne tauzin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20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25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30</v>
      </c>
      <c r="B242" s="193">
        <f>'Données projet'!D220</f>
        <v>29</v>
      </c>
      <c r="C242" s="206">
        <v>10</v>
      </c>
      <c r="D242" s="191">
        <f t="shared" si="13"/>
        <v>290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35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40</v>
      </c>
      <c r="B244" s="193">
        <f>'Données projet'!D222</f>
        <v>42</v>
      </c>
      <c r="C244" s="206">
        <v>10</v>
      </c>
      <c r="D244" s="191">
        <f t="shared" si="13"/>
        <v>420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45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50</v>
      </c>
      <c r="B246" s="193">
        <f>'Données projet'!D224</f>
        <v>42</v>
      </c>
      <c r="C246" s="206">
        <v>20</v>
      </c>
      <c r="D246" s="191">
        <f t="shared" si="13"/>
        <v>840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55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60</v>
      </c>
      <c r="B248" s="193">
        <f>'Données projet'!D226</f>
        <v>42</v>
      </c>
      <c r="C248" s="206">
        <v>30</v>
      </c>
      <c r="D248" s="191">
        <f t="shared" si="13"/>
        <v>1260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65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70</v>
      </c>
      <c r="B250" s="193">
        <f>'Données projet'!D228</f>
        <v>42</v>
      </c>
      <c r="C250" s="206">
        <v>40</v>
      </c>
      <c r="D250" s="191">
        <f t="shared" si="13"/>
        <v>1680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75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80</v>
      </c>
      <c r="B252" s="193">
        <f>'Données projet'!D230</f>
        <v>42</v>
      </c>
      <c r="C252" s="206">
        <v>50</v>
      </c>
      <c r="D252" s="191">
        <f t="shared" si="13"/>
        <v>2100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90</v>
      </c>
      <c r="B253" s="193">
        <f>'Données projet'!D231</f>
        <v>42</v>
      </c>
      <c r="C253" s="206">
        <v>60</v>
      </c>
      <c r="D253" s="191">
        <f t="shared" si="13"/>
        <v>2520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100</v>
      </c>
      <c r="B254" s="193">
        <f>'Données projet'!D232</f>
        <v>42</v>
      </c>
      <c r="C254" s="206">
        <v>70</v>
      </c>
      <c r="D254" s="191">
        <f t="shared" si="13"/>
        <v>2940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110</v>
      </c>
      <c r="B255" s="193">
        <f>'Données projet'!D233</f>
        <v>39</v>
      </c>
      <c r="C255" s="206">
        <v>80</v>
      </c>
      <c r="D255" s="191">
        <f t="shared" si="13"/>
        <v>3120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120</v>
      </c>
      <c r="B256" s="193">
        <f>'Données projet'!D234</f>
        <v>35</v>
      </c>
      <c r="C256" s="206">
        <v>90</v>
      </c>
      <c r="D256" s="191">
        <f t="shared" si="13"/>
        <v>3150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130</v>
      </c>
      <c r="B257" s="193">
        <f>'Données projet'!D235</f>
        <v>31</v>
      </c>
      <c r="C257" s="206">
        <v>100</v>
      </c>
      <c r="D257" s="191">
        <f t="shared" si="13"/>
        <v>3100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140</v>
      </c>
      <c r="B258" s="193">
        <f>'Données projet'!D236</f>
        <v>27</v>
      </c>
      <c r="C258" s="206">
        <v>120</v>
      </c>
      <c r="D258" s="191">
        <f t="shared" si="13"/>
        <v>3240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150</v>
      </c>
      <c r="B259" s="193">
        <f>'Données projet'!D237</f>
        <v>293</v>
      </c>
      <c r="C259" s="206">
        <v>200</v>
      </c>
      <c r="D259" s="191">
        <f t="shared" si="13"/>
        <v>58600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2021-02-01T08:22:39Z</dcterms:created>
  <dcterms:modified xsi:type="dcterms:W3CDTF">2023-05-16T16:30:06Z</dcterms:modified>
</cp:coreProperties>
</file>