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2022-2023\CHAMBOIS (27) - VIALARD - XXXXXXX\doc fin\"/>
    </mc:Choice>
  </mc:AlternateContent>
  <xr:revisionPtr revIDLastSave="0" documentId="13_ncr:1_{2DB89236-9D96-4024-8F04-A136C4394ECA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<sst xmlns="http://schemas.openxmlformats.org/spreadsheetml/2006/main" count="1170" uniqueCount="324">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</sst>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H16" sqref="H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1</v>
      </c>
      <c r="D9" s="36">
        <f t="shared" ref="D9:D18" si="0">C9*$C$5</f>
        <v>4.3</v>
      </c>
      <c r="E9" s="37">
        <v>65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162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10.8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303</v>
      </c>
      <c r="C37" s="63">
        <v>2</v>
      </c>
      <c r="D37" s="63">
        <v>43</v>
      </c>
      <c r="E37" s="54">
        <v>0</v>
      </c>
      <c r="F37" s="54">
        <v>0.5</v>
      </c>
      <c r="G37" s="54">
        <v>0.5</v>
      </c>
      <c r="H37" s="54">
        <v>0</v>
      </c>
      <c r="I37" s="56">
        <f t="shared" ref="I37:I55" si="1">IF(A37&lt;&gt;0,(B37-(B36-D36))/(A37-A36),"")</f>
        <v>28.2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419</v>
      </c>
      <c r="C38" s="63">
        <v>3</v>
      </c>
      <c r="D38" s="63">
        <v>60</v>
      </c>
      <c r="E38" s="54">
        <v>0</v>
      </c>
      <c r="F38" s="54">
        <v>1</v>
      </c>
      <c r="G38" s="54">
        <v>0</v>
      </c>
      <c r="H38" s="54">
        <v>0</v>
      </c>
      <c r="I38" s="56">
        <f t="shared" si="1"/>
        <v>31.8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524</v>
      </c>
      <c r="C39" s="63">
        <v>4</v>
      </c>
      <c r="D39" s="63">
        <v>90</v>
      </c>
      <c r="E39" s="54">
        <v>0.3</v>
      </c>
      <c r="F39" s="54">
        <v>0.7</v>
      </c>
      <c r="G39" s="54">
        <v>0</v>
      </c>
      <c r="H39" s="54">
        <v>0</v>
      </c>
      <c r="I39" s="52">
        <f t="shared" si="1"/>
        <v>33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576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639</v>
      </c>
      <c r="C41" s="63">
        <v>6</v>
      </c>
      <c r="D41" s="63">
        <v>77</v>
      </c>
      <c r="E41" s="54"/>
      <c r="F41" s="54"/>
      <c r="G41" s="54"/>
      <c r="H41" s="54"/>
      <c r="I41" s="56">
        <f t="shared" si="1"/>
        <v>27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686</v>
      </c>
      <c r="C42" s="63">
        <v>7</v>
      </c>
      <c r="D42" s="63">
        <v>64</v>
      </c>
      <c r="E42" s="54"/>
      <c r="F42" s="54"/>
      <c r="G42" s="54"/>
      <c r="H42" s="54"/>
      <c r="I42" s="56">
        <f t="shared" si="1"/>
        <v>24.8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724</v>
      </c>
      <c r="C43" s="63">
        <v>8</v>
      </c>
      <c r="D43" s="63">
        <v>62</v>
      </c>
      <c r="E43" s="54"/>
      <c r="F43" s="54"/>
      <c r="G43" s="54"/>
      <c r="H43" s="54"/>
      <c r="I43" s="52">
        <f t="shared" si="1"/>
        <v>20.399999999999999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739</v>
      </c>
      <c r="C44" s="63">
        <v>9</v>
      </c>
      <c r="D44" s="63">
        <v>46</v>
      </c>
      <c r="E44" s="54"/>
      <c r="F44" s="54"/>
      <c r="G44" s="54"/>
      <c r="H44" s="54"/>
      <c r="I44" s="52">
        <f t="shared" si="1"/>
        <v>15.4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754</v>
      </c>
      <c r="C45" s="63">
        <v>10</v>
      </c>
      <c r="D45" s="63">
        <v>35</v>
      </c>
      <c r="E45" s="54"/>
      <c r="F45" s="54"/>
      <c r="G45" s="54"/>
      <c r="H45" s="54"/>
      <c r="I45" s="52">
        <f t="shared" si="1"/>
        <v>12.2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769</v>
      </c>
      <c r="C46" s="63">
        <v>11</v>
      </c>
      <c r="D46" s="63">
        <v>769</v>
      </c>
      <c r="E46" s="54"/>
      <c r="F46" s="54"/>
      <c r="G46" s="54"/>
      <c r="H46" s="54"/>
      <c r="I46" s="52">
        <f t="shared" si="1"/>
        <v>10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6" sqref="G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460.30566673085474</v>
      </c>
      <c r="T3" s="62">
        <f>IF('Données projet'!E9&gt;30,$R$33-$H$33,LOOKUP('Données projet'!$E$9,$A$3:$A$203,R3:R203)-LOOKUP('Données projet'!$E$9,$A$3:$A$203,$H$3:$H$203))</f>
        <v>569.42599742280231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0.90479999999999994</v>
      </c>
      <c r="D4" s="12">
        <f>IFERROR(EXP(-1.0587+0.8836*LN(C4)+0.284),0)</f>
        <v>0.42185377043488931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10.240836122655287</v>
      </c>
      <c r="H4" s="70">
        <f t="shared" ref="H4:H67" si="1">(B4+E4+F4)*44/12+(C4+D4)*0.475*44/12</f>
        <v>295.64392198350743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10.8</v>
      </c>
      <c r="N4" s="14">
        <f>IF('Données projet'!$A$36&gt;35,N3+M4-V3,IF(A4&lt;'Données projet'!$A$36,$K$205^A4,IF(A4='Données projet'!$A$36,'Données projet'!$B$36,N3+M4-V3)))</f>
        <v>1.4037863041747067</v>
      </c>
      <c r="O4" s="14">
        <f>N4*VLOOKUP('Données projet'!$B$9,Paramètres!$A$1:$I$89,3,0)*VLOOKUP('Données projet'!$B$9,Paramètres!$A$1:$I$89,5,0)</f>
        <v>0.78471654403366109</v>
      </c>
      <c r="P4" s="14">
        <f>EXP(-1.0587+0.8836*LN(O4)+0.284)</f>
        <v>0.37198061042729702</v>
      </c>
      <c r="Q4" s="22">
        <f t="shared" ref="Q4:Q34" si="2">(O4+P4)*0.475*44/12</f>
        <v>2.0145808773528358</v>
      </c>
      <c r="R4" s="62">
        <f t="shared" si="0"/>
        <v>295.34791421068616</v>
      </c>
      <c r="S4" s="62">
        <f ca="1">AVERAGE(OFFSET($R$3,0,0,'Données projet'!$E$9+1,1))-AVERAGE(OFFSET($H$3,0,0,'Données projet'!$E$9+1,1))</f>
        <v>460.30566673085474</v>
      </c>
      <c r="T4" s="62">
        <f>$T$3</f>
        <v>569.42599742280231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1.8095999999999999</v>
      </c>
      <c r="D5" s="12">
        <f t="shared" ref="D5:D68" si="32">IFERROR(EXP(-1.0587+0.8836*LN(C5)+0.284),0)</f>
        <v>0.778308976345926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19.976841220915922</v>
      </c>
      <c r="H5" s="70">
        <f t="shared" si="1"/>
        <v>297.84060813380245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10.8</v>
      </c>
      <c r="N5" s="14">
        <f>IF('Données projet'!$A$36&gt;35,N4+M5-V4,IF(A5&lt;'Données projet'!$A$36,$K$205^A5,IF(A5='Données projet'!$A$36,'Données projet'!$B$36,N4+M5-V4)))</f>
        <v>1.9706159877884823</v>
      </c>
      <c r="O5" s="14">
        <f>N5*VLOOKUP('Données projet'!$B$9,Paramètres!$A$1:$I$89,3,0)*VLOOKUP('Données projet'!$B$9,Paramètres!$A$1:$I$89,5,0)</f>
        <v>1.1015743371737616</v>
      </c>
      <c r="P5" s="14">
        <f t="shared" ref="P5:P68" si="33">EXP(-1.0587+0.8836*LN(O5)+0.284)</f>
        <v>0.50196734705126034</v>
      </c>
      <c r="Q5" s="22">
        <f t="shared" si="2"/>
        <v>2.7928351000252465</v>
      </c>
      <c r="R5" s="62">
        <f t="shared" si="0"/>
        <v>296.12616843335854</v>
      </c>
      <c r="S5" s="62">
        <f ca="1">AVERAGE(OFFSET($R$3,0,0,'Données projet'!$E$9+1,1))-AVERAGE(OFFSET($H$3,0,0,'Données projet'!$E$9+1,1))</f>
        <v>460.30566673085474</v>
      </c>
      <c r="T5" s="62">
        <f t="shared" ref="T5:T68" si="34">$T$3</f>
        <v>569.42599742280231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2.7143999999999999</v>
      </c>
      <c r="D6" s="12">
        <f t="shared" si="32"/>
        <v>1.1136437287183383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29.549811239229282</v>
      </c>
      <c r="H6" s="70">
        <f t="shared" si="1"/>
        <v>300.00050949418443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10.8</v>
      </c>
      <c r="N6" s="14">
        <f>IF('Données projet'!$A$36&gt;35,N5+M6-V5,IF(A6&lt;'Données projet'!$A$36,$K$205^A6,IF(A6='Données projet'!$A$36,'Données projet'!$B$36,N5+M6-V5)))</f>
        <v>2.7663237344451828</v>
      </c>
      <c r="O6" s="14">
        <f>N6*VLOOKUP('Données projet'!$B$9,Paramètres!$A$1:$I$89,3,0)*VLOOKUP('Données projet'!$B$9,Paramètres!$A$1:$I$89,5,0)</f>
        <v>1.5463749675548573</v>
      </c>
      <c r="P6" s="14">
        <f t="shared" si="33"/>
        <v>0.6773772891448272</v>
      </c>
      <c r="Q6" s="22">
        <f t="shared" si="2"/>
        <v>3.8730351804186167</v>
      </c>
      <c r="R6" s="62">
        <f t="shared" si="0"/>
        <v>297.20636851375195</v>
      </c>
      <c r="S6" s="62">
        <f ca="1">AVERAGE(OFFSET($R$3,0,0,'Données projet'!$E$9+1,1))-AVERAGE(OFFSET($H$3,0,0,'Données projet'!$E$9+1,1))</f>
        <v>460.30566673085474</v>
      </c>
      <c r="T6" s="62">
        <f t="shared" si="34"/>
        <v>569.42599742280231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3.6191999999999998</v>
      </c>
      <c r="D7" s="12">
        <f t="shared" si="32"/>
        <v>1.4359593421107981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39.022282640855288</v>
      </c>
      <c r="H7" s="70">
        <f t="shared" si="1"/>
        <v>302.1377358541763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10.8</v>
      </c>
      <c r="N7" s="14">
        <f>IF('Données projet'!$A$36&gt;35,N6+M7-V6,IF(A7&lt;'Données projet'!$A$36,$K$205^A7,IF(A7='Données projet'!$A$36,'Données projet'!$B$36,N6+M7-V6)))</f>
        <v>3.8833273713275762</v>
      </c>
      <c r="O7" s="14">
        <f>N7*VLOOKUP('Données projet'!$B$9,Paramètres!$A$1:$I$89,3,0)*VLOOKUP('Données projet'!$B$9,Paramètres!$A$1:$I$89,5,0)</f>
        <v>2.170780000572115</v>
      </c>
      <c r="P7" s="14">
        <f t="shared" si="33"/>
        <v>0.91408334535022773</v>
      </c>
      <c r="Q7" s="22">
        <f t="shared" si="2"/>
        <v>5.3728036608147471</v>
      </c>
      <c r="R7" s="62">
        <f t="shared" si="0"/>
        <v>298.70613699414804</v>
      </c>
      <c r="S7" s="62">
        <f ca="1">AVERAGE(OFFSET($R$3,0,0,'Données projet'!$E$9+1,1))-AVERAGE(OFFSET($H$3,0,0,'Données projet'!$E$9+1,1))</f>
        <v>460.30566673085474</v>
      </c>
      <c r="T7" s="62">
        <f t="shared" si="34"/>
        <v>569.42599742280231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4.524</v>
      </c>
      <c r="D8" s="12">
        <f t="shared" si="32"/>
        <v>1.7489275978599472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48.42259900102416</v>
      </c>
      <c r="H8" s="70">
        <f t="shared" si="1"/>
        <v>304.25868223293941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10.8</v>
      </c>
      <c r="N8" s="14">
        <f>IF('Données projet'!$A$36&gt;35,N7+M8-V7,IF(A8&lt;'Données projet'!$A$36,$K$205^A8,IF(A8='Données projet'!$A$36,'Données projet'!$B$36,N7+M8-V7)))</f>
        <v>5.451361778496417</v>
      </c>
      <c r="O8" s="14">
        <f>N8*VLOOKUP('Données projet'!$B$9,Paramètres!$A$1:$I$89,3,0)*VLOOKUP('Données projet'!$B$9,Paramètres!$A$1:$I$89,5,0)</f>
        <v>3.0473112341794972</v>
      </c>
      <c r="P8" s="14">
        <f t="shared" si="33"/>
        <v>1.2335051316844765</v>
      </c>
      <c r="Q8" s="22">
        <f t="shared" si="2"/>
        <v>7.4557551705464205</v>
      </c>
      <c r="R8" s="62">
        <f t="shared" si="0"/>
        <v>300.78908850387973</v>
      </c>
      <c r="S8" s="62">
        <f ca="1">AVERAGE(OFFSET($R$3,0,0,'Données projet'!$E$9+1,1))-AVERAGE(OFFSET($H$3,0,0,'Données projet'!$E$9+1,1))</f>
        <v>460.30566673085474</v>
      </c>
      <c r="T8" s="62">
        <f t="shared" si="34"/>
        <v>569.42599742280231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5.4287999999999998</v>
      </c>
      <c r="D9" s="12">
        <f t="shared" si="32"/>
        <v>2.0546430333413586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57.766928678424527</v>
      </c>
      <c r="H9" s="70">
        <f t="shared" si="1"/>
        <v>306.36699661640284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10.8</v>
      </c>
      <c r="N9" s="14">
        <f>IF('Données projet'!$A$36&gt;35,N8+M9-V8,IF(A9&lt;'Données projet'!$A$36,$K$205^A9,IF(A9='Données projet'!$A$36,'Données projet'!$B$36,N8+M9-V8)))</f>
        <v>7.6525470037547425</v>
      </c>
      <c r="O9" s="14">
        <f>N9*VLOOKUP('Données projet'!$B$9,Paramètres!$A$1:$I$89,3,0)*VLOOKUP('Données projet'!$B$9,Paramètres!$A$1:$I$89,5,0)</f>
        <v>4.2777737750989013</v>
      </c>
      <c r="P9" s="14">
        <f t="shared" si="33"/>
        <v>1.6645472402836166</v>
      </c>
      <c r="Q9" s="22">
        <f t="shared" si="2"/>
        <v>10.349542435124553</v>
      </c>
      <c r="R9" s="62">
        <f t="shared" si="0"/>
        <v>303.68287576845785</v>
      </c>
      <c r="S9" s="62">
        <f ca="1">AVERAGE(OFFSET($R$3,0,0,'Données projet'!$E$9+1,1))-AVERAGE(OFFSET($H$3,0,0,'Données projet'!$E$9+1,1))</f>
        <v>460.30566673085474</v>
      </c>
      <c r="T9" s="62">
        <f t="shared" si="34"/>
        <v>569.42599742280231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6.3335999999999997</v>
      </c>
      <c r="D10" s="12">
        <f t="shared" si="32"/>
        <v>2.3544559158145972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67.065694788744267</v>
      </c>
      <c r="H10" s="70">
        <f t="shared" si="1"/>
        <v>308.46503072004373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10.8</v>
      </c>
      <c r="N10" s="14">
        <f>IF('Données projet'!$A$36&gt;35,N9+M10-V9,IF(A10&lt;'Données projet'!$A$36,$K$205^A10,IF(A10='Données projet'!$A$36,'Données projet'!$B$36,N9+M10-V9)))</f>
        <v>10.742540675924095</v>
      </c>
      <c r="O10" s="14">
        <f>N10*VLOOKUP('Données projet'!$B$9,Paramètres!$A$1:$I$89,3,0)*VLOOKUP('Données projet'!$B$9,Paramètres!$A$1:$I$89,5,0)</f>
        <v>6.0050802378415691</v>
      </c>
      <c r="P10" s="14">
        <f t="shared" si="33"/>
        <v>2.2462148263235089</v>
      </c>
      <c r="Q10" s="22">
        <f t="shared" si="2"/>
        <v>14.37100557008751</v>
      </c>
      <c r="R10" s="62">
        <f t="shared" si="0"/>
        <v>307.70433890342082</v>
      </c>
      <c r="S10" s="62">
        <f ca="1">AVERAGE(OFFSET($R$3,0,0,'Données projet'!$E$9+1,1))-AVERAGE(OFFSET($H$3,0,0,'Données projet'!$E$9+1,1))</f>
        <v>460.30566673085474</v>
      </c>
      <c r="T10" s="62">
        <f t="shared" si="34"/>
        <v>569.42599742280231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7.2383999999999995</v>
      </c>
      <c r="D11" s="12">
        <f t="shared" si="32"/>
        <v>2.6493067597344675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76.326157443564313</v>
      </c>
      <c r="H11" s="70">
        <f t="shared" si="1"/>
        <v>310.55442260653751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10.8</v>
      </c>
      <c r="N11" s="14">
        <f>IF('Données projet'!$A$36&gt;35,N10+M11-V10,IF(A11&lt;'Données projet'!$A$36,$K$205^A11,IF(A11='Données projet'!$A$36,'Données projet'!$B$36,N10+M11-V10)))</f>
        <v>15.080231472901943</v>
      </c>
      <c r="O11" s="14">
        <f>N11*VLOOKUP('Données projet'!$B$9,Paramètres!$A$1:$I$89,3,0)*VLOOKUP('Données projet'!$B$9,Paramètres!$A$1:$I$89,5,0)</f>
        <v>8.4298493933521872</v>
      </c>
      <c r="P11" s="14">
        <f t="shared" si="33"/>
        <v>3.0311431985167756</v>
      </c>
      <c r="Q11" s="22">
        <f t="shared" si="2"/>
        <v>19.961228764171775</v>
      </c>
      <c r="R11" s="62">
        <f t="shared" si="0"/>
        <v>313.29456209750509</v>
      </c>
      <c r="S11" s="62">
        <f ca="1">AVERAGE(OFFSET($R$3,0,0,'Données projet'!$E$9+1,1))-AVERAGE(OFFSET($H$3,0,0,'Données projet'!$E$9+1,1))</f>
        <v>460.30566673085474</v>
      </c>
      <c r="T11" s="62">
        <f t="shared" si="34"/>
        <v>569.42599742280231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8.1432000000000002</v>
      </c>
      <c r="D12" s="12">
        <f t="shared" si="32"/>
        <v>2.9398868551895574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85.553652917252734</v>
      </c>
      <c r="H12" s="70">
        <f t="shared" si="1"/>
        <v>312.63637627278848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10.8</v>
      </c>
      <c r="N12" s="14">
        <f>IF('Données projet'!$A$36&gt;35,N11+M12-V11,IF(A12&lt;'Données projet'!$A$36,$K$205^A12,IF(A12='Données projet'!$A$36,'Données projet'!$B$36,N11+M12-V11)))</f>
        <v>21.169422405444113</v>
      </c>
      <c r="O12" s="14">
        <f>N12*VLOOKUP('Données projet'!$B$9,Paramètres!$A$1:$I$89,3,0)*VLOOKUP('Données projet'!$B$9,Paramètres!$A$1:$I$89,5,0)</f>
        <v>11.83370712464326</v>
      </c>
      <c r="P12" s="14">
        <f t="shared" si="33"/>
        <v>4.0903608070972819</v>
      </c>
      <c r="Q12" s="22">
        <f t="shared" si="2"/>
        <v>27.734418314448106</v>
      </c>
      <c r="R12" s="62">
        <f t="shared" si="0"/>
        <v>321.06775164778139</v>
      </c>
      <c r="S12" s="62">
        <f ca="1">AVERAGE(OFFSET($R$3,0,0,'Données projet'!$E$9+1,1))-AVERAGE(OFFSET($H$3,0,0,'Données projet'!$E$9+1,1))</f>
        <v>460.30566673085474</v>
      </c>
      <c r="T12" s="62">
        <f t="shared" si="34"/>
        <v>569.42599742280231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9.048</v>
      </c>
      <c r="D13" s="12">
        <f t="shared" si="32"/>
        <v>3.226724860110286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94.752262078044325</v>
      </c>
      <c r="H13" s="70">
        <f t="shared" si="1"/>
        <v>314.71181246469206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10.8</v>
      </c>
      <c r="N13" s="14">
        <f>IF('Données projet'!$A$36&gt;35,N12+M13-V12,IF(A13&lt;'Données projet'!$A$36,$K$205^A13,IF(A13='Données projet'!$A$36,'Données projet'!$B$36,N12+M13-V12)))</f>
        <v>29.717345240051621</v>
      </c>
      <c r="O13" s="14">
        <f>N13*VLOOKUP('Données projet'!$B$9,Paramètres!$A$1:$I$89,3,0)*VLOOKUP('Données projet'!$B$9,Paramètres!$A$1:$I$89,5,0)</f>
        <v>16.611995989188856</v>
      </c>
      <c r="P13" s="14">
        <f t="shared" si="33"/>
        <v>5.5197166337850669</v>
      </c>
      <c r="Q13" s="22">
        <f t="shared" si="2"/>
        <v>38.546066151679575</v>
      </c>
      <c r="R13" s="62">
        <f t="shared" si="0"/>
        <v>331.87939948501287</v>
      </c>
      <c r="S13" s="62">
        <f ca="1">AVERAGE(OFFSET($R$3,0,0,'Données projet'!$E$9+1,1))-AVERAGE(OFFSET($H$3,0,0,'Données projet'!$E$9+1,1))</f>
        <v>460.30566673085474</v>
      </c>
      <c r="T13" s="62">
        <f t="shared" si="34"/>
        <v>569.42599742280231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9.9527999999999999</v>
      </c>
      <c r="D14" s="12">
        <f t="shared" si="32"/>
        <v>3.5102375824366896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103.92520239073936</v>
      </c>
      <c r="H14" s="70">
        <f t="shared" si="1"/>
        <v>316.78145712274386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41.716802244415881</v>
      </c>
      <c r="O14" s="14">
        <f>N14*VLOOKUP('Données projet'!$B$9,Paramètres!$A$1:$I$89,3,0)*VLOOKUP('Données projet'!$B$9,Paramètres!$A$1:$I$89,5,0)</f>
        <v>23.319692454628481</v>
      </c>
      <c r="P14" s="14">
        <f t="shared" si="33"/>
        <v>7.4485536005574575</v>
      </c>
      <c r="Q14" s="22">
        <f t="shared" si="2"/>
        <v>53.58802854611551</v>
      </c>
      <c r="R14" s="62">
        <f t="shared" si="0"/>
        <v>346.9213618794488</v>
      </c>
      <c r="S14" s="62">
        <f ca="1">AVERAGE(OFFSET($R$3,0,0,'Données projet'!$E$9+1,1))-AVERAGE(OFFSET($H$3,0,0,'Données projet'!$E$9+1,1))</f>
        <v>460.30566673085474</v>
      </c>
      <c r="T14" s="62">
        <f t="shared" si="34"/>
        <v>569.42599742280231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10.8576</v>
      </c>
      <c r="D15" s="12">
        <f t="shared" si="32"/>
        <v>3.7907617001683773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113.07507277322958</v>
      </c>
      <c r="H15" s="70">
        <f t="shared" si="1"/>
        <v>318.84589662779325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58.561475644675681</v>
      </c>
      <c r="O15" s="14">
        <f>N15*VLOOKUP('Données projet'!$B$9,Paramètres!$A$1:$I$89,3,0)*VLOOKUP('Données projet'!$B$9,Paramètres!$A$1:$I$89,5,0)</f>
        <v>32.735864885373708</v>
      </c>
      <c r="P15" s="14">
        <f t="shared" si="33"/>
        <v>10.051412857100269</v>
      </c>
      <c r="Q15" s="22">
        <f t="shared" si="2"/>
        <v>74.521175401475503</v>
      </c>
      <c r="R15" s="62">
        <f t="shared" si="0"/>
        <v>367.8545087348088</v>
      </c>
      <c r="S15" s="62">
        <f ca="1">AVERAGE(OFFSET($R$3,0,0,'Données projet'!$E$9+1,1))-AVERAGE(OFFSET($H$3,0,0,'Données projet'!$E$9+1,1))</f>
        <v>460.30566673085474</v>
      </c>
      <c r="T15" s="62">
        <f t="shared" si="34"/>
        <v>569.42599742280231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11.7624</v>
      </c>
      <c r="D16" s="12">
        <f t="shared" si="32"/>
        <v>4.0685745785050127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122.20401429021415</v>
      </c>
      <c r="H16" s="70">
        <f t="shared" si="1"/>
        <v>320.9056140575629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82.20779746225638</v>
      </c>
      <c r="O16" s="14">
        <f>N16*VLOOKUP('Données projet'!$B$9,Paramètres!$A$1:$I$89,3,0)*VLOOKUP('Données projet'!$B$9,Paramètres!$A$1:$I$89,5,0)</f>
        <v>45.954158781401318</v>
      </c>
      <c r="P16" s="14">
        <f t="shared" si="33"/>
        <v>13.563828072113143</v>
      </c>
      <c r="Q16" s="22">
        <f t="shared" si="2"/>
        <v>103.66049376987102</v>
      </c>
      <c r="R16" s="62">
        <f t="shared" si="0"/>
        <v>396.99382710320435</v>
      </c>
      <c r="S16" s="62">
        <f ca="1">AVERAGE(OFFSET($R$3,0,0,'Données projet'!$E$9+1,1))-AVERAGE(OFFSET($H$3,0,0,'Données projet'!$E$9+1,1))</f>
        <v>460.30566673085474</v>
      </c>
      <c r="T16" s="62">
        <f t="shared" si="34"/>
        <v>569.42599742280231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12.667199999999999</v>
      </c>
      <c r="D17" s="12">
        <f t="shared" si="32"/>
        <v>4.3439084870573748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131.31381990009203</v>
      </c>
      <c r="H17" s="70">
        <f t="shared" si="1"/>
        <v>322.96101394829157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115.40218017388374</v>
      </c>
      <c r="O17" s="14">
        <f>N17*VLOOKUP('Données projet'!$B$9,Paramètres!$A$1:$I$89,3,0)*VLOOKUP('Données projet'!$B$9,Paramètres!$A$1:$I$89,5,0)</f>
        <v>64.509818717201014</v>
      </c>
      <c r="P17" s="14">
        <f t="shared" si="33"/>
        <v>18.303638959560171</v>
      </c>
      <c r="Q17" s="22">
        <f t="shared" si="2"/>
        <v>144.23343878702573</v>
      </c>
      <c r="R17" s="62">
        <f t="shared" si="0"/>
        <v>437.56677212035902</v>
      </c>
      <c r="S17" s="62">
        <f ca="1">AVERAGE(OFFSET($R$3,0,0,'Données projet'!$E$9+1,1))-AVERAGE(OFFSET($H$3,0,0,'Données projet'!$E$9+1,1))</f>
        <v>460.30566673085474</v>
      </c>
      <c r="T17" s="62">
        <f t="shared" si="34"/>
        <v>569.42599742280231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18" s="12">
        <f t="shared" si="32"/>
        <v>4.6169606338501863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140.40601191042251</v>
      </c>
      <c r="H18" s="70">
        <f t="shared" si="1"/>
        <v>325.01243977062239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162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162</v>
      </c>
      <c r="O18" s="14">
        <f>N18*VLOOKUP('Données projet'!$B$9,Paramètres!$A$1:$I$89,3,0)*VLOOKUP('Données projet'!$B$9,Paramètres!$A$1:$I$89,5,0)</f>
        <v>90.557999999999993</v>
      </c>
      <c r="P18" s="14">
        <f t="shared" si="33"/>
        <v>24.699752708509138</v>
      </c>
      <c r="Q18" s="22">
        <f t="shared" si="2"/>
        <v>200.74058596732007</v>
      </c>
      <c r="R18" s="62">
        <f t="shared" si="0"/>
        <v>494.07391930065342</v>
      </c>
      <c r="S18" s="62">
        <f ca="1">AVERAGE(OFFSET($R$3,0,0,'Données projet'!$E$9+1,1))-AVERAGE(OFFSET($H$3,0,0,'Données projet'!$E$9+1,1))</f>
        <v>460.30566673085474</v>
      </c>
      <c r="T18" s="62">
        <f t="shared" si="34"/>
        <v>569.42599742280231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14.476799999999999</v>
      </c>
      <c r="D19" s="12">
        <f t="shared" si="32"/>
        <v>4.8879004449090973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149.48189817122815</v>
      </c>
      <c r="H19" s="70">
        <f t="shared" si="1"/>
        <v>327.06018660821667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28.2</v>
      </c>
      <c r="N19" s="14">
        <f>IF('Données projet'!$A$36&gt;35,N18+M19-V18,IF(A19&lt;'Données projet'!$A$36,$K$205^A19,IF(A19='Données projet'!$A$36,'Données projet'!$B$36,N18+M19-V18)))</f>
        <v>190.2</v>
      </c>
      <c r="O19" s="14">
        <f>N19*VLOOKUP('Données projet'!$B$9,Paramètres!$A$1:$I$89,3,0)*VLOOKUP('Données projet'!$B$9,Paramètres!$A$1:$I$89,5,0)</f>
        <v>106.32179999999998</v>
      </c>
      <c r="P19" s="14">
        <f t="shared" si="33"/>
        <v>28.462664081653866</v>
      </c>
      <c r="Q19" s="22">
        <f t="shared" si="2"/>
        <v>234.7496082755471</v>
      </c>
      <c r="R19" s="62">
        <f t="shared" si="0"/>
        <v>528.08294160888045</v>
      </c>
      <c r="S19" s="62">
        <f ca="1">AVERAGE(OFFSET($R$3,0,0,'Données projet'!$E$9+1,1))-AVERAGE(OFFSET($H$3,0,0,'Données projet'!$E$9+1,1))</f>
        <v>460.30566673085474</v>
      </c>
      <c r="T19" s="62">
        <f t="shared" si="34"/>
        <v>569.42599742280231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15.381599999999999</v>
      </c>
      <c r="D20" s="12">
        <f t="shared" si="32"/>
        <v>5.1568749710078112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158.54261381128836</v>
      </c>
      <c r="H20" s="70">
        <f t="shared" si="1"/>
        <v>329.10451057450524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28.2</v>
      </c>
      <c r="N20" s="14">
        <f>IF('Données projet'!$A$36&gt;35,N19+M20-V19,IF(A20&lt;'Données projet'!$A$36,$K$205^A20,IF(A20='Données projet'!$A$36,'Données projet'!$B$36,N19+M20-V19)))</f>
        <v>218.39999999999998</v>
      </c>
      <c r="O20" s="14">
        <f>N20*VLOOKUP('Données projet'!$B$9,Paramètres!$A$1:$I$89,3,0)*VLOOKUP('Données projet'!$B$9,Paramètres!$A$1:$I$89,5,0)</f>
        <v>122.0856</v>
      </c>
      <c r="P20" s="14">
        <f t="shared" si="33"/>
        <v>32.160942364346717</v>
      </c>
      <c r="Q20" s="22">
        <f t="shared" si="2"/>
        <v>268.64606128457052</v>
      </c>
      <c r="R20" s="62">
        <f t="shared" si="0"/>
        <v>561.97939461790384</v>
      </c>
      <c r="S20" s="62">
        <f ca="1">AVERAGE(OFFSET($R$3,0,0,'Données projet'!$E$9+1,1))-AVERAGE(OFFSET($H$3,0,0,'Données projet'!$E$9+1,1))</f>
        <v>460.30566673085474</v>
      </c>
      <c r="T20" s="62">
        <f t="shared" si="34"/>
        <v>569.42599742280231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16.2864</v>
      </c>
      <c r="D21" s="12">
        <f t="shared" si="32"/>
        <v>5.4240129855342607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167.5891528707908</v>
      </c>
      <c r="H21" s="70">
        <f t="shared" si="1"/>
        <v>331.14563594980547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28.2</v>
      </c>
      <c r="N21" s="14">
        <f>IF('Données projet'!$A$36&gt;35,N20+M21-V20,IF(A21&lt;'Données projet'!$A$36,$K$205^A21,IF(A21='Données projet'!$A$36,'Données projet'!$B$36,N20+M21-V20)))</f>
        <v>246.59999999999997</v>
      </c>
      <c r="O21" s="14">
        <f>N21*VLOOKUP('Données projet'!$B$9,Paramètres!$A$1:$I$89,3,0)*VLOOKUP('Données projet'!$B$9,Paramètres!$A$1:$I$89,5,0)</f>
        <v>137.84939999999997</v>
      </c>
      <c r="P21" s="14">
        <f t="shared" si="33"/>
        <v>35.803890229822542</v>
      </c>
      <c r="Q21" s="22">
        <f t="shared" si="2"/>
        <v>302.44614715027416</v>
      </c>
      <c r="R21" s="62">
        <f t="shared" si="0"/>
        <v>595.77948048360747</v>
      </c>
      <c r="S21" s="62">
        <f ca="1">AVERAGE(OFFSET($R$3,0,0,'Données projet'!$E$9+1,1))-AVERAGE(OFFSET($H$3,0,0,'Données projet'!$E$9+1,1))</f>
        <v>460.30566673085474</v>
      </c>
      <c r="T21" s="62">
        <f t="shared" si="34"/>
        <v>569.42599742280231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17.191200000000002</v>
      </c>
      <c r="D22" s="12">
        <f t="shared" si="32"/>
        <v>5.6894281456126885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176.62239270297516</v>
      </c>
      <c r="H22" s="70">
        <f t="shared" si="1"/>
        <v>333.18376068694209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28.2</v>
      </c>
      <c r="N22" s="14">
        <f>IF('Données projet'!$A$36&gt;35,N21+M22-V21,IF(A22&lt;'Données projet'!$A$36,$K$205^A22,IF(A22='Données projet'!$A$36,'Données projet'!$B$36,N21+M22-V21)))</f>
        <v>274.79999999999995</v>
      </c>
      <c r="O22" s="14">
        <f>N22*VLOOKUP('Données projet'!$B$9,Paramètres!$A$1:$I$89,3,0)*VLOOKUP('Données projet'!$B$9,Paramètres!$A$1:$I$89,5,0)</f>
        <v>153.61319999999998</v>
      </c>
      <c r="P22" s="14">
        <f t="shared" si="33"/>
        <v>39.398557339898318</v>
      </c>
      <c r="Q22" s="22">
        <f t="shared" si="2"/>
        <v>336.16214403365615</v>
      </c>
      <c r="R22" s="62">
        <f t="shared" si="0"/>
        <v>629.49547736698946</v>
      </c>
      <c r="S22" s="62">
        <f ca="1">AVERAGE(OFFSET($R$3,0,0,'Données projet'!$E$9+1,1))-AVERAGE(OFFSET($H$3,0,0,'Données projet'!$E$9+1,1))</f>
        <v>460.30566673085474</v>
      </c>
      <c r="T22" s="62">
        <f t="shared" si="34"/>
        <v>569.42599742280231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18.096000000000004</v>
      </c>
      <c r="D23" s="12">
        <f t="shared" si="32"/>
        <v>5.9532214687411624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185.64311309203708</v>
      </c>
      <c r="H23" s="70">
        <f t="shared" si="1"/>
        <v>335.21906072472416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303</v>
      </c>
      <c r="L23" s="13">
        <f>VLOOKUP(A23,'Données projet'!$A$35:$I$55,9,0)</f>
        <v>28.2</v>
      </c>
      <c r="M23" s="13">
        <f t="array" ref="M23">INDEX(L:L,MIN(IF(ISNUMBER(L23:L219),ROW(L23:L219),"")))</f>
        <v>28.2</v>
      </c>
      <c r="N23" s="14">
        <f>IF('Données projet'!$A$36&gt;35,N22+M23-V22,IF(A23&lt;'Données projet'!$A$36,$K$205^A23,IF(A23='Données projet'!$A$36,'Données projet'!$B$36,N22+M23-V22)))</f>
        <v>302.99999999999994</v>
      </c>
      <c r="O23" s="14">
        <f>N23*VLOOKUP('Données projet'!$B$9,Paramètres!$A$1:$I$89,3,0)*VLOOKUP('Données projet'!$B$9,Paramètres!$A$1:$I$89,5,0)</f>
        <v>169.37699999999995</v>
      </c>
      <c r="P23" s="14">
        <f t="shared" si="33"/>
        <v>42.950462509094685</v>
      </c>
      <c r="Q23" s="22">
        <f t="shared" si="2"/>
        <v>369.80366387000646</v>
      </c>
      <c r="R23" s="62">
        <f t="shared" si="0"/>
        <v>663.13699720333977</v>
      </c>
      <c r="S23" s="62">
        <f ca="1">AVERAGE(OFFSET($R$3,0,0,'Données projet'!$E$9+1,1))-AVERAGE(OFFSET($H$3,0,0,'Données projet'!$E$9+1,1))</f>
        <v>460.30566673085474</v>
      </c>
      <c r="T23" s="62">
        <f t="shared" si="34"/>
        <v>569.42599742280231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0.27500000000000002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8.7342970011160883</v>
      </c>
      <c r="AB23" s="23">
        <f>EXP(-LN(2)/2)*AB22+(1-EXP(-LN(2)/2))/(LN(2)/2)*V23*Y23*VLOOKUP('Données projet'!$B$9,Paramètres!$A$1:$I$89,3,0)*0.475*44/12</f>
        <v>13.607733867821828</v>
      </c>
      <c r="AC23" s="24">
        <f t="shared" si="3"/>
        <v>22.342030868937918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19.000800000000005</v>
      </c>
      <c r="D24" s="12">
        <f t="shared" si="32"/>
        <v>6.2154833000252001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194.65201143879105</v>
      </c>
      <c r="H24" s="70">
        <f t="shared" si="1"/>
        <v>337.25169341421054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31.8</v>
      </c>
      <c r="N24" s="14">
        <f>IF('Données projet'!$A$36&gt;35,N23+M24-V23,IF(A24&lt;'Données projet'!$A$36,$K$205^A24,IF(A24='Données projet'!$A$36,'Données projet'!$B$36,N23+M24-V23)))</f>
        <v>291.79999999999995</v>
      </c>
      <c r="O24" s="14">
        <f>N24*VLOOKUP('Données projet'!$B$9,Paramètres!$A$1:$I$89,3,0)*VLOOKUP('Données projet'!$B$9,Paramètres!$A$1:$I$89,5,0)</f>
        <v>163.11619999999996</v>
      </c>
      <c r="P24" s="14">
        <f t="shared" si="33"/>
        <v>41.544592017733109</v>
      </c>
      <c r="Q24" s="22">
        <f t="shared" si="2"/>
        <v>356.4508794308851</v>
      </c>
      <c r="R24" s="62">
        <f t="shared" si="0"/>
        <v>649.78421276421841</v>
      </c>
      <c r="S24" s="62">
        <f ca="1">AVERAGE(OFFSET($R$3,0,0,'Données projet'!$E$9+1,1))-AVERAGE(OFFSET($H$3,0,0,'Données projet'!$E$9+1,1))</f>
        <v>460.30566673085474</v>
      </c>
      <c r="T24" s="62">
        <f t="shared" si="34"/>
        <v>569.42599742280231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8.4954571903038527</v>
      </c>
      <c r="AB24" s="23">
        <f>EXP(-LN(2)/2)*AB23+(1-EXP(-LN(2)/2))/(LN(2)/2)*V24*Y24*VLOOKUP('Données projet'!$B$9,Paramètres!$A$1:$I$89,3,0)*0.475*44/12</f>
        <v>9.6221208945186625</v>
      </c>
      <c r="AC24" s="24">
        <f t="shared" si="3"/>
        <v>18.117578084822515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19.905600000000007</v>
      </c>
      <c r="D25" s="12">
        <f t="shared" si="32"/>
        <v>6.4762948940833889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203.64971497187184</v>
      </c>
      <c r="H25" s="70">
        <f t="shared" si="1"/>
        <v>339.2818002738619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31.8</v>
      </c>
      <c r="N25" s="14">
        <f>IF('Données projet'!$A$36&gt;35,N24+M25-V24,IF(A25&lt;'Données projet'!$A$36,$K$205^A25,IF(A25='Données projet'!$A$36,'Données projet'!$B$36,N24+M25-V24)))</f>
        <v>323.59999999999997</v>
      </c>
      <c r="O25" s="14">
        <f>N25*VLOOKUP('Données projet'!$B$9,Paramètres!$A$1:$I$89,3,0)*VLOOKUP('Données projet'!$B$9,Paramètres!$A$1:$I$89,5,0)</f>
        <v>180.89240000000001</v>
      </c>
      <c r="P25" s="14">
        <f t="shared" si="33"/>
        <v>45.520671542487669</v>
      </c>
      <c r="Q25" s="22">
        <f t="shared" si="2"/>
        <v>394.33609960316602</v>
      </c>
      <c r="R25" s="62">
        <f t="shared" si="0"/>
        <v>687.66943293649933</v>
      </c>
      <c r="S25" s="62">
        <f ca="1">AVERAGE(OFFSET($R$3,0,0,'Données projet'!$E$9+1,1))-AVERAGE(OFFSET($H$3,0,0,'Données projet'!$E$9+1,1))</f>
        <v>460.30566673085474</v>
      </c>
      <c r="T25" s="62">
        <f t="shared" si="34"/>
        <v>569.42599742280231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8.2631484666783166</v>
      </c>
      <c r="AB25" s="23">
        <f>EXP(-LN(2)/2)*AB24+(1-EXP(-LN(2)/2))/(LN(2)/2)*V25*Y25*VLOOKUP('Données projet'!$B$9,Paramètres!$A$1:$I$89,3,0)*0.475*44/12</f>
        <v>6.803866933910915</v>
      </c>
      <c r="AC25" s="24">
        <f t="shared" si="3"/>
        <v>15.067015400589231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20.810400000000008</v>
      </c>
      <c r="D26" s="12">
        <f t="shared" si="32"/>
        <v>6.7357297012034678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212.63679067595663</v>
      </c>
      <c r="H26" s="70">
        <f t="shared" si="1"/>
        <v>341.30950922959602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31.8</v>
      </c>
      <c r="N26" s="14">
        <f>IF('Données projet'!$A$36&gt;35,N25+M26-V25,IF(A26&lt;'Données projet'!$A$36,$K$205^A26,IF(A26='Données projet'!$A$36,'Données projet'!$B$36,N25+M26-V25)))</f>
        <v>355.4</v>
      </c>
      <c r="O26" s="14">
        <f>N26*VLOOKUP('Données projet'!$B$9,Paramètres!$A$1:$I$89,3,0)*VLOOKUP('Données projet'!$B$9,Paramètres!$A$1:$I$89,5,0)</f>
        <v>198.66859999999997</v>
      </c>
      <c r="P26" s="14">
        <f t="shared" si="33"/>
        <v>49.451452656287465</v>
      </c>
      <c r="Q26" s="22">
        <f t="shared" si="2"/>
        <v>432.14242504303394</v>
      </c>
      <c r="R26" s="62">
        <f t="shared" si="0"/>
        <v>725.47575837636725</v>
      </c>
      <c r="S26" s="62">
        <f ca="1">AVERAGE(OFFSET($R$3,0,0,'Données projet'!$E$9+1,1))-AVERAGE(OFFSET($H$3,0,0,'Données projet'!$E$9+1,1))</f>
        <v>460.30566673085474</v>
      </c>
      <c r="T26" s="62">
        <f t="shared" si="34"/>
        <v>569.42599742280231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8.0371922373169067</v>
      </c>
      <c r="AB26" s="23">
        <f>EXP(-LN(2)/2)*AB25+(1-EXP(-LN(2)/2))/(LN(2)/2)*V26*Y26*VLOOKUP('Données projet'!$B$9,Paramètres!$A$1:$I$89,3,0)*0.475*44/12</f>
        <v>4.8110604472593321</v>
      </c>
      <c r="AC26" s="24">
        <f t="shared" si="3"/>
        <v>12.848252684576238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21.71520000000001</v>
      </c>
      <c r="D27" s="12">
        <f t="shared" si="32"/>
        <v>6.9938544235075604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221.61375344461987</v>
      </c>
      <c r="H27" s="70">
        <f t="shared" si="1"/>
        <v>343.33493645427563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31.8</v>
      </c>
      <c r="N27" s="14">
        <f>IF('Données projet'!$A$36&gt;35,N26+M27-V26,IF(A27&lt;'Données projet'!$A$36,$K$205^A27,IF(A27='Données projet'!$A$36,'Données projet'!$B$36,N26+M27-V26)))</f>
        <v>387.2</v>
      </c>
      <c r="O27" s="14">
        <f>N27*VLOOKUP('Données projet'!$B$9,Paramètres!$A$1:$I$89,3,0)*VLOOKUP('Données projet'!$B$9,Paramètres!$A$1:$I$89,5,0)</f>
        <v>216.44479999999999</v>
      </c>
      <c r="P27" s="14">
        <f t="shared" si="33"/>
        <v>53.341449419561528</v>
      </c>
      <c r="Q27" s="22">
        <f t="shared" si="2"/>
        <v>469.87771773906962</v>
      </c>
      <c r="R27" s="62">
        <f t="shared" si="0"/>
        <v>763.21105107240294</v>
      </c>
      <c r="S27" s="62">
        <f ca="1">AVERAGE(OFFSET($R$3,0,0,'Données projet'!$E$9+1,1))-AVERAGE(OFFSET($H$3,0,0,'Données projet'!$E$9+1,1))</f>
        <v>460.30566673085474</v>
      </c>
      <c r="T27" s="62">
        <f t="shared" si="34"/>
        <v>569.42599742280231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7.8174147929299052</v>
      </c>
      <c r="AB27" s="23">
        <f>EXP(-LN(2)/2)*AB26+(1-EXP(-LN(2)/2))/(LN(2)/2)*V27*Y27*VLOOKUP('Données projet'!$B$9,Paramètres!$A$1:$I$89,3,0)*0.475*44/12</f>
        <v>3.4019334669554584</v>
      </c>
      <c r="AC27" s="24">
        <f t="shared" si="3"/>
        <v>11.219348259885363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22.620000000000012</v>
      </c>
      <c r="D28" s="12">
        <f t="shared" si="32"/>
        <v>7.2507298901297039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230.58107283608908</v>
      </c>
      <c r="H28" s="70">
        <f t="shared" si="1"/>
        <v>345.35818789197589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419</v>
      </c>
      <c r="L28" s="13">
        <f>VLOOKUP(A28,'Données projet'!$A$35:$I$55,9,0)</f>
        <v>31.8</v>
      </c>
      <c r="M28" s="13">
        <f t="array" ref="M28">INDEX(L:L,MIN(IF(ISNUMBER(L28:L224),ROW(L28:L224),"")))</f>
        <v>31.8</v>
      </c>
      <c r="N28" s="14">
        <f>IF('Données projet'!$A$36&gt;35,N27+M28-V27,IF(A28&lt;'Données projet'!$A$36,$K$205^A28,IF(A28='Données projet'!$A$36,'Données projet'!$B$36,N27+M28-V27)))</f>
        <v>419</v>
      </c>
      <c r="O28" s="14">
        <f>N28*VLOOKUP('Données projet'!$B$9,Paramètres!$A$1:$I$89,3,0)*VLOOKUP('Données projet'!$B$9,Paramètres!$A$1:$I$89,5,0)</f>
        <v>234.221</v>
      </c>
      <c r="P28" s="14">
        <f t="shared" si="33"/>
        <v>57.194392182630075</v>
      </c>
      <c r="Q28" s="22">
        <f t="shared" si="2"/>
        <v>507.54847471808063</v>
      </c>
      <c r="R28" s="62">
        <f t="shared" si="0"/>
        <v>800.88180805141394</v>
      </c>
      <c r="S28" s="62">
        <f ca="1">AVERAGE(OFFSET($R$3,0,0,'Données projet'!$E$9+1,1))-AVERAGE(OFFSET($H$3,0,0,'Données projet'!$E$9+1,1))</f>
        <v>460.30566673085474</v>
      </c>
      <c r="T28" s="62">
        <f t="shared" si="34"/>
        <v>569.42599742280231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60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0.55000000000000004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31.978429503013331</v>
      </c>
      <c r="AB28" s="23">
        <f>EXP(-LN(2)/2)*AB27+(1-EXP(-LN(2)/2))/(LN(2)/2)*V28*Y28*VLOOKUP('Données projet'!$B$9,Paramètres!$A$1:$I$89,3,0)*0.475*44/12</f>
        <v>2.4055302236296665</v>
      </c>
      <c r="AC28" s="24">
        <f t="shared" si="3"/>
        <v>34.383959726642999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23.524800000000013</v>
      </c>
      <c r="D29" s="12">
        <f t="shared" si="32"/>
        <v>7.5064117884233585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239.53917871765407</v>
      </c>
      <c r="H29" s="70">
        <f t="shared" si="1"/>
        <v>347.37936053150401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33</v>
      </c>
      <c r="N29" s="14">
        <f>IF('Données projet'!$A$36&gt;35,N28+M29-V28,IF(A29&lt;'Données projet'!$A$36,$K$205^A29,IF(A29='Données projet'!$A$36,'Données projet'!$B$36,N28+M29-V28)))</f>
        <v>392</v>
      </c>
      <c r="O29" s="14">
        <f>N29*VLOOKUP('Données projet'!$B$9,Paramètres!$A$1:$I$89,3,0)*VLOOKUP('Données projet'!$B$9,Paramètres!$A$1:$I$89,5,0)</f>
        <v>219.12800000000001</v>
      </c>
      <c r="P29" s="14">
        <f t="shared" si="33"/>
        <v>53.925317044064428</v>
      </c>
      <c r="Q29" s="22">
        <f t="shared" si="2"/>
        <v>475.56786051841215</v>
      </c>
      <c r="R29" s="62">
        <f t="shared" si="0"/>
        <v>768.90119385174546</v>
      </c>
      <c r="S29" s="62">
        <f ca="1">AVERAGE(OFFSET($R$3,0,0,'Données projet'!$E$9+1,1))-AVERAGE(OFFSET($H$3,0,0,'Données projet'!$E$9+1,1))</f>
        <v>460.30566673085474</v>
      </c>
      <c r="T29" s="62">
        <f t="shared" si="34"/>
        <v>569.42599742280231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31.10397766658091</v>
      </c>
      <c r="AB29" s="23">
        <f>EXP(-LN(2)/2)*AB28+(1-EXP(-LN(2)/2))/(LN(2)/2)*V29*Y29*VLOOKUP('Données projet'!$B$9,Paramètres!$A$1:$I$89,3,0)*0.475*44/12</f>
        <v>1.7009667334777294</v>
      </c>
      <c r="AC29" s="24">
        <f t="shared" si="3"/>
        <v>32.804944400058638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24.429600000000015</v>
      </c>
      <c r="D30" s="12">
        <f t="shared" si="32"/>
        <v>7.760951279511322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248.48846601728056</v>
      </c>
      <c r="H30" s="70">
        <f t="shared" si="1"/>
        <v>349.39854347848222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33</v>
      </c>
      <c r="N30" s="14">
        <f>IF('Données projet'!$A$36&gt;35,N29+M30-V29,IF(A30&lt;'Données projet'!$A$36,$K$205^A30,IF(A30='Données projet'!$A$36,'Données projet'!$B$36,N29+M30-V29)))</f>
        <v>425</v>
      </c>
      <c r="O30" s="14">
        <f>N30*VLOOKUP('Données projet'!$B$9,Paramètres!$A$1:$I$89,3,0)*VLOOKUP('Données projet'!$B$9,Paramètres!$A$1:$I$89,5,0)</f>
        <v>237.57500000000002</v>
      </c>
      <c r="P30" s="14">
        <f t="shared" si="33"/>
        <v>57.917471937261162</v>
      </c>
      <c r="Q30" s="22">
        <f t="shared" si="2"/>
        <v>514.64938862406325</v>
      </c>
      <c r="R30" s="62">
        <f t="shared" si="0"/>
        <v>807.98272195739651</v>
      </c>
      <c r="S30" s="62">
        <f ca="1">AVERAGE(OFFSET($R$3,0,0,'Données projet'!$E$9+1,1))-AVERAGE(OFFSET($H$3,0,0,'Données projet'!$E$9+1,1))</f>
        <v>460.30566673085474</v>
      </c>
      <c r="T30" s="62">
        <f t="shared" si="34"/>
        <v>569.42599742280231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30.253437761601159</v>
      </c>
      <c r="AB30" s="23">
        <f>EXP(-LN(2)/2)*AB29+(1-EXP(-LN(2)/2))/(LN(2)/2)*V30*Y30*VLOOKUP('Données projet'!$B$9,Paramètres!$A$1:$I$89,3,0)*0.475*44/12</f>
        <v>1.2027651118148335</v>
      </c>
      <c r="AC30" s="24">
        <f t="shared" si="3"/>
        <v>31.456202873415993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25.334400000000016</v>
      </c>
      <c r="D31" s="12">
        <f t="shared" si="32"/>
        <v>8.0143955200794608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257.42929875149071</v>
      </c>
      <c r="H31" s="70">
        <f t="shared" si="1"/>
        <v>351.41581886413837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33</v>
      </c>
      <c r="N31" s="14">
        <f>IF('Données projet'!$A$36&gt;35,N30+M31-V30,IF(A31&lt;'Données projet'!$A$36,$K$205^A31,IF(A31='Données projet'!$A$36,'Données projet'!$B$36,N30+M31-V30)))</f>
        <v>458</v>
      </c>
      <c r="O31" s="14">
        <f>N31*VLOOKUP('Données projet'!$B$9,Paramètres!$A$1:$I$89,3,0)*VLOOKUP('Données projet'!$B$9,Paramètres!$A$1:$I$89,5,0)</f>
        <v>256.02199999999999</v>
      </c>
      <c r="P31" s="14">
        <f t="shared" si="33"/>
        <v>61.873669712051253</v>
      </c>
      <c r="Q31" s="22">
        <f t="shared" si="2"/>
        <v>553.66829141515586</v>
      </c>
      <c r="R31" s="62">
        <f t="shared" si="0"/>
        <v>847.00162474848912</v>
      </c>
      <c r="S31" s="62">
        <f ca="1">AVERAGE(OFFSET($R$3,0,0,'Données projet'!$E$9+1,1))-AVERAGE(OFFSET($H$3,0,0,'Données projet'!$E$9+1,1))</f>
        <v>460.30566673085474</v>
      </c>
      <c r="T31" s="62">
        <f t="shared" si="34"/>
        <v>569.42599742280231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29.42615591505103</v>
      </c>
      <c r="AB31" s="23">
        <f>EXP(-LN(2)/2)*AB30+(1-EXP(-LN(2)/2))/(LN(2)/2)*V31*Y31*VLOOKUP('Données projet'!$B$9,Paramètres!$A$1:$I$89,3,0)*0.475*44/12</f>
        <v>0.85048336673886493</v>
      </c>
      <c r="AC31" s="24">
        <f t="shared" si="3"/>
        <v>30.276639281789894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26.239200000000018</v>
      </c>
      <c r="D32" s="12">
        <f t="shared" si="32"/>
        <v>8.2667881075338148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266.36201346166467</v>
      </c>
      <c r="H32" s="70">
        <f t="shared" si="1"/>
        <v>353.4312626206214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33</v>
      </c>
      <c r="N32" s="14">
        <f>IF('Données projet'!$A$36&gt;35,N31+M32-V31,IF(A32&lt;'Données projet'!$A$36,$K$205^A32,IF(A32='Données projet'!$A$36,'Données projet'!$B$36,N31+M32-V31)))</f>
        <v>491</v>
      </c>
      <c r="O32" s="14">
        <f>N32*VLOOKUP('Données projet'!$B$9,Paramètres!$A$1:$I$89,3,0)*VLOOKUP('Données projet'!$B$9,Paramètres!$A$1:$I$89,5,0)</f>
        <v>274.46899999999999</v>
      </c>
      <c r="P32" s="14">
        <f t="shared" si="33"/>
        <v>65.796795812732981</v>
      </c>
      <c r="Q32" s="22">
        <f t="shared" si="2"/>
        <v>592.62959437384313</v>
      </c>
      <c r="R32" s="62">
        <f t="shared" si="0"/>
        <v>885.9629277071765</v>
      </c>
      <c r="S32" s="62">
        <f ca="1">AVERAGE(OFFSET($R$3,0,0,'Données projet'!$E$9+1,1))-AVERAGE(OFFSET($H$3,0,0,'Données projet'!$E$9+1,1))</f>
        <v>460.30566673085474</v>
      </c>
      <c r="T32" s="62">
        <f t="shared" si="34"/>
        <v>569.42599742280231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28.621496134099676</v>
      </c>
      <c r="AB32" s="23">
        <f>EXP(-LN(2)/2)*AB31+(1-EXP(-LN(2)/2))/(LN(2)/2)*V32*Y32*VLOOKUP('Données projet'!$B$9,Paramètres!$A$1:$I$89,3,0)*0.475*44/12</f>
        <v>0.60138255590741685</v>
      </c>
      <c r="AC32" s="24">
        <f t="shared" si="3"/>
        <v>29.222878690007093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27.14400000000002</v>
      </c>
      <c r="D33" s="12">
        <f t="shared" si="32"/>
        <v>8.5181694620316382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275.28692216305143</v>
      </c>
      <c r="H33" s="70">
        <f t="shared" si="1"/>
        <v>355.44494514637177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524</v>
      </c>
      <c r="L33" s="13">
        <f>VLOOKUP(A33,'Données projet'!$A$35:$I$55,9,0)</f>
        <v>33</v>
      </c>
      <c r="M33" s="13">
        <f t="array" ref="M33">INDEX(L:L,MIN(IF(ISNUMBER(L33:L229),ROW(L33:L229),"")))</f>
        <v>33</v>
      </c>
      <c r="N33" s="14">
        <f>IF('Données projet'!$A$36&gt;35,N32+M33-V32,IF(A33&lt;'Données projet'!$A$36,$K$205^A33,IF(A33='Données projet'!$A$36,'Données projet'!$B$36,N32+M33-V32)))</f>
        <v>524</v>
      </c>
      <c r="O33" s="14">
        <f>N33*VLOOKUP('Données projet'!$B$9,Paramètres!$A$1:$I$89,3,0)*VLOOKUP('Données projet'!$B$9,Paramètres!$A$1:$I$89,5,0)</f>
        <v>292.916</v>
      </c>
      <c r="P33" s="14">
        <f t="shared" si="33"/>
        <v>69.68932587703776</v>
      </c>
      <c r="Q33" s="22">
        <f t="shared" si="2"/>
        <v>631.53760923584082</v>
      </c>
      <c r="R33" s="62">
        <f t="shared" si="0"/>
        <v>924.87094256917408</v>
      </c>
      <c r="S33" s="62">
        <f ca="1">AVERAGE(OFFSET($R$3,0,0,'Données projet'!$E$9+1,1))-AVERAGE(OFFSET($H$3,0,0,'Données projet'!$E$9+1,1))</f>
        <v>460.30566673085474</v>
      </c>
      <c r="T33" s="62">
        <f t="shared" si="34"/>
        <v>569.42599742280231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90</v>
      </c>
      <c r="W33" s="17">
        <f>IF(ISNA(VLOOKUP(A33,'Données projet'!$A$35:$I$55,5,0)),0%,VLOOKUP(A33,'Données projet'!$A$35:$I$55,5,0)*VLOOKUP('Données projet'!$B$9,Paramètres!$A$1:$I$89,7,0))</f>
        <v>0.16500000000000001</v>
      </c>
      <c r="X33" s="17">
        <f>IF(ISNA(VLOOKUP(A33,'Données projet'!$A$35:$I$55,6,0)),0%,VLOOKUP(A33,'Données projet'!$A$35:$I$55,6,0)*VLOOKUP('Données projet'!$B$9,Paramètres!$A$1:$I$89,7,0))</f>
        <v>0.38500000000000001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11.01201052927194</v>
      </c>
      <c r="AA33" s="23">
        <f>EXP(-LN(2)/25)*AA32+(1-EXP(-LN(2)/25))/(LN(2)/25)*Calculateur!V33*Calculateur!X33*VLOOKUP('Données projet'!$B$9,Paramètres!$A$1:$I$89,3,0)*0.475*44/12</f>
        <v>53.432361262304525</v>
      </c>
      <c r="AB33" s="23">
        <f>EXP(-LN(2)/2)*AB32+(1-EXP(-LN(2)/2))/(LN(2)/2)*V33*Y33*VLOOKUP('Données projet'!$B$9,Paramètres!$A$1:$I$89,3,0)*0.475*44/12</f>
        <v>0.42524168336943252</v>
      </c>
      <c r="AC33" s="24">
        <f t="shared" si="3"/>
        <v>64.869613474945893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28.048800000000021</v>
      </c>
      <c r="D34" s="12">
        <f t="shared" si="32"/>
        <v>8.7685771561441008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284.20431488953358</v>
      </c>
      <c r="H34" s="70">
        <f t="shared" si="1"/>
        <v>357.45693188028429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28.4</v>
      </c>
      <c r="N34" s="14">
        <f>IF('Données projet'!$A$36&gt;35,N33+M34-V33,IF(A34&lt;'Données projet'!$A$36,$K$205^A34,IF(A34='Données projet'!$A$36,'Données projet'!$B$36,N33+M34-V33)))</f>
        <v>462.4</v>
      </c>
      <c r="O34" s="14">
        <f>N34*VLOOKUP('Données projet'!$B$9,Paramètres!$A$1:$I$89,3,0)*VLOOKUP('Données projet'!$B$9,Paramètres!$A$1:$I$89,5,0)</f>
        <v>258.48160000000001</v>
      </c>
      <c r="P34" s="14">
        <f t="shared" si="33"/>
        <v>62.398606187610767</v>
      </c>
      <c r="Q34" s="22">
        <f t="shared" si="2"/>
        <v>558.86635911008875</v>
      </c>
      <c r="R34" s="62">
        <f t="shared" si="0"/>
        <v>852.19969244342201</v>
      </c>
      <c r="S34" s="62">
        <f ca="1">AVERAGE(OFFSET($R$3,0,0,'Données projet'!$E$9+1,1))-AVERAGE(OFFSET($H$3,0,0,'Données projet'!$E$9+1,1))</f>
        <v>460.30566673085474</v>
      </c>
      <c r="T34" s="62">
        <f t="shared" si="34"/>
        <v>569.42599742280231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10.796071719456124</v>
      </c>
      <c r="AA34" s="23">
        <f>EXP(-LN(2)/25)*AA33+(1-EXP(-LN(2)/25))/(LN(2)/25)*Calculateur!V34*Calculateur!X34*VLOOKUP('Données projet'!$B$9,Paramètres!$A$1:$I$89,3,0)*0.475*44/12</f>
        <v>51.971250533701053</v>
      </c>
      <c r="AB34" s="23">
        <f>EXP(-LN(2)/2)*AB33+(1-EXP(-LN(2)/2))/(LN(2)/2)*V34*Y34*VLOOKUP('Données projet'!$B$9,Paramètres!$A$1:$I$89,3,0)*0.475*44/12</f>
        <v>0.30069127795370848</v>
      </c>
      <c r="AC34" s="24">
        <f t="shared" si="3"/>
        <v>63.068013531110886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28.953600000000023</v>
      </c>
      <c r="D35" s="12">
        <f t="shared" si="32"/>
        <v>9.0180462007869373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293.11446190081165</v>
      </c>
      <c r="H35" s="70">
        <f t="shared" si="1"/>
        <v>359.46728379970392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28.4</v>
      </c>
      <c r="N35" s="14">
        <f>IF('Données projet'!$A$36&gt;35,N34+M35-V34,IF(A35&lt;'Données projet'!$A$36,$K$205^A35,IF(A35='Données projet'!$A$36,'Données projet'!$B$36,N34+M35-V34)))</f>
        <v>490.79999999999995</v>
      </c>
      <c r="O35" s="14">
        <f>N35*VLOOKUP('Données projet'!$B$9,Paramètres!$A$1:$I$89,3,0)*VLOOKUP('Données projet'!$B$9,Paramètres!$A$1:$I$89,5,0)</f>
        <v>274.35719999999998</v>
      </c>
      <c r="P35" s="14">
        <f t="shared" si="33"/>
        <v>65.773113764972635</v>
      </c>
      <c r="Q35" s="22">
        <f t="shared" ref="Q35:Q66" si="53">(O35+P35)*0.475*44/12</f>
        <v>592.39362980732722</v>
      </c>
      <c r="R35" s="62">
        <f t="shared" si="0"/>
        <v>885.72696314066047</v>
      </c>
      <c r="S35" s="62">
        <f ca="1">AVERAGE(OFFSET($R$3,0,0,'Données projet'!$E$9+1,1))-AVERAGE(OFFSET($H$3,0,0,'Données projet'!$E$9+1,1))</f>
        <v>460.30566673085474</v>
      </c>
      <c r="T35" s="62">
        <f t="shared" si="34"/>
        <v>569.42599742280231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10.584367337991129</v>
      </c>
      <c r="AA35" s="23">
        <f>EXP(-LN(2)/25)*AA34+(1-EXP(-LN(2)/25))/(LN(2)/25)*Calculateur!V35*Calculateur!X35*VLOOKUP('Données projet'!$B$9,Paramètres!$A$1:$I$89,3,0)*0.475*44/12</f>
        <v>50.550093954807714</v>
      </c>
      <c r="AB35" s="23">
        <f>EXP(-LN(2)/2)*AB34+(1-EXP(-LN(2)/2))/(LN(2)/2)*V35*Y35*VLOOKUP('Données projet'!$B$9,Paramètres!$A$1:$I$89,3,0)*0.475*44/12</f>
        <v>0.21262084168471629</v>
      </c>
      <c r="AC35" s="24">
        <f t="shared" si="3"/>
        <v>61.347082134483564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29.858400000000024</v>
      </c>
      <c r="D36" s="12">
        <f t="shared" si="32"/>
        <v>9.2666092944057183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302.01761560593906</v>
      </c>
      <c r="H36" s="70">
        <f t="shared" si="1"/>
        <v>361.47605785442329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28.4</v>
      </c>
      <c r="N36" s="14">
        <f>IF('Données projet'!$A$36&gt;35,N35+M36-V35,IF(A36&lt;'Données projet'!$A$36,$K$205^A36,IF(A36='Données projet'!$A$36,'Données projet'!$B$36,N35+M36-V35)))</f>
        <v>519.19999999999993</v>
      </c>
      <c r="O36" s="14">
        <f>N36*VLOOKUP('Données projet'!$B$9,Paramètres!$A$1:$I$89,3,0)*VLOOKUP('Données projet'!$B$9,Paramètres!$A$1:$I$89,5,0)</f>
        <v>290.2328</v>
      </c>
      <c r="P36" s="14">
        <f t="shared" si="33"/>
        <v>69.124955529636495</v>
      </c>
      <c r="Q36" s="22">
        <f t="shared" si="53"/>
        <v>625.88142421411692</v>
      </c>
      <c r="R36" s="62">
        <f t="shared" si="0"/>
        <v>919.21475754745029</v>
      </c>
      <c r="S36" s="62">
        <f ca="1">AVERAGE(OFFSET($R$3,0,0,'Données projet'!$E$9+1,1))-AVERAGE(OFFSET($H$3,0,0,'Données projet'!$E$9+1,1))</f>
        <v>460.30566673085474</v>
      </c>
      <c r="T36" s="62">
        <f t="shared" si="34"/>
        <v>569.42599742280231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10.376814350319739</v>
      </c>
      <c r="AA36" s="23">
        <f>EXP(-LN(2)/25)*AA35+(1-EXP(-LN(2)/25))/(LN(2)/25)*Calculateur!V36*Calculateur!X36*VLOOKUP('Données projet'!$B$9,Paramètres!$A$1:$I$89,3,0)*0.475*44/12</f>
        <v>49.16779897729959</v>
      </c>
      <c r="AB36" s="23">
        <f>EXP(-LN(2)/2)*AB35+(1-EXP(-LN(2)/2))/(LN(2)/2)*V36*Y36*VLOOKUP('Données projet'!$B$9,Paramètres!$A$1:$I$89,3,0)*0.475*44/12</f>
        <v>0.15034563897685424</v>
      </c>
      <c r="AC36" s="24">
        <f t="shared" si="3"/>
        <v>59.694958966596182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30.763200000000026</v>
      </c>
      <c r="D37" s="12">
        <f t="shared" si="32"/>
        <v>9.5142970411082342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310.9140122471515</v>
      </c>
      <c r="H37" s="70">
        <f t="shared" si="1"/>
        <v>363.48330734659686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28.4</v>
      </c>
      <c r="N37" s="14">
        <f>IF('Données projet'!$A$36&gt;35,N36+M37-V36,IF(A37&lt;'Données projet'!$A$36,$K$205^A37,IF(A37='Données projet'!$A$36,'Données projet'!$B$36,N36+M37-V36)))</f>
        <v>547.59999999999991</v>
      </c>
      <c r="O37" s="14">
        <f>N37*VLOOKUP('Données projet'!$B$9,Paramètres!$A$1:$I$89,3,0)*VLOOKUP('Données projet'!$B$9,Paramètres!$A$1:$I$89,5,0)</f>
        <v>306.10839999999996</v>
      </c>
      <c r="P37" s="14">
        <f t="shared" si="33"/>
        <v>72.455512621968097</v>
      </c>
      <c r="Q37" s="22">
        <f t="shared" si="53"/>
        <v>659.33214781659433</v>
      </c>
      <c r="R37" s="62">
        <f t="shared" si="0"/>
        <v>952.6654811499277</v>
      </c>
      <c r="S37" s="62">
        <f ca="1">AVERAGE(OFFSET($R$3,0,0,'Données projet'!$E$9+1,1))-AVERAGE(OFFSET($H$3,0,0,'Données projet'!$E$9+1,1))</f>
        <v>460.30566673085474</v>
      </c>
      <c r="T37" s="62">
        <f t="shared" si="34"/>
        <v>569.42599742280231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10.173331350141764</v>
      </c>
      <c r="AA37" s="23">
        <f>EXP(-LN(2)/25)*AA36+(1-EXP(-LN(2)/25))/(LN(2)/25)*Calculateur!V37*Calculateur!X37*VLOOKUP('Données projet'!$B$9,Paramètres!$A$1:$I$89,3,0)*0.475*44/12</f>
        <v>47.823302928643159</v>
      </c>
      <c r="AB37" s="23">
        <f>EXP(-LN(2)/2)*AB36+(1-EXP(-LN(2)/2))/(LN(2)/2)*V37*Y37*VLOOKUP('Données projet'!$B$9,Paramètres!$A$1:$I$89,3,0)*0.475*44/12</f>
        <v>0.10631042084235814</v>
      </c>
      <c r="AC37" s="24">
        <f t="shared" si="3"/>
        <v>58.10294469962728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31.668000000000028</v>
      </c>
      <c r="D38" s="12">
        <f t="shared" si="32"/>
        <v>9.7611381424130741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319.80387338003095</v>
      </c>
      <c r="H38" s="70">
        <f t="shared" si="1"/>
        <v>365.4890822647028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576</v>
      </c>
      <c r="L38" s="13">
        <f>VLOOKUP(A38,'Données projet'!$A$35:$I$55,9,0)</f>
        <v>28.4</v>
      </c>
      <c r="M38" s="13">
        <f t="array" ref="M38">INDEX(L:L,MIN(IF(ISNUMBER(L38:L234),ROW(L38:L234),"")))</f>
        <v>28.4</v>
      </c>
      <c r="N38" s="14">
        <f>IF('Données projet'!$A$36&gt;35,N37+M38-V37,IF(A38&lt;'Données projet'!$A$36,$K$205^A38,IF(A38='Données projet'!$A$36,'Données projet'!$B$36,N37+M38-V37)))</f>
        <v>575.99999999999989</v>
      </c>
      <c r="O38" s="14">
        <f>N38*VLOOKUP('Données projet'!$B$9,Paramètres!$A$1:$I$89,3,0)*VLOOKUP('Données projet'!$B$9,Paramètres!$A$1:$I$89,5,0)</f>
        <v>321.98399999999992</v>
      </c>
      <c r="P38" s="14">
        <f t="shared" si="33"/>
        <v>75.76601483154208</v>
      </c>
      <c r="Q38" s="22">
        <f t="shared" si="53"/>
        <v>692.74794249826891</v>
      </c>
      <c r="R38" s="62">
        <f t="shared" si="0"/>
        <v>986.08127583160217</v>
      </c>
      <c r="S38" s="62">
        <f ca="1">AVERAGE(OFFSET($R$3,0,0,'Données projet'!$E$9+1,1))-AVERAGE(OFFSET($H$3,0,0,'Données projet'!$E$9+1,1))</f>
        <v>460.30566673085474</v>
      </c>
      <c r="T38" s="62">
        <f t="shared" si="34"/>
        <v>569.42599742280231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72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9.9738385274849026</v>
      </c>
      <c r="AA38" s="23">
        <f>EXP(-LN(2)/25)*AA37+(1-EXP(-LN(2)/25))/(LN(2)/25)*Calculateur!V38*Calculateur!X38*VLOOKUP('Données projet'!$B$9,Paramètres!$A$1:$I$89,3,0)*0.475*44/12</f>
        <v>46.51557219514121</v>
      </c>
      <c r="AB38" s="23">
        <f>EXP(-LN(2)/2)*AB37+(1-EXP(-LN(2)/2))/(LN(2)/2)*V38*Y38*VLOOKUP('Données projet'!$B$9,Paramètres!$A$1:$I$89,3,0)*0.475*44/12</f>
        <v>7.517281948842712E-2</v>
      </c>
      <c r="AC38" s="24">
        <f t="shared" si="3"/>
        <v>56.564583542114541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32.572800000000029</v>
      </c>
      <c r="D39" s="12">
        <f t="shared" si="32"/>
        <v>10.007159566468198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328.68740717975476</v>
      </c>
      <c r="H39" s="70">
        <f t="shared" si="1"/>
        <v>367.49342957826548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27</v>
      </c>
      <c r="N39" s="14">
        <f>IF('Données projet'!$A$36&gt;35,N38+M39-V38,IF(A39&lt;'Données projet'!$A$36,$K$205^A39,IF(A39='Données projet'!$A$36,'Données projet'!$B$36,N38+M39-V38)))</f>
        <v>530.99999999999989</v>
      </c>
      <c r="O39" s="14">
        <f>N39*VLOOKUP('Données projet'!$B$9,Paramètres!$A$1:$I$89,3,0)*VLOOKUP('Données projet'!$B$9,Paramètres!$A$1:$I$89,5,0)</f>
        <v>296.82899999999995</v>
      </c>
      <c r="P39" s="14">
        <f t="shared" si="33"/>
        <v>70.511289513454344</v>
      </c>
      <c r="Q39" s="22">
        <f t="shared" si="53"/>
        <v>639.78433756926631</v>
      </c>
      <c r="R39" s="62">
        <f t="shared" si="0"/>
        <v>933.11767090259968</v>
      </c>
      <c r="S39" s="62">
        <f ca="1">AVERAGE(OFFSET($R$3,0,0,'Données projet'!$E$9+1,1))-AVERAGE(OFFSET($H$3,0,0,'Données projet'!$E$9+1,1))</f>
        <v>460.30566673085474</v>
      </c>
      <c r="T39" s="62">
        <f t="shared" si="34"/>
        <v>569.42599742280231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9.7782576374017349</v>
      </c>
      <c r="AA39" s="23">
        <f>EXP(-LN(2)/25)*AA38+(1-EXP(-LN(2)/25))/(LN(2)/25)*Calculateur!V39*Calculateur!X39*VLOOKUP('Données projet'!$B$9,Paramètres!$A$1:$I$89,3,0)*0.475*44/12</f>
        <v>45.243601427317444</v>
      </c>
      <c r="AB39" s="23">
        <f>EXP(-LN(2)/2)*AB38+(1-EXP(-LN(2)/2))/(LN(2)/2)*V39*Y39*VLOOKUP('Données projet'!$B$9,Paramètres!$A$1:$I$89,3,0)*0.475*44/12</f>
        <v>5.3155210421179072E-2</v>
      </c>
      <c r="AC39" s="24">
        <f t="shared" si="3"/>
        <v>55.075014275140362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33.477600000000031</v>
      </c>
      <c r="D40" s="12">
        <f t="shared" si="32"/>
        <v>10.252386697938803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337.56480959812433</v>
      </c>
      <c r="H40" s="70">
        <f t="shared" si="1"/>
        <v>369.49639349891009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27</v>
      </c>
      <c r="N40" s="14">
        <f>IF('Données projet'!$A$36&gt;35,N39+M40-V39,IF(A40&lt;'Données projet'!$A$36,$K$205^A40,IF(A40='Données projet'!$A$36,'Données projet'!$B$36,N39+M40-V39)))</f>
        <v>557.99999999999989</v>
      </c>
      <c r="O40" s="14">
        <f>N40*VLOOKUP('Données projet'!$B$9,Paramètres!$A$1:$I$89,3,0)*VLOOKUP('Données projet'!$B$9,Paramètres!$A$1:$I$89,5,0)</f>
        <v>311.92199999999991</v>
      </c>
      <c r="P40" s="14">
        <f t="shared" si="33"/>
        <v>73.670075764965745</v>
      </c>
      <c r="Q40" s="22">
        <f t="shared" si="53"/>
        <v>671.57286529064845</v>
      </c>
      <c r="R40" s="62">
        <f t="shared" si="0"/>
        <v>964.90619862398171</v>
      </c>
      <c r="S40" s="62">
        <f ca="1">AVERAGE(OFFSET($R$3,0,0,'Données projet'!$E$9+1,1))-AVERAGE(OFFSET($H$3,0,0,'Données projet'!$E$9+1,1))</f>
        <v>460.30566673085474</v>
      </c>
      <c r="T40" s="62">
        <f t="shared" si="34"/>
        <v>569.42599742280231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9.5865119692805347</v>
      </c>
      <c r="AA40" s="23">
        <f>EXP(-LN(2)/25)*AA39+(1-EXP(-LN(2)/25))/(LN(2)/25)*Calculateur!V40*Calculateur!X40*VLOOKUP('Données projet'!$B$9,Paramètres!$A$1:$I$89,3,0)*0.475*44/12</f>
        <v>44.006412767029857</v>
      </c>
      <c r="AB40" s="23">
        <f>EXP(-LN(2)/2)*AB39+(1-EXP(-LN(2)/2))/(LN(2)/2)*V40*Y40*VLOOKUP('Données projet'!$B$9,Paramètres!$A$1:$I$89,3,0)*0.475*44/12</f>
        <v>3.758640974421356E-2</v>
      </c>
      <c r="AC40" s="24">
        <f t="shared" si="3"/>
        <v>53.630511146054609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34.382400000000032</v>
      </c>
      <c r="D41" s="12">
        <f t="shared" si="32"/>
        <v>10.496843471235424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346.43626539199295</v>
      </c>
      <c r="H41" s="70">
        <f t="shared" si="1"/>
        <v>371.49801571240175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27</v>
      </c>
      <c r="N41" s="14">
        <f>IF('Données projet'!$A$36&gt;35,N40+M41-V40,IF(A41&lt;'Données projet'!$A$36,$K$205^A41,IF(A41='Données projet'!$A$36,'Données projet'!$B$36,N40+M41-V40)))</f>
        <v>584.99999999999989</v>
      </c>
      <c r="O41" s="14">
        <f>N41*VLOOKUP('Données projet'!$B$9,Paramètres!$A$1:$I$89,3,0)*VLOOKUP('Données projet'!$B$9,Paramètres!$A$1:$I$89,5,0)</f>
        <v>327.01499999999993</v>
      </c>
      <c r="P41" s="14">
        <f t="shared" si="33"/>
        <v>76.811113612871907</v>
      </c>
      <c r="Q41" s="22">
        <f t="shared" si="53"/>
        <v>703.33048120908506</v>
      </c>
      <c r="R41" s="62">
        <f t="shared" si="0"/>
        <v>996.66381454241832</v>
      </c>
      <c r="S41" s="62">
        <f ca="1">AVERAGE(OFFSET($R$3,0,0,'Données projet'!$E$9+1,1))-AVERAGE(OFFSET($H$3,0,0,'Données projet'!$E$9+1,1))</f>
        <v>460.30566673085474</v>
      </c>
      <c r="T41" s="62">
        <f t="shared" si="34"/>
        <v>569.42599742280231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9.3985263167578825</v>
      </c>
      <c r="AA41" s="23">
        <f>EXP(-LN(2)/25)*AA40+(1-EXP(-LN(2)/25))/(LN(2)/25)*Calculateur!V41*Calculateur!X41*VLOOKUP('Données projet'!$B$9,Paramètres!$A$1:$I$89,3,0)*0.475*44/12</f>
        <v>42.803055095718754</v>
      </c>
      <c r="AB41" s="23">
        <f>EXP(-LN(2)/2)*AB40+(1-EXP(-LN(2)/2))/(LN(2)/2)*V41*Y41*VLOOKUP('Données projet'!$B$9,Paramètres!$A$1:$I$89,3,0)*0.475*44/12</f>
        <v>2.6577605210589536E-2</v>
      </c>
      <c r="AC41" s="24">
        <f t="shared" si="3"/>
        <v>52.228159017687226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35.287200000000034</v>
      </c>
      <c r="D42" s="12">
        <f t="shared" si="32"/>
        <v>10.740552489323534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355.30194904039246</v>
      </c>
      <c r="H42" s="70">
        <f t="shared" si="1"/>
        <v>373.49833558557185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27</v>
      </c>
      <c r="N42" s="14">
        <f>IF('Données projet'!$A$36&gt;35,N41+M42-V41,IF(A42&lt;'Données projet'!$A$36,$K$205^A42,IF(A42='Données projet'!$A$36,'Données projet'!$B$36,N41+M42-V41)))</f>
        <v>611.99999999999989</v>
      </c>
      <c r="O42" s="14">
        <f>N42*VLOOKUP('Données projet'!$B$9,Paramètres!$A$1:$I$89,3,0)*VLOOKUP('Données projet'!$B$9,Paramètres!$A$1:$I$89,5,0)</f>
        <v>342.10799999999995</v>
      </c>
      <c r="P42" s="14">
        <f t="shared" si="33"/>
        <v>79.935315774430151</v>
      </c>
      <c r="Q42" s="22">
        <f t="shared" si="53"/>
        <v>735.0587749737989</v>
      </c>
      <c r="R42" s="62">
        <f t="shared" si="0"/>
        <v>1028.3921083071323</v>
      </c>
      <c r="S42" s="62">
        <f ca="1">AVERAGE(OFFSET($R$3,0,0,'Données projet'!$E$9+1,1))-AVERAGE(OFFSET($H$3,0,0,'Données projet'!$E$9+1,1))</f>
        <v>460.30566673085474</v>
      </c>
      <c r="T42" s="62">
        <f t="shared" si="34"/>
        <v>569.42599742280231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9.2142269482212722</v>
      </c>
      <c r="AA42" s="23">
        <f>EXP(-LN(2)/25)*AA41+(1-EXP(-LN(2)/25))/(LN(2)/25)*Calculateur!V42*Calculateur!X42*VLOOKUP('Données projet'!$B$9,Paramètres!$A$1:$I$89,3,0)*0.475*44/12</f>
        <v>41.632603303211482</v>
      </c>
      <c r="AB42" s="23">
        <f>EXP(-LN(2)/2)*AB41+(1-EXP(-LN(2)/2))/(LN(2)/2)*V42*Y42*VLOOKUP('Données projet'!$B$9,Paramètres!$A$1:$I$89,3,0)*0.475*44/12</f>
        <v>1.879320487210678E-2</v>
      </c>
      <c r="AC42" s="24">
        <f t="shared" si="3"/>
        <v>50.86562345630486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36.192000000000036</v>
      </c>
      <c r="D43" s="12">
        <f t="shared" si="32"/>
        <v>10.983535130004659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364.16202556494858</v>
      </c>
      <c r="H43" s="70">
        <f t="shared" si="1"/>
        <v>375.49739035142483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639</v>
      </c>
      <c r="L43" s="13">
        <f>VLOOKUP(A43,'Données projet'!$A$35:$I$55,9,0)</f>
        <v>27</v>
      </c>
      <c r="M43" s="13">
        <f t="array" ref="M43">INDEX(L:L,MIN(IF(ISNUMBER(L43:L239),ROW(L43:L239),"")))</f>
        <v>27</v>
      </c>
      <c r="N43" s="14">
        <f>IF('Données projet'!$A$36&gt;35,N42+M43-V42,IF(A43&lt;'Données projet'!$A$36,$K$205^A43,IF(A43='Données projet'!$A$36,'Données projet'!$B$36,N42+M43-V42)))</f>
        <v>638.99999999999989</v>
      </c>
      <c r="O43" s="14">
        <f>N43*VLOOKUP('Données projet'!$B$9,Paramètres!$A$1:$I$89,3,0)*VLOOKUP('Données projet'!$B$9,Paramètres!$A$1:$I$89,5,0)</f>
        <v>357.20099999999991</v>
      </c>
      <c r="P43" s="14">
        <f t="shared" si="33"/>
        <v>83.043509879488369</v>
      </c>
      <c r="Q43" s="22">
        <f t="shared" si="53"/>
        <v>766.75918804010871</v>
      </c>
      <c r="R43" s="62">
        <f t="shared" si="0"/>
        <v>1060.092521373442</v>
      </c>
      <c r="S43" s="62">
        <f ca="1">AVERAGE(OFFSET($R$3,0,0,'Données projet'!$E$9+1,1))-AVERAGE(OFFSET($H$3,0,0,'Données projet'!$E$9+1,1))</f>
        <v>460.30566673085474</v>
      </c>
      <c r="T43" s="62">
        <f t="shared" si="34"/>
        <v>569.42599742280231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77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9.0335415778901496</v>
      </c>
      <c r="AA43" s="23">
        <f>EXP(-LN(2)/25)*AA42+(1-EXP(-LN(2)/25))/(LN(2)/25)*Calculateur!V43*Calculateur!X43*VLOOKUP('Données projet'!$B$9,Paramètres!$A$1:$I$89,3,0)*0.475*44/12</f>
        <v>40.494157576521708</v>
      </c>
      <c r="AB43" s="23">
        <f>EXP(-LN(2)/2)*AB42+(1-EXP(-LN(2)/2))/(LN(2)/2)*V43*Y43*VLOOKUP('Données projet'!$B$9,Paramètres!$A$1:$I$89,3,0)*0.475*44/12</f>
        <v>1.3288802605294768E-2</v>
      </c>
      <c r="AC43" s="24">
        <f t="shared" si="3"/>
        <v>49.540987957017151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37.096800000000037</v>
      </c>
      <c r="D44" s="12">
        <f t="shared" si="32"/>
        <v>11.225811641270198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373.01665126594571</v>
      </c>
      <c r="H44" s="70">
        <f t="shared" si="1"/>
        <v>377.49521527521233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24.8</v>
      </c>
      <c r="N44" s="14">
        <f>IF('Données projet'!$A$36&gt;35,N43+M44-V43,IF(A44&lt;'Données projet'!$A$36,$K$205^A44,IF(A44='Données projet'!$A$36,'Données projet'!$B$36,N43+M44-V43)))</f>
        <v>586.79999999999984</v>
      </c>
      <c r="O44" s="14">
        <f>N44*VLOOKUP('Données projet'!$B$9,Paramètres!$A$1:$I$89,3,0)*VLOOKUP('Données projet'!$B$9,Paramètres!$A$1:$I$89,5,0)</f>
        <v>328.02119999999991</v>
      </c>
      <c r="P44" s="14">
        <f t="shared" si="33"/>
        <v>77.019907950957702</v>
      </c>
      <c r="Q44" s="22">
        <f t="shared" si="53"/>
        <v>705.44659634791776</v>
      </c>
      <c r="R44" s="62">
        <f t="shared" si="0"/>
        <v>998.77992968125113</v>
      </c>
      <c r="S44" s="62">
        <f ca="1">AVERAGE(OFFSET($R$3,0,0,'Données projet'!$E$9+1,1))-AVERAGE(OFFSET($H$3,0,0,'Données projet'!$E$9+1,1))</f>
        <v>460.30566673085474</v>
      </c>
      <c r="T44" s="62">
        <f t="shared" si="34"/>
        <v>569.42599742280231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8.856399337464028</v>
      </c>
      <c r="AA44" s="23">
        <f>EXP(-LN(2)/25)*AA43+(1-EXP(-LN(2)/25))/(LN(2)/25)*Calculateur!V44*Calculateur!X44*VLOOKUP('Données projet'!$B$9,Paramètres!$A$1:$I$89,3,0)*0.475*44/12</f>
        <v>39.386842708096523</v>
      </c>
      <c r="AB44" s="23">
        <f>EXP(-LN(2)/2)*AB43+(1-EXP(-LN(2)/2))/(LN(2)/2)*V44*Y44*VLOOKUP('Données projet'!$B$9,Paramètres!$A$1:$I$89,3,0)*0.475*44/12</f>
        <v>9.39660243605339E-3</v>
      </c>
      <c r="AC44" s="24">
        <f t="shared" si="3"/>
        <v>48.252638647996605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38.001600000000039</v>
      </c>
      <c r="D45" s="12">
        <f t="shared" si="32"/>
        <v>11.467401227090523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381.86597438455874</v>
      </c>
      <c r="H45" s="70">
        <f t="shared" si="1"/>
        <v>379.49184380384935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24.8</v>
      </c>
      <c r="N45" s="14">
        <f>IF('Données projet'!$A$36&gt;35,N44+M45-V44,IF(A45&lt;'Données projet'!$A$36,$K$205^A45,IF(A45='Données projet'!$A$36,'Données projet'!$B$36,N44+M45-V44)))</f>
        <v>611.5999999999998</v>
      </c>
      <c r="O45" s="14">
        <f>N45*VLOOKUP('Données projet'!$B$9,Paramètres!$A$1:$I$89,3,0)*VLOOKUP('Données projet'!$B$9,Paramètres!$A$1:$I$89,5,0)</f>
        <v>341.88439999999986</v>
      </c>
      <c r="P45" s="14">
        <f t="shared" si="33"/>
        <v>79.889150066970018</v>
      </c>
      <c r="Q45" s="22">
        <f t="shared" si="53"/>
        <v>734.58893303330581</v>
      </c>
      <c r="R45" s="62">
        <f t="shared" si="0"/>
        <v>1027.9222663666392</v>
      </c>
      <c r="S45" s="62">
        <f ca="1">AVERAGE(OFFSET($R$3,0,0,'Données projet'!$E$9+1,1))-AVERAGE(OFFSET($H$3,0,0,'Données projet'!$E$9+1,1))</f>
        <v>460.30566673085474</v>
      </c>
      <c r="T45" s="62">
        <f t="shared" si="34"/>
        <v>569.42599742280231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8.6827307483265646</v>
      </c>
      <c r="AA45" s="23">
        <f>EXP(-LN(2)/25)*AA44+(1-EXP(-LN(2)/25))/(LN(2)/25)*Calculateur!V45*Calculateur!X45*VLOOKUP('Données projet'!$B$9,Paramètres!$A$1:$I$89,3,0)*0.475*44/12</f>
        <v>38.309807422979588</v>
      </c>
      <c r="AB45" s="23">
        <f>EXP(-LN(2)/2)*AB44+(1-EXP(-LN(2)/2))/(LN(2)/2)*V45*Y45*VLOOKUP('Données projet'!$B$9,Paramètres!$A$1:$I$89,3,0)*0.475*44/12</f>
        <v>6.644401302647384E-3</v>
      </c>
      <c r="AC45" s="24">
        <f t="shared" si="3"/>
        <v>46.999182572608795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38.906400000000041</v>
      </c>
      <c r="D46" s="12">
        <f t="shared" si="32"/>
        <v>11.708322124803493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390.7101357002378</v>
      </c>
      <c r="H46" s="70">
        <f t="shared" si="1"/>
        <v>381.48730770069949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24.8</v>
      </c>
      <c r="N46" s="14">
        <f>IF('Données projet'!$A$36&gt;35,N45+M46-V45,IF(A46&lt;'Données projet'!$A$36,$K$205^A46,IF(A46='Données projet'!$A$36,'Données projet'!$B$36,N45+M46-V45)))</f>
        <v>636.39999999999975</v>
      </c>
      <c r="O46" s="14">
        <f>N46*VLOOKUP('Données projet'!$B$9,Paramètres!$A$1:$I$89,3,0)*VLOOKUP('Données projet'!$B$9,Paramètres!$A$1:$I$89,5,0)</f>
        <v>355.74759999999986</v>
      </c>
      <c r="P46" s="14">
        <f t="shared" si="33"/>
        <v>82.744877508992289</v>
      </c>
      <c r="Q46" s="22">
        <f t="shared" si="53"/>
        <v>763.70773166149456</v>
      </c>
      <c r="R46" s="62">
        <f t="shared" si="0"/>
        <v>1057.0410649948278</v>
      </c>
      <c r="S46" s="62">
        <f ca="1">AVERAGE(OFFSET($R$3,0,0,'Données projet'!$E$9+1,1))-AVERAGE(OFFSET($H$3,0,0,'Données projet'!$E$9+1,1))</f>
        <v>460.30566673085474</v>
      </c>
      <c r="T46" s="62">
        <f t="shared" si="34"/>
        <v>569.42599742280231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8.5124676942947062</v>
      </c>
      <c r="AA46" s="23">
        <f>EXP(-LN(2)/25)*AA45+(1-EXP(-LN(2)/25))/(LN(2)/25)*Calculateur!V46*Calculateur!X46*VLOOKUP('Données projet'!$B$9,Paramètres!$A$1:$I$89,3,0)*0.475*44/12</f>
        <v>37.262223724372994</v>
      </c>
      <c r="AB46" s="23">
        <f>EXP(-LN(2)/2)*AB45+(1-EXP(-LN(2)/2))/(LN(2)/2)*V46*Y46*VLOOKUP('Données projet'!$B$9,Paramètres!$A$1:$I$89,3,0)*0.475*44/12</f>
        <v>4.698301218026695E-3</v>
      </c>
      <c r="AC46" s="24">
        <f t="shared" si="3"/>
        <v>45.779389719885728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39.811200000000042</v>
      </c>
      <c r="D47" s="12">
        <f t="shared" si="32"/>
        <v>11.948591675101248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399.54926907095734</v>
      </c>
      <c r="H47" s="70">
        <f t="shared" si="1"/>
        <v>383.48163716746808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24.8</v>
      </c>
      <c r="N47" s="14">
        <f>IF('Données projet'!$A$36&gt;35,N46+M47-V46,IF(A47&lt;'Données projet'!$A$36,$K$205^A47,IF(A47='Données projet'!$A$36,'Données projet'!$B$36,N46+M47-V46)))</f>
        <v>661.1999999999997</v>
      </c>
      <c r="O47" s="14">
        <f>N47*VLOOKUP('Données projet'!$B$9,Paramètres!$A$1:$I$89,3,0)*VLOOKUP('Données projet'!$B$9,Paramètres!$A$1:$I$89,5,0)</f>
        <v>369.61079999999981</v>
      </c>
      <c r="P47" s="14">
        <f t="shared" si="33"/>
        <v>85.587677206936931</v>
      </c>
      <c r="Q47" s="22">
        <f t="shared" si="53"/>
        <v>792.80401446874805</v>
      </c>
      <c r="R47" s="62">
        <f t="shared" si="0"/>
        <v>1086.1373478020814</v>
      </c>
      <c r="S47" s="62">
        <f ca="1">AVERAGE(OFFSET($R$3,0,0,'Données projet'!$E$9+1,1))-AVERAGE(OFFSET($H$3,0,0,'Données projet'!$E$9+1,1))</f>
        <v>460.30566673085474</v>
      </c>
      <c r="T47" s="62">
        <f t="shared" si="34"/>
        <v>569.42599742280231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8.3455433949022044</v>
      </c>
      <c r="AA47" s="23">
        <f>EXP(-LN(2)/25)*AA46+(1-EXP(-LN(2)/25))/(LN(2)/25)*Calculateur!V47*Calculateur!X47*VLOOKUP('Données projet'!$B$9,Paramètres!$A$1:$I$89,3,0)*0.475*44/12</f>
        <v>36.24328625709483</v>
      </c>
      <c r="AB47" s="23">
        <f>EXP(-LN(2)/2)*AB46+(1-EXP(-LN(2)/2))/(LN(2)/2)*V47*Y47*VLOOKUP('Données projet'!$B$9,Paramètres!$A$1:$I$89,3,0)*0.475*44/12</f>
        <v>3.322200651323692E-3</v>
      </c>
      <c r="AC47" s="24">
        <f t="shared" si="3"/>
        <v>44.592151852648357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40.716000000000044</v>
      </c>
      <c r="D48" s="12">
        <f t="shared" si="32"/>
        <v>12.188226385475186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408.38350192296667</v>
      </c>
      <c r="H48" s="70">
        <f t="shared" si="1"/>
        <v>385.47486095470265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686</v>
      </c>
      <c r="L48" s="13">
        <f>VLOOKUP(A48,'Données projet'!$A$35:$I$55,9,0)</f>
        <v>24.8</v>
      </c>
      <c r="M48" s="13">
        <f t="array" ref="M48">INDEX(L:L,MIN(IF(ISNUMBER(L48:L244),ROW(L48:L244),"")))</f>
        <v>24.8</v>
      </c>
      <c r="N48" s="14">
        <f>IF('Données projet'!$A$36&gt;35,N47+M48-V47,IF(A48&lt;'Données projet'!$A$36,$K$205^A48,IF(A48='Données projet'!$A$36,'Données projet'!$B$36,N47+M48-V47)))</f>
        <v>685.99999999999966</v>
      </c>
      <c r="O48" s="14">
        <f>N48*VLOOKUP('Données projet'!$B$9,Paramètres!$A$1:$I$89,3,0)*VLOOKUP('Données projet'!$B$9,Paramètres!$A$1:$I$89,5,0)</f>
        <v>383.47399999999982</v>
      </c>
      <c r="P48" s="14">
        <f t="shared" si="33"/>
        <v>88.418089567872116</v>
      </c>
      <c r="Q48" s="22">
        <f t="shared" si="53"/>
        <v>821.87872266404372</v>
      </c>
      <c r="R48" s="62">
        <f t="shared" si="0"/>
        <v>1115.2120559973771</v>
      </c>
      <c r="S48" s="62">
        <f ca="1">AVERAGE(OFFSET($R$3,0,0,'Données projet'!$E$9+1,1))-AVERAGE(OFFSET($H$3,0,0,'Données projet'!$E$9+1,1))</f>
        <v>460.30566673085474</v>
      </c>
      <c r="T48" s="62">
        <f t="shared" si="34"/>
        <v>569.42599742280231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64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8.1818923792070191</v>
      </c>
      <c r="AA48" s="23">
        <f>EXP(-LN(2)/25)*AA47+(1-EXP(-LN(2)/25))/(LN(2)/25)*Calculateur!V48*Calculateur!X48*VLOOKUP('Données projet'!$B$9,Paramètres!$A$1:$I$89,3,0)*0.475*44/12</f>
        <v>35.252211688442983</v>
      </c>
      <c r="AB48" s="23">
        <f>EXP(-LN(2)/2)*AB47+(1-EXP(-LN(2)/2))/(LN(2)/2)*V48*Y48*VLOOKUP('Données projet'!$B$9,Paramètres!$A$1:$I$89,3,0)*0.475*44/12</f>
        <v>2.3491506090133475E-3</v>
      </c>
      <c r="AC48" s="24">
        <f t="shared" si="3"/>
        <v>43.436453218259018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41.620800000000045</v>
      </c>
      <c r="D49" s="12">
        <f t="shared" si="32"/>
        <v>12.427241987862402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417.21295569578029</v>
      </c>
      <c r="H49" s="70">
        <f t="shared" si="1"/>
        <v>387.46700646219375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IF('Données projet'!$A$36&gt;35,N48+M49-V48,IF(A49&lt;'Données projet'!$A$36,$K$205^A49,IF(A49='Données projet'!$A$36,'Données projet'!$B$36,N48+M49-V48)))</f>
        <v>642.39999999999964</v>
      </c>
      <c r="O49" s="14">
        <f>N49*VLOOKUP('Données projet'!$B$9,Paramètres!$A$1:$I$89,3,0)*VLOOKUP('Données projet'!$B$9,Paramètres!$A$1:$I$89,5,0)</f>
        <v>359.10159999999985</v>
      </c>
      <c r="P49" s="14">
        <f t="shared" si="33"/>
        <v>83.433815871723468</v>
      </c>
      <c r="Q49" s="22">
        <f t="shared" si="53"/>
        <v>770.74918264325152</v>
      </c>
      <c r="R49" s="62">
        <f t="shared" si="0"/>
        <v>1064.0825159765848</v>
      </c>
      <c r="S49" s="62">
        <f ca="1">AVERAGE(OFFSET($R$3,0,0,'Données projet'!$E$9+1,1))-AVERAGE(OFFSET($H$3,0,0,'Données projet'!$E$9+1,1))</f>
        <v>460.30566673085474</v>
      </c>
      <c r="T49" s="62">
        <f t="shared" si="34"/>
        <v>569.42599742280231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8.0214504601123533</v>
      </c>
      <c r="AA49" s="23">
        <f>EXP(-LN(2)/25)*AA48+(1-EXP(-LN(2)/25))/(LN(2)/25)*Calculateur!V49*Calculateur!X49*VLOOKUP('Données projet'!$B$9,Paramètres!$A$1:$I$89,3,0)*0.475*44/12</f>
        <v>34.288238105989265</v>
      </c>
      <c r="AB49" s="23">
        <f>EXP(-LN(2)/2)*AB48+(1-EXP(-LN(2)/2))/(LN(2)/2)*V49*Y49*VLOOKUP('Données projet'!$B$9,Paramètres!$A$1:$I$89,3,0)*0.475*44/12</f>
        <v>1.661100325661846E-3</v>
      </c>
      <c r="AC49" s="24">
        <f t="shared" si="3"/>
        <v>42.311349666427283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42.525600000000047</v>
      </c>
      <c r="D50" s="12">
        <f t="shared" si="32"/>
        <v>12.665653491137942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426.03774624738094</v>
      </c>
      <c r="H50" s="70">
        <f t="shared" si="1"/>
        <v>389.45809983039862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IF('Données projet'!$A$36&gt;35,N49+M50-V49,IF(A50&lt;'Données projet'!$A$36,$K$205^A50,IF(A50='Données projet'!$A$36,'Données projet'!$B$36,N49+M50-V49)))</f>
        <v>662.79999999999961</v>
      </c>
      <c r="O50" s="14">
        <f>N50*VLOOKUP('Données projet'!$B$9,Paramètres!$A$1:$I$89,3,0)*VLOOKUP('Données projet'!$B$9,Paramètres!$A$1:$I$89,5,0)</f>
        <v>370.50519999999983</v>
      </c>
      <c r="P50" s="14">
        <f t="shared" si="33"/>
        <v>85.770652719303072</v>
      </c>
      <c r="Q50" s="22">
        <f t="shared" si="53"/>
        <v>794.6804434861192</v>
      </c>
      <c r="R50" s="62">
        <f t="shared" si="0"/>
        <v>1088.0137768194525</v>
      </c>
      <c r="S50" s="62">
        <f ca="1">AVERAGE(OFFSET($R$3,0,0,'Données projet'!$E$9+1,1))-AVERAGE(OFFSET($H$3,0,0,'Données projet'!$E$9+1,1))</f>
        <v>460.30566673085474</v>
      </c>
      <c r="T50" s="62">
        <f t="shared" si="34"/>
        <v>569.42599742280231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7.8641547091912267</v>
      </c>
      <c r="AA50" s="23">
        <f>EXP(-LN(2)/25)*AA49+(1-EXP(-LN(2)/25))/(LN(2)/25)*Calculateur!V50*Calculateur!X50*VLOOKUP('Données projet'!$B$9,Paramètres!$A$1:$I$89,3,0)*0.475*44/12</f>
        <v>33.350624431840913</v>
      </c>
      <c r="AB50" s="23">
        <f>EXP(-LN(2)/2)*AB49+(1-EXP(-LN(2)/2))/(LN(2)/2)*V50*Y50*VLOOKUP('Données projet'!$B$9,Paramètres!$A$1:$I$89,3,0)*0.475*44/12</f>
        <v>1.1745753045066738E-3</v>
      </c>
      <c r="AC50" s="24">
        <f t="shared" si="3"/>
        <v>41.215953716336642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43.430400000000049</v>
      </c>
      <c r="D51" s="12">
        <f t="shared" si="32"/>
        <v>12.903475229013631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434.85798422396527</v>
      </c>
      <c r="H51" s="70">
        <f t="shared" si="1"/>
        <v>391.44816602386544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IF('Données projet'!$A$36&gt;35,N50+M51-V50,IF(A51&lt;'Données projet'!$A$36,$K$205^A51,IF(A51='Données projet'!$A$36,'Données projet'!$B$36,N50+M51-V50)))</f>
        <v>683.19999999999959</v>
      </c>
      <c r="O51" s="14">
        <f>N51*VLOOKUP('Données projet'!$B$9,Paramètres!$A$1:$I$89,3,0)*VLOOKUP('Données projet'!$B$9,Paramètres!$A$1:$I$89,5,0)</f>
        <v>381.90879999999981</v>
      </c>
      <c r="P51" s="14">
        <f t="shared" si="33"/>
        <v>88.099131154986978</v>
      </c>
      <c r="Q51" s="22">
        <f t="shared" si="53"/>
        <v>818.59714676160195</v>
      </c>
      <c r="R51" s="62">
        <f t="shared" si="0"/>
        <v>1111.9304800949353</v>
      </c>
      <c r="S51" s="62">
        <f ca="1">AVERAGE(OFFSET($R$3,0,0,'Données projet'!$E$9+1,1))-AVERAGE(OFFSET($H$3,0,0,'Données projet'!$E$9+1,1))</f>
        <v>460.30566673085474</v>
      </c>
      <c r="T51" s="62">
        <f t="shared" si="34"/>
        <v>569.42599742280231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7.7099434320047289</v>
      </c>
      <c r="AA51" s="23">
        <f>EXP(-LN(2)/25)*AA50+(1-EXP(-LN(2)/25))/(LN(2)/25)*Calculateur!V51*Calculateur!X51*VLOOKUP('Données projet'!$B$9,Paramètres!$A$1:$I$89,3,0)*0.475*44/12</f>
        <v>32.438649852919106</v>
      </c>
      <c r="AB51" s="23">
        <f>EXP(-LN(2)/2)*AB50+(1-EXP(-LN(2)/2))/(LN(2)/2)*V51*Y51*VLOOKUP('Données projet'!$B$9,Paramètres!$A$1:$I$89,3,0)*0.475*44/12</f>
        <v>8.30550162830923E-4</v>
      </c>
      <c r="AC51" s="24">
        <f t="shared" si="3"/>
        <v>40.149423835086665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44.33520000000005</v>
      </c>
      <c r="D52" s="12">
        <f t="shared" si="32"/>
        <v>13.140720903832619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443.67377539800663</v>
      </c>
      <c r="H52" s="70">
        <f t="shared" si="1"/>
        <v>393.43722890750854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IF('Données projet'!$A$36&gt;35,N51+M52-V51,IF(A52&lt;'Données projet'!$A$36,$K$205^A52,IF(A52='Données projet'!$A$36,'Données projet'!$B$36,N51+M52-V51)))</f>
        <v>703.59999999999957</v>
      </c>
      <c r="O52" s="14">
        <f>N52*VLOOKUP('Données projet'!$B$9,Paramètres!$A$1:$I$89,3,0)*VLOOKUP('Données projet'!$B$9,Paramètres!$A$1:$I$89,5,0)</f>
        <v>393.3123999999998</v>
      </c>
      <c r="P52" s="14">
        <f t="shared" si="33"/>
        <v>90.419529407700907</v>
      </c>
      <c r="Q52" s="22">
        <f t="shared" si="53"/>
        <v>842.49977705174535</v>
      </c>
      <c r="R52" s="62">
        <f t="shared" si="0"/>
        <v>1135.8331103850787</v>
      </c>
      <c r="S52" s="62">
        <f ca="1">AVERAGE(OFFSET($R$3,0,0,'Données projet'!$E$9+1,1))-AVERAGE(OFFSET($H$3,0,0,'Données projet'!$E$9+1,1))</f>
        <v>460.30566673085474</v>
      </c>
      <c r="T52" s="62">
        <f t="shared" si="34"/>
        <v>569.42599742280231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7.5587561439042661</v>
      </c>
      <c r="AA52" s="23">
        <f>EXP(-LN(2)/25)*AA51+(1-EXP(-LN(2)/25))/(LN(2)/25)*Calculateur!V52*Calculateur!X52*VLOOKUP('Données projet'!$B$9,Paramètres!$A$1:$I$89,3,0)*0.475*44/12</f>
        <v>31.551613266816577</v>
      </c>
      <c r="AB52" s="23">
        <f>EXP(-LN(2)/2)*AB51+(1-EXP(-LN(2)/2))/(LN(2)/2)*V52*Y52*VLOOKUP('Données projet'!$B$9,Paramètres!$A$1:$I$89,3,0)*0.475*44/12</f>
        <v>5.8728765225333688E-4</v>
      </c>
      <c r="AC52" s="24">
        <f t="shared" si="3"/>
        <v>39.110956698373094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45.240000000000052</v>
      </c>
      <c r="D53" s="12">
        <f t="shared" si="32"/>
        <v>13.377403626687917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452.48522097794222</v>
      </c>
      <c r="H53" s="70">
        <f t="shared" si="1"/>
        <v>395.4253113164815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724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IF('Données projet'!$A$36&gt;35,N52+M53-V52,IF(A53&lt;'Données projet'!$A$36,$K$205^A53,IF(A53='Données projet'!$A$36,'Données projet'!$B$36,N52+M53-V52)))</f>
        <v>723.99999999999955</v>
      </c>
      <c r="O53" s="14">
        <f>N53*VLOOKUP('Données projet'!$B$9,Paramètres!$A$1:$I$89,3,0)*VLOOKUP('Données projet'!$B$9,Paramètres!$A$1:$I$89,5,0)</f>
        <v>404.71599999999978</v>
      </c>
      <c r="P53" s="14">
        <f t="shared" si="33"/>
        <v>92.732108655131142</v>
      </c>
      <c r="Q53" s="22">
        <f t="shared" si="53"/>
        <v>866.38878924101971</v>
      </c>
      <c r="R53" s="62">
        <f t="shared" si="0"/>
        <v>1159.7221225743531</v>
      </c>
      <c r="S53" s="62">
        <f ca="1">AVERAGE(OFFSET($R$3,0,0,'Données projet'!$E$9+1,1))-AVERAGE(OFFSET($H$3,0,0,'Données projet'!$E$9+1,1))</f>
        <v>460.30566673085474</v>
      </c>
      <c r="T53" s="62">
        <f t="shared" si="34"/>
        <v>569.42599742280231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62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7.4105335463083133</v>
      </c>
      <c r="AA53" s="23">
        <f>EXP(-LN(2)/25)*AA52+(1-EXP(-LN(2)/25))/(LN(2)/25)*Calculateur!V53*Calculateur!X53*VLOOKUP('Données projet'!$B$9,Paramètres!$A$1:$I$89,3,0)*0.475*44/12</f>
        <v>30.688832742808248</v>
      </c>
      <c r="AB53" s="23">
        <f>EXP(-LN(2)/2)*AB52+(1-EXP(-LN(2)/2))/(LN(2)/2)*V53*Y53*VLOOKUP('Données projet'!$B$9,Paramètres!$A$1:$I$89,3,0)*0.475*44/12</f>
        <v>4.152750814154615E-4</v>
      </c>
      <c r="AC53" s="24">
        <f t="shared" si="3"/>
        <v>38.099781564197976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46.144800000000053</v>
      </c>
      <c r="D54" s="12">
        <f t="shared" si="32"/>
        <v>13.613535954240819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461.29241789238569</v>
      </c>
      <c r="H54" s="70">
        <f t="shared" si="1"/>
        <v>397.4124351203028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15.4</v>
      </c>
      <c r="N54" s="14">
        <f>IF('Données projet'!$A$36&gt;35,N53+M54-V53,IF(A54&lt;'Données projet'!$A$36,$K$205^A54,IF(A54='Données projet'!$A$36,'Données projet'!$B$36,N53+M54-V53)))</f>
        <v>677.39999999999952</v>
      </c>
      <c r="O54" s="14">
        <f>N54*VLOOKUP('Données projet'!$B$9,Paramètres!$A$1:$I$89,3,0)*VLOOKUP('Données projet'!$B$9,Paramètres!$A$1:$I$89,5,0)</f>
        <v>378.66659999999979</v>
      </c>
      <c r="P54" s="14">
        <f t="shared" si="33"/>
        <v>87.437946637883755</v>
      </c>
      <c r="Q54" s="22">
        <f t="shared" si="53"/>
        <v>811.79875206098052</v>
      </c>
      <c r="R54" s="62">
        <f t="shared" si="0"/>
        <v>1105.1320853943139</v>
      </c>
      <c r="S54" s="62">
        <f ca="1">AVERAGE(OFFSET($R$3,0,0,'Données projet'!$E$9+1,1))-AVERAGE(OFFSET($H$3,0,0,'Données projet'!$E$9+1,1))</f>
        <v>460.30566673085474</v>
      </c>
      <c r="T54" s="62">
        <f t="shared" si="34"/>
        <v>569.42599742280231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7.2652175034443598</v>
      </c>
      <c r="AA54" s="23">
        <f>EXP(-LN(2)/25)*AA53+(1-EXP(-LN(2)/25))/(LN(2)/25)*Calculateur!V54*Calculateur!X54*VLOOKUP('Données projet'!$B$9,Paramètres!$A$1:$I$89,3,0)*0.475*44/12</f>
        <v>29.849644997600585</v>
      </c>
      <c r="AB54" s="23">
        <f>EXP(-LN(2)/2)*AB53+(1-EXP(-LN(2)/2))/(LN(2)/2)*V54*Y54*VLOOKUP('Données projet'!$B$9,Paramètres!$A$1:$I$89,3,0)*0.475*44/12</f>
        <v>2.9364382612666844E-4</v>
      </c>
      <c r="AC54" s="24">
        <f t="shared" si="3"/>
        <v>37.115156144871072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47.049600000000055</v>
      </c>
      <c r="D55" s="12">
        <f t="shared" si="32"/>
        <v>13.849129922569954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470.09545905141772</v>
      </c>
      <c r="H55" s="70">
        <f t="shared" si="1"/>
        <v>399.39862128180943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15.4</v>
      </c>
      <c r="N55" s="14">
        <f>IF('Données projet'!$A$36&gt;35,N54+M55-V54,IF(A55&lt;'Données projet'!$A$36,$K$205^A55,IF(A55='Données projet'!$A$36,'Données projet'!$B$36,N54+M55-V54)))</f>
        <v>692.7999999999995</v>
      </c>
      <c r="O55" s="14">
        <f>N55*VLOOKUP('Données projet'!$B$9,Paramètres!$A$1:$I$89,3,0)*VLOOKUP('Données projet'!$B$9,Paramètres!$A$1:$I$89,5,0)</f>
        <v>387.2751999999997</v>
      </c>
      <c r="P55" s="14">
        <f t="shared" si="33"/>
        <v>89.192073473767834</v>
      </c>
      <c r="Q55" s="22">
        <f t="shared" si="53"/>
        <v>829.84716796681175</v>
      </c>
      <c r="R55" s="62">
        <f t="shared" si="0"/>
        <v>1123.1805013001451</v>
      </c>
      <c r="S55" s="62">
        <f ca="1">AVERAGE(OFFSET($R$3,0,0,'Données projet'!$E$9+1,1))-AVERAGE(OFFSET($H$3,0,0,'Données projet'!$E$9+1,1))</f>
        <v>460.30566673085474</v>
      </c>
      <c r="T55" s="62">
        <f t="shared" si="34"/>
        <v>569.42599742280231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7.1227510195469339</v>
      </c>
      <c r="AA55" s="23">
        <f>EXP(-LN(2)/25)*AA54+(1-EXP(-LN(2)/25))/(LN(2)/25)*Calculateur!V55*Calculateur!X55*VLOOKUP('Données projet'!$B$9,Paramètres!$A$1:$I$89,3,0)*0.475*44/12</f>
        <v>29.033404885416587</v>
      </c>
      <c r="AB55" s="23">
        <f>EXP(-LN(2)/2)*AB54+(1-EXP(-LN(2)/2))/(LN(2)/2)*V55*Y55*VLOOKUP('Données projet'!$B$9,Paramètres!$A$1:$I$89,3,0)*0.475*44/12</f>
        <v>2.0763754070773075E-4</v>
      </c>
      <c r="AC55" s="24">
        <f t="shared" si="3"/>
        <v>36.156363542504224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47.954400000000057</v>
      </c>
      <c r="D56" s="12">
        <f t="shared" si="32"/>
        <v>14.08419707834301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478.89443358720968</v>
      </c>
      <c r="H56" s="70">
        <f t="shared" si="1"/>
        <v>401.38388991144751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15.4</v>
      </c>
      <c r="N56" s="14">
        <f>IF('Données projet'!$A$36&gt;35,N55+M56-V55,IF(A56&lt;'Données projet'!$A$36,$K$205^A56,IF(A56='Données projet'!$A$36,'Données projet'!$B$36,N55+M56-V55)))</f>
        <v>708.19999999999948</v>
      </c>
      <c r="O56" s="14">
        <f>N56*VLOOKUP('Données projet'!$B$9,Paramètres!$A$1:$I$89,3,0)*VLOOKUP('Données projet'!$B$9,Paramètres!$A$1:$I$89,5,0)</f>
        <v>395.88379999999972</v>
      </c>
      <c r="P56" s="14">
        <f t="shared" si="33"/>
        <v>90.941667130422957</v>
      </c>
      <c r="Q56" s="22">
        <f t="shared" si="53"/>
        <v>847.8876885854861</v>
      </c>
      <c r="R56" s="62">
        <f t="shared" si="0"/>
        <v>1141.2210219188194</v>
      </c>
      <c r="S56" s="62">
        <f ca="1">AVERAGE(OFFSET($R$3,0,0,'Données projet'!$E$9+1,1))-AVERAGE(OFFSET($H$3,0,0,'Données projet'!$E$9+1,1))</f>
        <v>460.30566673085474</v>
      </c>
      <c r="T56" s="62">
        <f t="shared" si="34"/>
        <v>569.42599742280231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6.9830782165027614</v>
      </c>
      <c r="AA56" s="23">
        <f>EXP(-LN(2)/25)*AA55+(1-EXP(-LN(2)/25))/(LN(2)/25)*Calculateur!V56*Calculateur!X56*VLOOKUP('Données projet'!$B$9,Paramètres!$A$1:$I$89,3,0)*0.475*44/12</f>
        <v>28.239484902024465</v>
      </c>
      <c r="AB56" s="23">
        <f>EXP(-LN(2)/2)*AB55+(1-EXP(-LN(2)/2))/(LN(2)/2)*V56*Y56*VLOOKUP('Données projet'!$B$9,Paramètres!$A$1:$I$89,3,0)*0.475*44/12</f>
        <v>1.4682191306333422E-4</v>
      </c>
      <c r="AC56" s="24">
        <f t="shared" si="3"/>
        <v>35.222709940440289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48.859200000000058</v>
      </c>
      <c r="D57" s="12">
        <f t="shared" si="32"/>
        <v>14.318748507569328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487.68942707597421</v>
      </c>
      <c r="H57" s="70">
        <f t="shared" si="1"/>
        <v>403.36826031735001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15.4</v>
      </c>
      <c r="N57" s="14">
        <f>IF('Données projet'!$A$36&gt;35,N56+M57-V56,IF(A57&lt;'Données projet'!$A$36,$K$205^A57,IF(A57='Données projet'!$A$36,'Données projet'!$B$36,N56+M57-V56)))</f>
        <v>723.59999999999945</v>
      </c>
      <c r="O57" s="14">
        <f>N57*VLOOKUP('Données projet'!$B$9,Paramètres!$A$1:$I$89,3,0)*VLOOKUP('Données projet'!$B$9,Paramètres!$A$1:$I$89,5,0)</f>
        <v>404.49239999999969</v>
      </c>
      <c r="P57" s="14">
        <f t="shared" si="33"/>
        <v>92.686837535548761</v>
      </c>
      <c r="Q57" s="22">
        <f t="shared" si="53"/>
        <v>865.92050537441344</v>
      </c>
      <c r="R57" s="62">
        <f t="shared" si="0"/>
        <v>1159.2538387077468</v>
      </c>
      <c r="S57" s="62">
        <f ca="1">AVERAGE(OFFSET($R$3,0,0,'Données projet'!$E$9+1,1))-AVERAGE(OFFSET($H$3,0,0,'Données projet'!$E$9+1,1))</f>
        <v>460.30566673085474</v>
      </c>
      <c r="T57" s="62">
        <f t="shared" si="34"/>
        <v>569.42599742280231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6.846144311934288</v>
      </c>
      <c r="AA57" s="23">
        <f>EXP(-LN(2)/25)*AA56+(1-EXP(-LN(2)/25))/(LN(2)/25)*Calculateur!V57*Calculateur!X57*VLOOKUP('Données projet'!$B$9,Paramètres!$A$1:$I$89,3,0)*0.475*44/12</f>
        <v>27.467274702328638</v>
      </c>
      <c r="AB57" s="23">
        <f>EXP(-LN(2)/2)*AB56+(1-EXP(-LN(2)/2))/(LN(2)/2)*V57*Y57*VLOOKUP('Données projet'!$B$9,Paramètres!$A$1:$I$89,3,0)*0.475*44/12</f>
        <v>1.0381877035386538E-4</v>
      </c>
      <c r="AC57" s="24">
        <f t="shared" si="3"/>
        <v>34.313522833033282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49.76400000000006</v>
      </c>
      <c r="D58" s="12">
        <f t="shared" si="32"/>
        <v>14.552794862162447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496.48052174300886</v>
      </c>
      <c r="H58" s="70">
        <f t="shared" si="1"/>
        <v>405.35175105159971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739</v>
      </c>
      <c r="L58" s="13">
        <f>VLOOKUP(A58,'Données projet'!$A$35:$I$55,9,0)</f>
        <v>15.4</v>
      </c>
      <c r="M58" s="13">
        <f t="array" ref="M58">INDEX(L:L,MIN(IF(ISNUMBER(L58:L254),ROW(L58:L254),"")))</f>
        <v>15.4</v>
      </c>
      <c r="N58" s="14">
        <f>IF('Données projet'!$A$36&gt;35,N57+M58-V57,IF(A58&lt;'Données projet'!$A$36,$K$205^A58,IF(A58='Données projet'!$A$36,'Données projet'!$B$36,N57+M58-V57)))</f>
        <v>738.99999999999943</v>
      </c>
      <c r="O58" s="14">
        <f>N58*VLOOKUP('Données projet'!$B$9,Paramètres!$A$1:$I$89,3,0)*VLOOKUP('Données projet'!$B$9,Paramètres!$A$1:$I$89,5,0)</f>
        <v>413.10099999999971</v>
      </c>
      <c r="P58" s="14">
        <f t="shared" si="33"/>
        <v>94.427689670462271</v>
      </c>
      <c r="Q58" s="22">
        <f t="shared" si="53"/>
        <v>883.94580117605472</v>
      </c>
      <c r="R58" s="62">
        <f t="shared" si="0"/>
        <v>1177.2791345093881</v>
      </c>
      <c r="S58" s="62">
        <f ca="1">AVERAGE(OFFSET($R$3,0,0,'Données projet'!$E$9+1,1))-AVERAGE(OFFSET($H$3,0,0,'Données projet'!$E$9+1,1))</f>
        <v>460.30566673085474</v>
      </c>
      <c r="T58" s="62">
        <f t="shared" si="34"/>
        <v>569.42599742280231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46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6.7118955977129673</v>
      </c>
      <c r="AA58" s="23">
        <f>EXP(-LN(2)/25)*AA57+(1-EXP(-LN(2)/25))/(LN(2)/25)*Calculateur!V58*Calculateur!X58*VLOOKUP('Données projet'!$B$9,Paramètres!$A$1:$I$89,3,0)*0.475*44/12</f>
        <v>26.716180631152262</v>
      </c>
      <c r="AB58" s="23">
        <f>EXP(-LN(2)/2)*AB57+(1-EXP(-LN(2)/2))/(LN(2)/2)*V58*Y58*VLOOKUP('Données projet'!$B$9,Paramètres!$A$1:$I$89,3,0)*0.475*44/12</f>
        <v>7.3410956531667109E-5</v>
      </c>
      <c r="AC58" s="24">
        <f t="shared" si="3"/>
        <v>33.428149639821761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59" s="12">
        <f t="shared" si="32"/>
        <v>14.786346384516133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505.26779665240582</v>
      </c>
      <c r="H59" s="70">
        <f t="shared" si="1"/>
        <v>407.33437995303234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12.2</v>
      </c>
      <c r="N59" s="14">
        <f>IF('Données projet'!$A$36&gt;35,N58+M59-V58,IF(A59&lt;'Données projet'!$A$36,$K$205^A59,IF(A59='Données projet'!$A$36,'Données projet'!$B$36,N58+M59-V58)))</f>
        <v>705.19999999999948</v>
      </c>
      <c r="O59" s="14">
        <f>N59*VLOOKUP('Données projet'!$B$9,Paramètres!$A$1:$I$89,3,0)*VLOOKUP('Données projet'!$B$9,Paramètres!$A$1:$I$89,5,0)</f>
        <v>394.2067999999997</v>
      </c>
      <c r="P59" s="14">
        <f t="shared" si="33"/>
        <v>90.601187466199292</v>
      </c>
      <c r="Q59" s="22">
        <f t="shared" si="53"/>
        <v>844.37391150362998</v>
      </c>
      <c r="R59" s="62">
        <f t="shared" si="0"/>
        <v>1137.7072448369634</v>
      </c>
      <c r="S59" s="62">
        <f ca="1">AVERAGE(OFFSET($R$3,0,0,'Données projet'!$E$9+1,1))-AVERAGE(OFFSET($H$3,0,0,'Données projet'!$E$9+1,1))</f>
        <v>460.30566673085474</v>
      </c>
      <c r="T59" s="62">
        <f t="shared" si="34"/>
        <v>569.42599742280231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6.5802794188938964</v>
      </c>
      <c r="AA59" s="23">
        <f>EXP(-LN(2)/25)*AA58+(1-EXP(-LN(2)/25))/(LN(2)/25)*Calculateur!V59*Calculateur!X59*VLOOKUP('Données projet'!$B$9,Paramètres!$A$1:$I$89,3,0)*0.475*44/12</f>
        <v>25.985625266850526</v>
      </c>
      <c r="AB59" s="23">
        <f>EXP(-LN(2)/2)*AB58+(1-EXP(-LN(2)/2))/(LN(2)/2)*V59*Y59*VLOOKUP('Données projet'!$B$9,Paramètres!$A$1:$I$89,3,0)*0.475*44/12</f>
        <v>5.1909385176932688E-5</v>
      </c>
      <c r="AC59" s="24">
        <f t="shared" si="3"/>
        <v>32.565956595129599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51.573600000000063</v>
      </c>
      <c r="D60" s="12">
        <f t="shared" si="32"/>
        <v>15.019412930275337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514.05132788282754</v>
      </c>
      <c r="H60" s="70">
        <f t="shared" si="1"/>
        <v>409.31616418689629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12.2</v>
      </c>
      <c r="N60" s="14">
        <f>IF('Données projet'!$A$36&gt;35,N59+M60-V59,IF(A60&lt;'Données projet'!$A$36,$K$205^A60,IF(A60='Données projet'!$A$36,'Données projet'!$B$36,N59+M60-V59)))</f>
        <v>717.39999999999952</v>
      </c>
      <c r="O60" s="14">
        <f>N60*VLOOKUP('Données projet'!$B$9,Paramètres!$A$1:$I$89,3,0)*VLOOKUP('Données projet'!$B$9,Paramètres!$A$1:$I$89,5,0)</f>
        <v>401.02659999999975</v>
      </c>
      <c r="P60" s="14">
        <f t="shared" si="33"/>
        <v>91.984761558101539</v>
      </c>
      <c r="Q60" s="22">
        <f t="shared" si="53"/>
        <v>858.66145471369293</v>
      </c>
      <c r="R60" s="62">
        <f t="shared" si="0"/>
        <v>1151.9947880470263</v>
      </c>
      <c r="S60" s="62">
        <f ca="1">AVERAGE(OFFSET($R$3,0,0,'Données projet'!$E$9+1,1))-AVERAGE(OFFSET($H$3,0,0,'Données projet'!$E$9+1,1))</f>
        <v>460.30566673085474</v>
      </c>
      <c r="T60" s="62">
        <f t="shared" si="34"/>
        <v>569.42599742280231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6.4512441530635254</v>
      </c>
      <c r="AA60" s="23">
        <f>EXP(-LN(2)/25)*AA59+(1-EXP(-LN(2)/25))/(LN(2)/25)*Calculateur!V60*Calculateur!X60*VLOOKUP('Données projet'!$B$9,Paramètres!$A$1:$I$89,3,0)*0.475*44/12</f>
        <v>25.275046977403857</v>
      </c>
      <c r="AB60" s="23">
        <f>EXP(-LN(2)/2)*AB59+(1-EXP(-LN(2)/2))/(LN(2)/2)*V60*Y60*VLOOKUP('Données projet'!$B$9,Paramètres!$A$1:$I$89,3,0)*0.475*44/12</f>
        <v>3.6705478265833555E-5</v>
      </c>
      <c r="AC60" s="24">
        <f t="shared" si="3"/>
        <v>31.726327835945646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52.478400000000065</v>
      </c>
      <c r="D61" s="12">
        <f t="shared" si="32"/>
        <v>15.252003989463905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522.83118869059911</v>
      </c>
      <c r="H61" s="70">
        <f t="shared" si="1"/>
        <v>411.29712028164971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12.2</v>
      </c>
      <c r="N61" s="14">
        <f>IF('Données projet'!$A$36&gt;35,N60+M61-V60,IF(A61&lt;'Données projet'!$A$36,$K$205^A61,IF(A61='Données projet'!$A$36,'Données projet'!$B$36,N60+M61-V60)))</f>
        <v>729.59999999999957</v>
      </c>
      <c r="O61" s="14">
        <f>N61*VLOOKUP('Données projet'!$B$9,Paramètres!$A$1:$I$89,3,0)*VLOOKUP('Données projet'!$B$9,Paramètres!$A$1:$I$89,5,0)</f>
        <v>407.84639999999973</v>
      </c>
      <c r="P61" s="14">
        <f t="shared" si="33"/>
        <v>93.365599460181741</v>
      </c>
      <c r="Q61" s="22">
        <f t="shared" si="53"/>
        <v>872.94423239314926</v>
      </c>
      <c r="R61" s="62">
        <f t="shared" si="0"/>
        <v>1166.2775657264826</v>
      </c>
      <c r="S61" s="62">
        <f ca="1">AVERAGE(OFFSET($R$3,0,0,'Données projet'!$E$9+1,1))-AVERAGE(OFFSET($H$3,0,0,'Données projet'!$E$9+1,1))</f>
        <v>460.30566673085474</v>
      </c>
      <c r="T61" s="62">
        <f t="shared" si="34"/>
        <v>569.42599742280231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6.3247391900923464</v>
      </c>
      <c r="AA61" s="23">
        <f>EXP(-LN(2)/25)*AA60+(1-EXP(-LN(2)/25))/(LN(2)/25)*Calculateur!V61*Calculateur!X61*VLOOKUP('Données projet'!$B$9,Paramètres!$A$1:$I$89,3,0)*0.475*44/12</f>
        <v>24.583899488649795</v>
      </c>
      <c r="AB61" s="23">
        <f>EXP(-LN(2)/2)*AB60+(1-EXP(-LN(2)/2))/(LN(2)/2)*V61*Y61*VLOOKUP('Données projet'!$B$9,Paramètres!$A$1:$I$89,3,0)*0.475*44/12</f>
        <v>2.5954692588466344E-5</v>
      </c>
      <c r="AC61" s="24">
        <f t="shared" si="3"/>
        <v>30.908664633434732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53.383200000000066</v>
      </c>
      <c r="D62" s="12">
        <f t="shared" si="32"/>
        <v>15.484128706113962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531.60744966123104</v>
      </c>
      <c r="H62" s="70">
        <f t="shared" si="1"/>
        <v>413.27726416314857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12.2</v>
      </c>
      <c r="N62" s="14">
        <f>IF('Données projet'!$A$36&gt;35,N61+M62-V61,IF(A62&lt;'Données projet'!$A$36,$K$205^A62,IF(A62='Données projet'!$A$36,'Données projet'!$B$36,N61+M62-V61)))</f>
        <v>741.79999999999961</v>
      </c>
      <c r="O62" s="14">
        <f>N62*VLOOKUP('Données projet'!$B$9,Paramètres!$A$1:$I$89,3,0)*VLOOKUP('Données projet'!$B$9,Paramètres!$A$1:$I$89,5,0)</f>
        <v>414.66619999999978</v>
      </c>
      <c r="P62" s="14">
        <f t="shared" si="33"/>
        <v>94.743752206399009</v>
      </c>
      <c r="Q62" s="22">
        <f t="shared" si="53"/>
        <v>887.22233342614447</v>
      </c>
      <c r="R62" s="62">
        <f t="shared" si="0"/>
        <v>1180.5556667594778</v>
      </c>
      <c r="S62" s="62">
        <f ca="1">AVERAGE(OFFSET($R$3,0,0,'Données projet'!$E$9+1,1))-AVERAGE(OFFSET($H$3,0,0,'Données projet'!$E$9+1,1))</f>
        <v>460.30566673085474</v>
      </c>
      <c r="T62" s="62">
        <f t="shared" si="34"/>
        <v>569.42599742280231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6.2007149122846243</v>
      </c>
      <c r="AA62" s="23">
        <f>EXP(-LN(2)/25)*AA61+(1-EXP(-LN(2)/25))/(LN(2)/25)*Calculateur!V62*Calculateur!X62*VLOOKUP('Données projet'!$B$9,Paramètres!$A$1:$I$89,3,0)*0.475*44/12</f>
        <v>23.911651464321579</v>
      </c>
      <c r="AB62" s="23">
        <f>EXP(-LN(2)/2)*AB61+(1-EXP(-LN(2)/2))/(LN(2)/2)*V62*Y62*VLOOKUP('Données projet'!$B$9,Paramètres!$A$1:$I$89,3,0)*0.475*44/12</f>
        <v>1.8352739132916777E-5</v>
      </c>
      <c r="AC62" s="24">
        <f t="shared" si="3"/>
        <v>30.112384729345337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54.288000000000068</v>
      </c>
      <c r="D63" s="12">
        <f t="shared" si="32"/>
        <v>15.71579589652676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540.38017885038255</v>
      </c>
      <c r="H63" s="70">
        <f t="shared" si="1"/>
        <v>415.25661118645087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754</v>
      </c>
      <c r="L63" s="13">
        <f>VLOOKUP(A63,'Données projet'!$A$35:$I$55,9,0)</f>
        <v>12.2</v>
      </c>
      <c r="M63" s="13">
        <f t="array" ref="M63">INDEX(L:L,MIN(IF(ISNUMBER(L63:L259),ROW(L63:L259),"")))</f>
        <v>12.2</v>
      </c>
      <c r="N63" s="14">
        <f>IF('Données projet'!$A$36&gt;35,N62+M63-V62,IF(A63&lt;'Données projet'!$A$36,$K$205^A63,IF(A63='Données projet'!$A$36,'Données projet'!$B$36,N62+M63-V62)))</f>
        <v>753.99999999999966</v>
      </c>
      <c r="O63" s="14">
        <f>N63*VLOOKUP('Données projet'!$B$9,Paramètres!$A$1:$I$89,3,0)*VLOOKUP('Données projet'!$B$9,Paramètres!$A$1:$I$89,5,0)</f>
        <v>421.48599999999982</v>
      </c>
      <c r="P63" s="14">
        <f t="shared" si="33"/>
        <v>96.119269055816147</v>
      </c>
      <c r="Q63" s="22">
        <f t="shared" si="53"/>
        <v>901.49584360554616</v>
      </c>
      <c r="R63" s="62">
        <f t="shared" si="0"/>
        <v>1194.8291769388795</v>
      </c>
      <c r="S63" s="62">
        <f ca="1">AVERAGE(OFFSET($R$3,0,0,'Données projet'!$E$9+1,1))-AVERAGE(OFFSET($H$3,0,0,'Données projet'!$E$9+1,1))</f>
        <v>460.30566673085474</v>
      </c>
      <c r="T63" s="62">
        <f t="shared" si="34"/>
        <v>569.42599742280231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6.0791226749173717</v>
      </c>
      <c r="AA63" s="23">
        <f>EXP(-LN(2)/25)*AA62+(1-EXP(-LN(2)/25))/(LN(2)/25)*Calculateur!V63*Calculateur!X63*VLOOKUP('Données projet'!$B$9,Paramètres!$A$1:$I$89,3,0)*0.475*44/12</f>
        <v>23.257786097570605</v>
      </c>
      <c r="AB63" s="23">
        <f>EXP(-LN(2)/2)*AB62+(1-EXP(-LN(2)/2))/(LN(2)/2)*V63*Y63*VLOOKUP('Données projet'!$B$9,Paramètres!$A$1:$I$89,3,0)*0.475*44/12</f>
        <v>1.2977346294233172E-5</v>
      </c>
      <c r="AC63" s="24">
        <f t="shared" si="3"/>
        <v>29.336921749834271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55.192800000000069</v>
      </c>
      <c r="D64" s="12">
        <f t="shared" si="32"/>
        <v>15.947014066281694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549.14944191515747</v>
      </c>
      <c r="H64" s="70">
        <f t="shared" si="1"/>
        <v>417.23517616544069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10</v>
      </c>
      <c r="N64" s="14">
        <f>IF('Données projet'!$A$36&gt;35,N63+M64-V63,IF(A64&lt;'Données projet'!$A$36,$K$205^A64,IF(A64='Données projet'!$A$36,'Données projet'!$B$36,N63+M64-V63)))</f>
        <v>728.99999999999966</v>
      </c>
      <c r="O64" s="14">
        <f>N64*VLOOKUP('Données projet'!$B$9,Paramètres!$A$1:$I$89,3,0)*VLOOKUP('Données projet'!$B$9,Paramètres!$A$1:$I$89,5,0)</f>
        <v>407.51099999999985</v>
      </c>
      <c r="P64" s="14">
        <f t="shared" si="33"/>
        <v>93.297752590617137</v>
      </c>
      <c r="Q64" s="22">
        <f t="shared" si="53"/>
        <v>872.24191076199133</v>
      </c>
      <c r="R64" s="62">
        <f t="shared" si="0"/>
        <v>1165.5752440953247</v>
      </c>
      <c r="S64" s="62">
        <f ca="1">AVERAGE(OFFSET($R$3,0,0,'Données projet'!$E$9+1,1))-AVERAGE(OFFSET($H$3,0,0,'Données projet'!$E$9+1,1))</f>
        <v>460.30566673085474</v>
      </c>
      <c r="T64" s="62">
        <f t="shared" si="34"/>
        <v>569.42599742280231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5.9599147871609492</v>
      </c>
      <c r="AA64" s="23">
        <f>EXP(-LN(2)/25)*AA63+(1-EXP(-LN(2)/25))/(LN(2)/25)*Calculateur!V64*Calculateur!X64*VLOOKUP('Données projet'!$B$9,Paramètres!$A$1:$I$89,3,0)*0.475*44/12</f>
        <v>22.621800713658722</v>
      </c>
      <c r="AB64" s="23">
        <f>EXP(-LN(2)/2)*AB63+(1-EXP(-LN(2)/2))/(LN(2)/2)*V64*Y64*VLOOKUP('Données projet'!$B$9,Paramètres!$A$1:$I$89,3,0)*0.475*44/12</f>
        <v>9.1763695664583887E-6</v>
      </c>
      <c r="AC64" s="24">
        <f t="shared" si="3"/>
        <v>28.581724677189236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56.097600000000071</v>
      </c>
      <c r="D65" s="12">
        <f t="shared" si="32"/>
        <v>16.177791426098285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557.91530223654865</v>
      </c>
      <c r="H65" s="70">
        <f t="shared" si="1"/>
        <v>419.21297340045464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10</v>
      </c>
      <c r="N65" s="14">
        <f>IF('Données projet'!$A$36&gt;35,N64+M65-V64,IF(A65&lt;'Données projet'!$A$36,$K$205^A65,IF(A65='Données projet'!$A$36,'Données projet'!$B$36,N64+M65-V64)))</f>
        <v>738.99999999999966</v>
      </c>
      <c r="O65" s="14">
        <f>N65*VLOOKUP('Données projet'!$B$9,Paramètres!$A$1:$I$89,3,0)*VLOOKUP('Données projet'!$B$9,Paramètres!$A$1:$I$89,5,0)</f>
        <v>413.10099999999983</v>
      </c>
      <c r="P65" s="14">
        <f t="shared" si="33"/>
        <v>94.427689670462357</v>
      </c>
      <c r="Q65" s="22">
        <f t="shared" si="53"/>
        <v>883.94580117605494</v>
      </c>
      <c r="R65" s="62">
        <f t="shared" si="0"/>
        <v>1177.2791345093883</v>
      </c>
      <c r="S65" s="62">
        <f ca="1">AVERAGE(OFFSET($R$3,0,0,'Données projet'!$E$9+1,1))-AVERAGE(OFFSET($H$3,0,0,'Données projet'!$E$9+1,1))</f>
        <v>460.30566673085474</v>
      </c>
      <c r="T65" s="62">
        <f t="shared" si="34"/>
        <v>569.42599742280231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5.8430444933737977</v>
      </c>
      <c r="AA65" s="23">
        <f>EXP(-LN(2)/25)*AA64+(1-EXP(-LN(2)/25))/(LN(2)/25)*Calculateur!V65*Calculateur!X65*VLOOKUP('Données projet'!$B$9,Paramètres!$A$1:$I$89,3,0)*0.475*44/12</f>
        <v>22.003206383514929</v>
      </c>
      <c r="AB65" s="23">
        <f>EXP(-LN(2)/2)*AB64+(1-EXP(-LN(2)/2))/(LN(2)/2)*V65*Y65*VLOOKUP('Données projet'!$B$9,Paramètres!$A$1:$I$89,3,0)*0.475*44/12</f>
        <v>6.488673147116586E-6</v>
      </c>
      <c r="AC65" s="24">
        <f t="shared" si="3"/>
        <v>27.846257365561872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57.002400000000073</v>
      </c>
      <c r="D66" s="12">
        <f t="shared" si="32"/>
        <v>16.408135906645821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566.67782103375782</v>
      </c>
      <c r="H66" s="70">
        <f t="shared" si="1"/>
        <v>421.19001670407494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10</v>
      </c>
      <c r="N66" s="14">
        <f>IF('Données projet'!$A$36&gt;35,N65+M66-V65,IF(A66&lt;'Données projet'!$A$36,$K$205^A66,IF(A66='Données projet'!$A$36,'Données projet'!$B$36,N65+M66-V65)))</f>
        <v>748.99999999999966</v>
      </c>
      <c r="O66" s="14">
        <f>N66*VLOOKUP('Données projet'!$B$9,Paramètres!$A$1:$I$89,3,0)*VLOOKUP('Données projet'!$B$9,Paramètres!$A$1:$I$89,5,0)</f>
        <v>418.6909999999998</v>
      </c>
      <c r="P66" s="14">
        <f t="shared" si="33"/>
        <v>95.555848328260851</v>
      </c>
      <c r="Q66" s="22">
        <f t="shared" si="53"/>
        <v>895.64659417172061</v>
      </c>
      <c r="R66" s="62">
        <f t="shared" si="0"/>
        <v>1188.9799275050539</v>
      </c>
      <c r="S66" s="62">
        <f ca="1">AVERAGE(OFFSET($R$3,0,0,'Données projet'!$E$9+1,1))-AVERAGE(OFFSET($H$3,0,0,'Données projet'!$E$9+1,1))</f>
        <v>460.30566673085474</v>
      </c>
      <c r="T66" s="62">
        <f t="shared" si="34"/>
        <v>569.42599742280231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5.7284659547639718</v>
      </c>
      <c r="AA66" s="23">
        <f>EXP(-LN(2)/25)*AA65+(1-EXP(-LN(2)/25))/(LN(2)/25)*Calculateur!V66*Calculateur!X66*VLOOKUP('Données projet'!$B$9,Paramètres!$A$1:$I$89,3,0)*0.475*44/12</f>
        <v>21.401527547859377</v>
      </c>
      <c r="AB66" s="23">
        <f>EXP(-LN(2)/2)*AB65+(1-EXP(-LN(2)/2))/(LN(2)/2)*V66*Y66*VLOOKUP('Données projet'!$B$9,Paramètres!$A$1:$I$89,3,0)*0.475*44/12</f>
        <v>4.5881847832291943E-6</v>
      </c>
      <c r="AC66" s="24">
        <f t="shared" si="3"/>
        <v>27.129998090808133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57.907200000000074</v>
      </c>
      <c r="D67" s="12">
        <f t="shared" si="32"/>
        <v>16.638055172386014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575.43705747105059</v>
      </c>
      <c r="H67" s="70">
        <f t="shared" si="1"/>
        <v>423.16631942523907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10</v>
      </c>
      <c r="N67" s="14">
        <f>IF('Données projet'!$A$36&gt;35,N66+M67-V66,IF(A67&lt;'Données projet'!$A$36,$K$205^A67,IF(A67='Données projet'!$A$36,'Données projet'!$B$36,N66+M67-V66)))</f>
        <v>758.99999999999966</v>
      </c>
      <c r="O67" s="14">
        <f>N67*VLOOKUP('Données projet'!$B$9,Paramètres!$A$1:$I$89,3,0)*VLOOKUP('Données projet'!$B$9,Paramètres!$A$1:$I$89,5,0)</f>
        <v>424.28099999999978</v>
      </c>
      <c r="P67" s="14">
        <f t="shared" si="33"/>
        <v>96.682255052757768</v>
      </c>
      <c r="Q67" s="22">
        <f t="shared" ref="Q67:Q98" si="54">(O67+P67)*0.475*44/12</f>
        <v>907.34433588355262</v>
      </c>
      <c r="R67" s="62">
        <f t="shared" ref="R67:R130" si="55">Q67+(I67+J67)*44/12</f>
        <v>1200.677669216886</v>
      </c>
      <c r="S67" s="62">
        <f ca="1">AVERAGE(OFFSET($R$3,0,0,'Données projet'!$E$9+1,1))-AVERAGE(OFFSET($H$3,0,0,'Données projet'!$E$9+1,1))</f>
        <v>460.30566673085474</v>
      </c>
      <c r="T67" s="62">
        <f t="shared" si="34"/>
        <v>569.42599742280231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5.6161342314102773</v>
      </c>
      <c r="AA67" s="23">
        <f>EXP(-LN(2)/25)*AA66+(1-EXP(-LN(2)/25))/(LN(2)/25)*Calculateur!V67*Calculateur!X67*VLOOKUP('Données projet'!$B$9,Paramètres!$A$1:$I$89,3,0)*0.475*44/12</f>
        <v>20.816301651605741</v>
      </c>
      <c r="AB67" s="23">
        <f>EXP(-LN(2)/2)*AB66+(1-EXP(-LN(2)/2))/(LN(2)/2)*V67*Y67*VLOOKUP('Données projet'!$B$9,Paramètres!$A$1:$I$89,3,0)*0.475*44/12</f>
        <v>3.244336573558293E-6</v>
      </c>
      <c r="AC67" s="24">
        <f t="shared" si="3"/>
        <v>26.432439127352591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58.812000000000076</v>
      </c>
      <c r="D68" s="12">
        <f t="shared" si="32"/>
        <v>16.867556634526004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584.19306875774521</v>
      </c>
      <c r="H68" s="70">
        <f t="shared" ref="H68:H131" si="56">(B68+E68+F68)*44/12+(C68+D68)*0.475*44/12</f>
        <v>425.14189447179956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769</v>
      </c>
      <c r="L68" s="13">
        <f>VLOOKUP(A68,'Données projet'!$A$35:$I$55,9,0)</f>
        <v>10</v>
      </c>
      <c r="M68" s="13">
        <f t="array" ref="M68">INDEX(L:L,MIN(IF(ISNUMBER(L68:L264),ROW(L68:L264),"")))</f>
        <v>10</v>
      </c>
      <c r="N68" s="14">
        <f>IF('Données projet'!$A$36&gt;35,N67+M68-V67,IF(A68&lt;'Données projet'!$A$36,$K$205^A68,IF(A68='Données projet'!$A$36,'Données projet'!$B$36,N67+M68-V67)))</f>
        <v>768.99999999999966</v>
      </c>
      <c r="O68" s="14">
        <f>N68*VLOOKUP('Données projet'!$B$9,Paramètres!$A$1:$I$89,3,0)*VLOOKUP('Données projet'!$B$9,Paramètres!$A$1:$I$89,5,0)</f>
        <v>429.87099999999981</v>
      </c>
      <c r="P68" s="14">
        <f t="shared" si="33"/>
        <v>97.806935594587088</v>
      </c>
      <c r="Q68" s="22">
        <f t="shared" si="54"/>
        <v>919.03907116057201</v>
      </c>
      <c r="R68" s="62">
        <f t="shared" si="55"/>
        <v>1212.3724044939054</v>
      </c>
      <c r="S68" s="62">
        <f ca="1">AVERAGE(OFFSET($R$3,0,0,'Données projet'!$E$9+1,1))-AVERAGE(OFFSET($H$3,0,0,'Données projet'!$E$9+1,1))</f>
        <v>460.30566673085474</v>
      </c>
      <c r="T68" s="62">
        <f t="shared" si="34"/>
        <v>569.42599742280231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769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5.506005264635963</v>
      </c>
      <c r="AA68" s="23">
        <f>EXP(-LN(2)/25)*AA67+(1-EXP(-LN(2)/25))/(LN(2)/25)*Calculateur!V68*Calculateur!X68*VLOOKUP('Données projet'!$B$9,Paramètres!$A$1:$I$89,3,0)*0.475*44/12</f>
        <v>20.247078788260854</v>
      </c>
      <c r="AB68" s="23">
        <f>EXP(-LN(2)/2)*AB67+(1-EXP(-LN(2)/2))/(LN(2)/2)*V68*Y68*VLOOKUP('Données projet'!$B$9,Paramètres!$A$1:$I$89,3,0)*0.475*44/12</f>
        <v>2.2940923916145972E-6</v>
      </c>
      <c r="AC68" s="24">
        <f t="shared" ref="AC68:AC131" si="57">SUM(Z68:AB68)</f>
        <v>25.75308634698921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59.716800000000077</v>
      </c>
      <c r="D69" s="12">
        <f t="shared" ref="D69:D132" si="86">IFERROR(EXP(-1.0587+0.8836*LN(C69)+0.284),0)</f>
        <v>17.096647463151541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592.94591024187218</v>
      </c>
      <c r="H69" s="70">
        <f t="shared" si="56"/>
        <v>427.11675433165567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-3.4106051316484809E-13</v>
      </c>
      <c r="O69" s="14">
        <f>N69*VLOOKUP('Données projet'!$B$9,Paramètres!$A$1:$I$89,3,0)*VLOOKUP('Données projet'!$B$9,Paramètres!$A$1:$I$89,5,0)</f>
        <v>-1.9065282685915009E-13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460.30566673085474</v>
      </c>
      <c r="T69" s="62">
        <f t="shared" ref="T69:T132" si="88">$T$3</f>
        <v>569.42599742280231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5.3980358597280551</v>
      </c>
      <c r="AA69" s="23">
        <f>EXP(-LN(2)/25)*AA68+(1-EXP(-LN(2)/25))/(LN(2)/25)*Calculateur!V69*Calculateur!X69*VLOOKUP('Données projet'!$B$9,Paramètres!$A$1:$I$89,3,0)*0.475*44/12</f>
        <v>19.693421354048262</v>
      </c>
      <c r="AB69" s="23">
        <f>EXP(-LN(2)/2)*AB68+(1-EXP(-LN(2)/2))/(LN(2)/2)*V69*Y69*VLOOKUP('Données projet'!$B$9,Paramètres!$A$1:$I$89,3,0)*0.475*44/12</f>
        <v>1.6221682867791465E-6</v>
      </c>
      <c r="AC69" s="24">
        <f t="shared" si="57"/>
        <v>25.091458835944604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60.621600000000079</v>
      </c>
      <c r="D70" s="12">
        <f t="shared" si="86"/>
        <v>17.325334598604044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601.6956354979967</v>
      </c>
      <c r="H70" s="70">
        <f t="shared" si="56"/>
        <v>429.09091109256883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-3.4106051316484809E-13</v>
      </c>
      <c r="O70" s="14">
        <f>N70*VLOOKUP('Données projet'!$B$9,Paramètres!$A$1:$I$89,3,0)*VLOOKUP('Données projet'!$B$9,Paramètres!$A$1:$I$89,5,0)</f>
        <v>-1.9065282685915009E-13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460.30566673085474</v>
      </c>
      <c r="T70" s="62">
        <f t="shared" si="88"/>
        <v>569.42599742280231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5.2921836689955573</v>
      </c>
      <c r="AA70" s="23">
        <f>EXP(-LN(2)/25)*AA69+(1-EXP(-LN(2)/25))/(LN(2)/25)*Calculateur!V70*Calculateur!X70*VLOOKUP('Données projet'!$B$9,Paramètres!$A$1:$I$89,3,0)*0.475*44/12</f>
        <v>19.154903711489794</v>
      </c>
      <c r="AB70" s="23">
        <f>EXP(-LN(2)/2)*AB69+(1-EXP(-LN(2)/2))/(LN(2)/2)*V70*Y70*VLOOKUP('Données projet'!$B$9,Paramètres!$A$1:$I$89,3,0)*0.475*44/12</f>
        <v>1.1470461958072986E-6</v>
      </c>
      <c r="AC70" s="24">
        <f t="shared" si="57"/>
        <v>24.447088527531545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61.526400000000081</v>
      </c>
      <c r="D71" s="12">
        <f t="shared" si="86"/>
        <v>17.553624762159028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610.44229640964932</v>
      </c>
      <c r="H71" s="70">
        <f t="shared" si="56"/>
        <v>431.0643764607604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-3.4106051316484809E-13</v>
      </c>
      <c r="O71" s="14">
        <f>N71*VLOOKUP('Données projet'!$B$9,Paramètres!$A$1:$I$89,3,0)*VLOOKUP('Données projet'!$B$9,Paramètres!$A$1:$I$89,5,0)</f>
        <v>-1.9065282685915009E-13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460.30566673085474</v>
      </c>
      <c r="T71" s="62">
        <f t="shared" si="88"/>
        <v>569.42599742280231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5.1884071751598624</v>
      </c>
      <c r="AA71" s="23">
        <f>EXP(-LN(2)/25)*AA70+(1-EXP(-LN(2)/25))/(LN(2)/25)*Calculateur!V71*Calculateur!X71*VLOOKUP('Données projet'!$B$9,Paramètres!$A$1:$I$89,3,0)*0.475*44/12</f>
        <v>18.631111862186497</v>
      </c>
      <c r="AB71" s="23">
        <f>EXP(-LN(2)/2)*AB70+(1-EXP(-LN(2)/2))/(LN(2)/2)*V71*Y71*VLOOKUP('Données projet'!$B$9,Paramètres!$A$1:$I$89,3,0)*0.475*44/12</f>
        <v>8.1108414338957324E-7</v>
      </c>
      <c r="AC71" s="24">
        <f t="shared" si="57"/>
        <v>23.819519848430502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62.431200000000082</v>
      </c>
      <c r="D72" s="12">
        <f t="shared" si="86"/>
        <v>17.781524466058691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619.18594324676951</v>
      </c>
      <c r="H72" s="70">
        <f t="shared" si="56"/>
        <v>433.03716177838567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-3.4106051316484809E-13</v>
      </c>
      <c r="O72" s="14">
        <f>N72*VLOOKUP('Données projet'!$B$9,Paramètres!$A$1:$I$89,3,0)*VLOOKUP('Données projet'!$B$9,Paramètres!$A$1:$I$89,5,0)</f>
        <v>-1.9065282685915009E-13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460.30566673085474</v>
      </c>
      <c r="T72" s="62">
        <f t="shared" si="88"/>
        <v>569.42599742280231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5.0866656750708747</v>
      </c>
      <c r="AA72" s="23">
        <f>EXP(-LN(2)/25)*AA71+(1-EXP(-LN(2)/25))/(LN(2)/25)*Calculateur!V72*Calculateur!X72*VLOOKUP('Données projet'!$B$9,Paramètres!$A$1:$I$89,3,0)*0.475*44/12</f>
        <v>18.121643128547415</v>
      </c>
      <c r="AB72" s="23">
        <f>EXP(-LN(2)/2)*AB71+(1-EXP(-LN(2)/2))/(LN(2)/2)*V72*Y72*VLOOKUP('Données projet'!$B$9,Paramètres!$A$1:$I$89,3,0)*0.475*44/12</f>
        <v>5.7352309790364929E-7</v>
      </c>
      <c r="AC72" s="24">
        <f t="shared" si="57"/>
        <v>23.20830937714139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63.336000000000084</v>
      </c>
      <c r="D73" s="12">
        <f t="shared" si="86"/>
        <v>18.009040022946241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627.92662473853306</v>
      </c>
      <c r="H73" s="70">
        <f t="shared" si="56"/>
        <v>435.00927803996478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-3.4106051316484809E-13</v>
      </c>
      <c r="O73" s="14">
        <f>N73*VLOOKUP('Données projet'!$B$9,Paramètres!$A$1:$I$89,3,0)*VLOOKUP('Données projet'!$B$9,Paramètres!$A$1:$I$89,5,0)</f>
        <v>-1.9065282685915009E-13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460.30566673085474</v>
      </c>
      <c r="T73" s="62">
        <f t="shared" si="88"/>
        <v>569.42599742280231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4.9869192637424442</v>
      </c>
      <c r="AA73" s="23">
        <f>EXP(-LN(2)/25)*AA72+(1-EXP(-LN(2)/25))/(LN(2)/25)*Calculateur!V73*Calculateur!X73*VLOOKUP('Données projet'!$B$9,Paramètres!$A$1:$I$89,3,0)*0.475*44/12</f>
        <v>17.626105844221492</v>
      </c>
      <c r="AB73" s="23">
        <f>EXP(-LN(2)/2)*AB72+(1-EXP(-LN(2)/2))/(LN(2)/2)*V73*Y73*VLOOKUP('Données projet'!$B$9,Paramètres!$A$1:$I$89,3,0)*0.475*44/12</f>
        <v>4.0554207169478662E-7</v>
      </c>
      <c r="AC73" s="24">
        <f t="shared" si="57"/>
        <v>22.613025513506006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64.240800000000078</v>
      </c>
      <c r="D74" s="12">
        <f t="shared" si="86"/>
        <v>18.236177554745872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636.66438814189871</v>
      </c>
      <c r="H74" s="70">
        <f t="shared" si="56"/>
        <v>436.98073590784918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460.30566673085474</v>
      </c>
      <c r="T74" s="62">
        <f t="shared" si="88"/>
        <v>569.42599742280231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4.8891288187008612</v>
      </c>
      <c r="AA74" s="23">
        <f>EXP(-LN(2)/25)*AA73+(1-EXP(-LN(2)/25))/(LN(2)/25)*Calculateur!V74*Calculateur!X74*VLOOKUP('Données projet'!$B$9,Paramètres!$A$1:$I$89,3,0)*0.475*44/12</f>
        <v>17.144119052994633</v>
      </c>
      <c r="AB74" s="23">
        <f>EXP(-LN(2)/2)*AB73+(1-EXP(-LN(2)/2))/(LN(2)/2)*V74*Y74*VLOOKUP('Données projet'!$B$9,Paramètres!$A$1:$I$89,3,0)*0.475*44/12</f>
        <v>2.8676154895182465E-7</v>
      </c>
      <c r="AC74" s="24">
        <f t="shared" si="57"/>
        <v>22.033248158457042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65.145600000000073</v>
      </c>
      <c r="D75" s="12">
        <f t="shared" si="86"/>
        <v>18.462943001028222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645.3992793061833</v>
      </c>
      <c r="H75" s="70">
        <f t="shared" si="56"/>
        <v>438.95154572679093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460.30566673085474</v>
      </c>
      <c r="T75" s="62">
        <f t="shared" si="88"/>
        <v>569.42599742280231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4.7932559846402611</v>
      </c>
      <c r="AA75" s="23">
        <f>EXP(-LN(2)/25)*AA74+(1-EXP(-LN(2)/25))/(LN(2)/25)*Calculateur!V75*Calculateur!X75*VLOOKUP('Données projet'!$B$9,Paramètres!$A$1:$I$89,3,0)*0.475*44/12</f>
        <v>16.675312215920457</v>
      </c>
      <c r="AB75" s="23">
        <f>EXP(-LN(2)/2)*AB74+(1-EXP(-LN(2)/2))/(LN(2)/2)*V75*Y75*VLOOKUP('Données projet'!$B$9,Paramètres!$A$1:$I$89,3,0)*0.475*44/12</f>
        <v>2.0277103584739331E-7</v>
      </c>
      <c r="AC75" s="24">
        <f t="shared" si="57"/>
        <v>21.468568403331755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66.050400000000067</v>
      </c>
      <c r="D76" s="12">
        <f t="shared" si="86"/>
        <v>18.689342126897927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654.13134273394951</v>
      </c>
      <c r="H76" s="70">
        <f t="shared" si="56"/>
        <v>440.92171753768065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460.30566673085474</v>
      </c>
      <c r="T76" s="62">
        <f t="shared" si="88"/>
        <v>569.42599742280231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4.699263158378935</v>
      </c>
      <c r="AA76" s="23">
        <f>EXP(-LN(2)/25)*AA75+(1-EXP(-LN(2)/25))/(LN(2)/25)*Calculateur!V76*Calculateur!X76*VLOOKUP('Données projet'!$B$9,Paramètres!$A$1:$I$89,3,0)*0.475*44/12</f>
        <v>16.219324926459553</v>
      </c>
      <c r="AB76" s="23">
        <f>EXP(-LN(2)/2)*AB75+(1-EXP(-LN(2)/2))/(LN(2)/2)*V76*Y76*VLOOKUP('Données projet'!$B$9,Paramètres!$A$1:$I$89,3,0)*0.475*44/12</f>
        <v>1.4338077447591232E-7</v>
      </c>
      <c r="AC76" s="24">
        <f t="shared" si="57"/>
        <v>20.918588228219264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66.955200000000062</v>
      </c>
      <c r="D77" s="12">
        <f t="shared" si="86"/>
        <v>18.915380530436515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662.8606216384577</v>
      </c>
      <c r="H77" s="70">
        <f t="shared" si="56"/>
        <v>442.89126109051028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460.30566673085474</v>
      </c>
      <c r="T77" s="62">
        <f t="shared" si="88"/>
        <v>569.42599742280231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4.6071134741106308</v>
      </c>
      <c r="AA77" s="23">
        <f>EXP(-LN(2)/25)*AA76+(1-EXP(-LN(2)/25))/(LN(2)/25)*Calculateur!V77*Calculateur!X77*VLOOKUP('Données projet'!$B$9,Paramètres!$A$1:$I$89,3,0)*0.475*44/12</f>
        <v>15.775806633408289</v>
      </c>
      <c r="AB77" s="23">
        <f>EXP(-LN(2)/2)*AB76+(1-EXP(-LN(2)/2))/(LN(2)/2)*V77*Y77*VLOOKUP('Données projet'!$B$9,Paramètres!$A$1:$I$89,3,0)*0.475*44/12</f>
        <v>1.0138551792369666E-7</v>
      </c>
      <c r="AC77" s="24">
        <f t="shared" si="57"/>
        <v>20.382920208904437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67.860000000000056</v>
      </c>
      <c r="D78" s="12">
        <f t="shared" si="86"/>
        <v>19.141063649731766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671.58715799792992</v>
      </c>
      <c r="H78" s="70">
        <f t="shared" si="56"/>
        <v>444.86018585661623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460.30566673085474</v>
      </c>
      <c r="T78" s="62">
        <f t="shared" si="88"/>
        <v>569.42599742280231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4.5167707889450703</v>
      </c>
      <c r="AA78" s="23">
        <f>EXP(-LN(2)/25)*AA77+(1-EXP(-LN(2)/25))/(LN(2)/25)*Calculateur!V78*Calculateur!X78*VLOOKUP('Données projet'!$B$9,Paramètres!$A$1:$I$89,3,0)*0.475*44/12</f>
        <v>15.344416371404124</v>
      </c>
      <c r="AB78" s="23">
        <f>EXP(-LN(2)/2)*AB77+(1-EXP(-LN(2)/2))/(LN(2)/2)*V78*Y78*VLOOKUP('Données projet'!$B$9,Paramètres!$A$1:$I$89,3,0)*0.475*44/12</f>
        <v>7.1690387237956162E-8</v>
      </c>
      <c r="AC78" s="24">
        <f t="shared" si="57"/>
        <v>19.861187232039583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68.764800000000051</v>
      </c>
      <c r="D79" s="12">
        <f t="shared" si="86"/>
        <v>19.366396769521387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680.3109926068322</v>
      </c>
      <c r="H79" s="70">
        <f t="shared" si="56"/>
        <v>446.82850104024982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460.30566673085474</v>
      </c>
      <c r="T79" s="62">
        <f t="shared" si="88"/>
        <v>569.42599742280231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4.4281996687320095</v>
      </c>
      <c r="AA79" s="23">
        <f>EXP(-LN(2)/25)*AA78+(1-EXP(-LN(2)/25))/(LN(2)/25)*Calculateur!V79*Calculateur!X79*VLOOKUP('Données projet'!$B$9,Paramètres!$A$1:$I$89,3,0)*0.475*44/12</f>
        <v>14.924822498800292</v>
      </c>
      <c r="AB79" s="23">
        <f>EXP(-LN(2)/2)*AB78+(1-EXP(-LN(2)/2))/(LN(2)/2)*V79*Y79*VLOOKUP('Données projet'!$B$9,Paramètres!$A$1:$I$89,3,0)*0.475*44/12</f>
        <v>5.0692758961848328E-8</v>
      </c>
      <c r="AC79" s="24">
        <f t="shared" si="57"/>
        <v>19.35302221822506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69.669600000000045</v>
      </c>
      <c r="D80" s="12">
        <f t="shared" si="86"/>
        <v>19.591385027476974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689.03216512438405</v>
      </c>
      <c r="H80" s="70">
        <f t="shared" si="56"/>
        <v>448.79621558952243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460.30566673085474</v>
      </c>
      <c r="T80" s="62">
        <f t="shared" si="88"/>
        <v>569.42599742280231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4.3413653741632778</v>
      </c>
      <c r="AA80" s="23">
        <f>EXP(-LN(2)/25)*AA79+(1-EXP(-LN(2)/25))/(LN(2)/25)*Calculateur!V80*Calculateur!X80*VLOOKUP('Données projet'!$B$9,Paramètres!$A$1:$I$89,3,0)*0.475*44/12</f>
        <v>14.516702442708294</v>
      </c>
      <c r="AB80" s="23">
        <f>EXP(-LN(2)/2)*AB79+(1-EXP(-LN(2)/2))/(LN(2)/2)*V80*Y80*VLOOKUP('Données projet'!$B$9,Paramètres!$A$1:$I$89,3,0)*0.475*44/12</f>
        <v>3.5845193618978081E-8</v>
      </c>
      <c r="AC80" s="24">
        <f t="shared" si="57"/>
        <v>18.858067852716765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70.57440000000004</v>
      </c>
      <c r="D81" s="12">
        <f t="shared" si="86"/>
        <v>19.816033420152444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697.75071412047521</v>
      </c>
      <c r="H81" s="70">
        <f t="shared" si="56"/>
        <v>450.76333820676552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460.30566673085474</v>
      </c>
      <c r="T81" s="62">
        <f t="shared" si="88"/>
        <v>569.42599742280231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4.2562338471473486</v>
      </c>
      <c r="AA81" s="23">
        <f>EXP(-LN(2)/25)*AA80+(1-EXP(-LN(2)/25))/(LN(2)/25)*Calculateur!V81*Calculateur!X81*VLOOKUP('Données projet'!$B$9,Paramètres!$A$1:$I$89,3,0)*0.475*44/12</f>
        <v>14.119742451012232</v>
      </c>
      <c r="AB81" s="23">
        <f>EXP(-LN(2)/2)*AB80+(1-EXP(-LN(2)/2))/(LN(2)/2)*V81*Y81*VLOOKUP('Données projet'!$B$9,Paramètres!$A$1:$I$89,3,0)*0.475*44/12</f>
        <v>2.5346379480924164E-8</v>
      </c>
      <c r="AC81" s="24">
        <f t="shared" si="57"/>
        <v>18.375976323505963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71.479200000000034</v>
      </c>
      <c r="D82" s="12">
        <f t="shared" si="86"/>
        <v>20.040346808618629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706.46667711916155</v>
      </c>
      <c r="H82" s="70">
        <f t="shared" si="56"/>
        <v>452.72987735834414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460.30566673085474</v>
      </c>
      <c r="T82" s="62">
        <f t="shared" si="88"/>
        <v>569.42599742280231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4.1727716974510978</v>
      </c>
      <c r="AA82" s="23">
        <f>EXP(-LN(2)/25)*AA81+(1-EXP(-LN(2)/25))/(LN(2)/25)*Calculateur!V82*Calculateur!X82*VLOOKUP('Données projet'!$B$9,Paramètres!$A$1:$I$89,3,0)*0.475*44/12</f>
        <v>13.733637351164319</v>
      </c>
      <c r="AB82" s="23">
        <f>EXP(-LN(2)/2)*AB81+(1-EXP(-LN(2)/2))/(LN(2)/2)*V82*Y82*VLOOKUP('Données projet'!$B$9,Paramètres!$A$1:$I$89,3,0)*0.475*44/12</f>
        <v>1.792259680948904E-8</v>
      </c>
      <c r="AC82" s="24">
        <f t="shared" si="57"/>
        <v>17.906409066538014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72.384000000000029</v>
      </c>
      <c r="D83" s="12">
        <f t="shared" si="86"/>
        <v>20.264329923804397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715.18009063989382</v>
      </c>
      <c r="H83" s="70">
        <f t="shared" si="56"/>
        <v>454.69584128395934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460.30566673085474</v>
      </c>
      <c r="T83" s="62">
        <f t="shared" si="88"/>
        <v>569.42599742280231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4.090946189603506</v>
      </c>
      <c r="AA83" s="23">
        <f>EXP(-LN(2)/25)*AA82+(1-EXP(-LN(2)/25))/(LN(2)/25)*Calculateur!V83*Calculateur!X83*VLOOKUP('Données projet'!$B$9,Paramètres!$A$1:$I$89,3,0)*0.475*44/12</f>
        <v>13.358090315576131</v>
      </c>
      <c r="AB83" s="23">
        <f>EXP(-LN(2)/2)*AB82+(1-EXP(-LN(2)/2))/(LN(2)/2)*V83*Y83*VLOOKUP('Données projet'!$B$9,Paramètres!$A$1:$I$89,3,0)*0.475*44/12</f>
        <v>1.2673189740462082E-8</v>
      </c>
      <c r="AC83" s="24">
        <f t="shared" si="57"/>
        <v>17.449036517852829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73.288800000000023</v>
      </c>
      <c r="D84" s="12">
        <f t="shared" si="86"/>
        <v>20.487987371563225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723.89099023662857</v>
      </c>
      <c r="H84" s="70">
        <f t="shared" si="56"/>
        <v>456.66123800547257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460.30566673085474</v>
      </c>
      <c r="T84" s="62">
        <f t="shared" si="88"/>
        <v>569.42599742280231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4.0107252300561731</v>
      </c>
      <c r="AA84" s="23">
        <f>EXP(-LN(2)/25)*AA83+(1-EXP(-LN(2)/25))/(LN(2)/25)*Calculateur!V84*Calculateur!X84*VLOOKUP('Données projet'!$B$9,Paramètres!$A$1:$I$89,3,0)*0.475*44/12</f>
        <v>12.992812633425263</v>
      </c>
      <c r="AB84" s="23">
        <f>EXP(-LN(2)/2)*AB83+(1-EXP(-LN(2)/2))/(LN(2)/2)*V84*Y84*VLOOKUP('Données projet'!$B$9,Paramètres!$A$1:$I$89,3,0)*0.475*44/12</f>
        <v>8.9612984047445202E-9</v>
      </c>
      <c r="AC84" s="24">
        <f t="shared" si="57"/>
        <v>17.003537872442735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74.193600000000018</v>
      </c>
      <c r="D85" s="12">
        <f t="shared" si="86"/>
        <v>20.711323637482362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732.59941053495174</v>
      </c>
      <c r="H85" s="70">
        <f t="shared" si="56"/>
        <v>458.62607533528183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460.30566673085474</v>
      </c>
      <c r="T85" s="62">
        <f t="shared" si="88"/>
        <v>569.42599742280231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3.9320773545956098</v>
      </c>
      <c r="AA85" s="23">
        <f>EXP(-LN(2)/25)*AA84+(1-EXP(-LN(2)/25))/(LN(2)/25)*Calculateur!V85*Calculateur!X85*VLOOKUP('Données projet'!$B$9,Paramètres!$A$1:$I$89,3,0)*0.475*44/12</f>
        <v>12.637523488701929</v>
      </c>
      <c r="AB85" s="23">
        <f>EXP(-LN(2)/2)*AB84+(1-EXP(-LN(2)/2))/(LN(2)/2)*V85*Y85*VLOOKUP('Données projet'!$B$9,Paramètres!$A$1:$I$89,3,0)*0.475*44/12</f>
        <v>6.336594870231041E-9</v>
      </c>
      <c r="AC85" s="24">
        <f t="shared" si="57"/>
        <v>16.569600849634135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75.098400000000012</v>
      </c>
      <c r="D86" s="12">
        <f t="shared" si="86"/>
        <v>20.934343091450742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741.30538526733926</v>
      </c>
      <c r="H86" s="70">
        <f t="shared" si="56"/>
        <v>460.59036088427672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460.30566673085474</v>
      </c>
      <c r="T86" s="62">
        <f t="shared" si="88"/>
        <v>569.42599742280231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3.8549717160023609</v>
      </c>
      <c r="AA86" s="23">
        <f>EXP(-LN(2)/25)*AA85+(1-EXP(-LN(2)/25))/(LN(2)/25)*Calculateur!V86*Calculateur!X86*VLOOKUP('Données projet'!$B$9,Paramètres!$A$1:$I$89,3,0)*0.475*44/12</f>
        <v>12.291949744324898</v>
      </c>
      <c r="AB86" s="23">
        <f>EXP(-LN(2)/2)*AB85+(1-EXP(-LN(2)/2))/(LN(2)/2)*V86*Y86*VLOOKUP('Données projet'!$B$9,Paramètres!$A$1:$I$89,3,0)*0.475*44/12</f>
        <v>4.4806492023722601E-9</v>
      </c>
      <c r="AC86" s="24">
        <f t="shared" si="57"/>
        <v>16.14692146480791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76.003200000000007</v>
      </c>
      <c r="D87" s="12">
        <f t="shared" si="86"/>
        <v>21.157049992000456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750.00894730667017</v>
      </c>
      <c r="H87" s="70">
        <f t="shared" si="56"/>
        <v>462.55410206940076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460.30566673085474</v>
      </c>
      <c r="T87" s="62">
        <f t="shared" si="88"/>
        <v>569.42599742280231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3.7793780719521295</v>
      </c>
      <c r="AA87" s="23">
        <f>EXP(-LN(2)/25)*AA86+(1-EXP(-LN(2)/25))/(LN(2)/25)*Calculateur!V87*Calculateur!X87*VLOOKUP('Données projet'!$B$9,Paramètres!$A$1:$I$89,3,0)*0.475*44/12</f>
        <v>11.95582573216079</v>
      </c>
      <c r="AB87" s="23">
        <f>EXP(-LN(2)/2)*AB86+(1-EXP(-LN(2)/2))/(LN(2)/2)*V87*Y87*VLOOKUP('Données projet'!$B$9,Paramètres!$A$1:$I$89,3,0)*0.475*44/12</f>
        <v>3.1682974351155205E-9</v>
      </c>
      <c r="AC87" s="24">
        <f t="shared" si="57"/>
        <v>15.735203807281216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76.908000000000001</v>
      </c>
      <c r="D88" s="12">
        <f t="shared" si="86"/>
        <v>21.379448490435635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758.71012869809965</v>
      </c>
      <c r="H88" s="70">
        <f t="shared" si="56"/>
        <v>464.51730612084202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460.30566673085474</v>
      </c>
      <c r="T88" s="62">
        <f t="shared" si="88"/>
        <v>569.42599742280231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3.7052667731541531</v>
      </c>
      <c r="AA88" s="23">
        <f>EXP(-LN(2)/25)*AA87+(1-EXP(-LN(2)/25))/(LN(2)/25)*Calculateur!V88*Calculateur!X88*VLOOKUP('Données projet'!$B$9,Paramètres!$A$1:$I$89,3,0)*0.475*44/12</f>
        <v>11.628893048785303</v>
      </c>
      <c r="AB88" s="23">
        <f>EXP(-LN(2)/2)*AB87+(1-EXP(-LN(2)/2))/(LN(2)/2)*V88*Y88*VLOOKUP('Données projet'!$B$9,Paramètres!$A$1:$I$89,3,0)*0.475*44/12</f>
        <v>2.24032460118613E-9</v>
      </c>
      <c r="AC88" s="24">
        <f t="shared" si="57"/>
        <v>15.33415982417978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77.812799999999996</v>
      </c>
      <c r="D89" s="12">
        <f t="shared" si="86"/>
        <v>21.601542634761511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767.40896068938719</v>
      </c>
      <c r="H89" s="70">
        <f t="shared" si="56"/>
        <v>466.47998008887623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460.30566673085474</v>
      </c>
      <c r="T89" s="62">
        <f t="shared" si="88"/>
        <v>569.42599742280231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3.6326087517221763</v>
      </c>
      <c r="AA89" s="23">
        <f>EXP(-LN(2)/25)*AA88+(1-EXP(-LN(2)/25))/(LN(2)/25)*Calculateur!V89*Calculateur!X89*VLOOKUP('Données projet'!$B$9,Paramètres!$A$1:$I$89,3,0)*0.475*44/12</f>
        <v>11.310900356829361</v>
      </c>
      <c r="AB89" s="23">
        <f>EXP(-LN(2)/2)*AB88+(1-EXP(-LN(2)/2))/(LN(2)/2)*V89*Y89*VLOOKUP('Données projet'!$B$9,Paramètres!$A$1:$I$89,3,0)*0.475*44/12</f>
        <v>1.5841487175577602E-9</v>
      </c>
      <c r="AC89" s="24">
        <f t="shared" si="57"/>
        <v>14.943509110135686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78.71759999999999</v>
      </c>
      <c r="D90" s="12">
        <f t="shared" si="86"/>
        <v>21.823336373425391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776.10547375977501</v>
      </c>
      <c r="H90" s="70">
        <f t="shared" si="56"/>
        <v>468.44213085038251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460.30566673085474</v>
      </c>
      <c r="T90" s="62">
        <f t="shared" si="88"/>
        <v>569.42599742280231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3.5613755097734634</v>
      </c>
      <c r="AA90" s="23">
        <f>EXP(-LN(2)/25)*AA89+(1-EXP(-LN(2)/25))/(LN(2)/25)*Calculateur!V90*Calculateur!X90*VLOOKUP('Données projet'!$B$9,Paramètres!$A$1:$I$89,3,0)*0.475*44/12</f>
        <v>11.001603191757464</v>
      </c>
      <c r="AB90" s="23">
        <f>EXP(-LN(2)/2)*AB89+(1-EXP(-LN(2)/2))/(LN(2)/2)*V90*Y90*VLOOKUP('Données projet'!$B$9,Paramètres!$A$1:$I$89,3,0)*0.475*44/12</f>
        <v>1.120162300593065E-9</v>
      </c>
      <c r="AC90" s="24">
        <f t="shared" si="57"/>
        <v>14.562978702651089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79.622399999999985</v>
      </c>
      <c r="D91" s="12">
        <f t="shared" si="86"/>
        <v>22.044833558880924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784.79969764750183</v>
      </c>
      <c r="H91" s="70">
        <f t="shared" si="56"/>
        <v>470.40376511505087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460.30566673085474</v>
      </c>
      <c r="T91" s="62">
        <f t="shared" si="88"/>
        <v>569.42599742280231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3.4915391082513776</v>
      </c>
      <c r="AA91" s="23">
        <f>EXP(-LN(2)/25)*AA90+(1-EXP(-LN(2)/25))/(LN(2)/25)*Calculateur!V91*Calculateur!X91*VLOOKUP('Données projet'!$B$9,Paramètres!$A$1:$I$89,3,0)*0.475*44/12</f>
        <v>10.700763773929689</v>
      </c>
      <c r="AB91" s="23">
        <f>EXP(-LN(2)/2)*AB90+(1-EXP(-LN(2)/2))/(LN(2)/2)*V91*Y91*VLOOKUP('Données projet'!$B$9,Paramètres!$A$1:$I$89,3,0)*0.475*44/12</f>
        <v>7.9207435877888012E-10</v>
      </c>
      <c r="AC91" s="24">
        <f t="shared" si="57"/>
        <v>14.19230288297314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80.527199999999979</v>
      </c>
      <c r="D92" s="12">
        <f t="shared" si="86"/>
        <v>22.266037950985503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793.49166137602833</v>
      </c>
      <c r="H92" s="70">
        <f t="shared" si="56"/>
        <v>472.36488943129973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460.30566673085474</v>
      </c>
      <c r="T92" s="62">
        <f t="shared" si="88"/>
        <v>569.42599742280231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3.4230721559671409</v>
      </c>
      <c r="AA92" s="23">
        <f>EXP(-LN(2)/25)*AA91+(1-EXP(-LN(2)/25))/(LN(2)/25)*Calculateur!V92*Calculateur!X92*VLOOKUP('Données projet'!$B$9,Paramètres!$A$1:$I$89,3,0)*0.475*44/12</f>
        <v>10.408150825802871</v>
      </c>
      <c r="AB92" s="23">
        <f>EXP(-LN(2)/2)*AB91+(1-EXP(-LN(2)/2))/(LN(2)/2)*V92*Y92*VLOOKUP('Données projet'!$B$9,Paramètres!$A$1:$I$89,3,0)*0.475*44/12</f>
        <v>5.6008115029653251E-10</v>
      </c>
      <c r="AC92" s="24">
        <f t="shared" si="57"/>
        <v>13.831222982330093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81.431999999999974</v>
      </c>
      <c r="D93" s="12">
        <f t="shared" si="86"/>
        <v>22.486953220240881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802.18139327905226</v>
      </c>
      <c r="H93" s="70">
        <f t="shared" si="56"/>
        <v>474.32551019191948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460.30566673085474</v>
      </c>
      <c r="T93" s="62">
        <f t="shared" si="88"/>
        <v>569.42599742280231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3.3559477988564805</v>
      </c>
      <c r="AA93" s="23">
        <f>EXP(-LN(2)/25)*AA92+(1-EXP(-LN(2)/25))/(LN(2)/25)*Calculateur!V93*Calculateur!X93*VLOOKUP('Données projet'!$B$9,Paramètres!$A$1:$I$89,3,0)*0.475*44/12</f>
        <v>10.123539394130427</v>
      </c>
      <c r="AB93" s="23">
        <f>EXP(-LN(2)/2)*AB92+(1-EXP(-LN(2)/2))/(LN(2)/2)*V93*Y93*VLOOKUP('Données projet'!$B$9,Paramètres!$A$1:$I$89,3,0)*0.475*44/12</f>
        <v>3.9603717938944006E-10</v>
      </c>
      <c r="AC93" s="24">
        <f t="shared" si="57"/>
        <v>13.479487193382944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82.336799999999968</v>
      </c>
      <c r="D94" s="12">
        <f t="shared" si="86"/>
        <v>22.707582950885364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810.86892102437798</v>
      </c>
      <c r="H94" s="70">
        <f t="shared" si="56"/>
        <v>476.28563363945864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460.30566673085474</v>
      </c>
      <c r="T94" s="62">
        <f t="shared" si="88"/>
        <v>569.42599742280231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3.2901397094469451</v>
      </c>
      <c r="AA94" s="23">
        <f>EXP(-LN(2)/25)*AA93+(1-EXP(-LN(2)/25))/(LN(2)/25)*Calculateur!V94*Calculateur!X94*VLOOKUP('Données projet'!$B$9,Paramètres!$A$1:$I$89,3,0)*0.475*44/12</f>
        <v>9.8467106770241308</v>
      </c>
      <c r="AB94" s="23">
        <f>EXP(-LN(2)/2)*AB93+(1-EXP(-LN(2)/2))/(LN(2)/2)*V94*Y94*VLOOKUP('Données projet'!$B$9,Paramètres!$A$1:$I$89,3,0)*0.475*44/12</f>
        <v>2.8004057514826626E-10</v>
      </c>
      <c r="AC94" s="24">
        <f t="shared" si="57"/>
        <v>13.136850386751117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83.241599999999963</v>
      </c>
      <c r="D95" s="12">
        <f t="shared" si="86"/>
        <v>22.927930643846508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819.55427163670959</v>
      </c>
      <c r="H95" s="70">
        <f t="shared" si="56"/>
        <v>478.24526587136592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460.30566673085474</v>
      </c>
      <c r="T95" s="62">
        <f t="shared" si="88"/>
        <v>569.42599742280231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3.2256220765317596</v>
      </c>
      <c r="AA95" s="23">
        <f>EXP(-LN(2)/25)*AA94+(1-EXP(-LN(2)/25))/(LN(2)/25)*Calculateur!V95*Calculateur!X95*VLOOKUP('Données projet'!$B$9,Paramètres!$A$1:$I$89,3,0)*0.475*44/12</f>
        <v>9.5774518557448971</v>
      </c>
      <c r="AB95" s="23">
        <f>EXP(-LN(2)/2)*AB94+(1-EXP(-LN(2)/2))/(LN(2)/2)*V95*Y95*VLOOKUP('Données projet'!$B$9,Paramètres!$A$1:$I$89,3,0)*0.475*44/12</f>
        <v>1.9801858969472003E-10</v>
      </c>
      <c r="AC95" s="24">
        <f t="shared" si="57"/>
        <v>12.803073932474677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84.146399999999957</v>
      </c>
      <c r="D96" s="12">
        <f t="shared" si="86"/>
        <v>23.14799971956143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828.23747151942132</v>
      </c>
      <c r="H96" s="70">
        <f t="shared" si="56"/>
        <v>480.20441284490272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460.30566673085474</v>
      </c>
      <c r="T96" s="62">
        <f t="shared" si="88"/>
        <v>569.42599742280231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3.1623695950461705</v>
      </c>
      <c r="AA96" s="23">
        <f>EXP(-LN(2)/25)*AA95+(1-EXP(-LN(2)/25))/(LN(2)/25)*Calculateur!V96*Calculateur!X96*VLOOKUP('Données projet'!$B$9,Paramètres!$A$1:$I$89,3,0)*0.475*44/12</f>
        <v>9.3155559310932485</v>
      </c>
      <c r="AB96" s="23">
        <f>EXP(-LN(2)/2)*AB95+(1-EXP(-LN(2)/2))/(LN(2)/2)*V96*Y96*VLOOKUP('Données projet'!$B$9,Paramètres!$A$1:$I$89,3,0)*0.475*44/12</f>
        <v>1.4002028757413313E-10</v>
      </c>
      <c r="AC96" s="24">
        <f t="shared" si="57"/>
        <v>12.477925526279439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85.051199999999952</v>
      </c>
      <c r="D97" s="12">
        <f t="shared" si="86"/>
        <v>23.367793520672731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836.91854647536809</v>
      </c>
      <c r="H97" s="70">
        <f t="shared" si="56"/>
        <v>482.1630803818382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460.30566673085474</v>
      </c>
      <c r="T97" s="62">
        <f t="shared" si="88"/>
        <v>569.42599742280231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3.1003574561423095</v>
      </c>
      <c r="AA97" s="23">
        <f>EXP(-LN(2)/25)*AA96+(1-EXP(-LN(2)/25))/(LN(2)/25)*Calculateur!V97*Calculateur!X97*VLOOKUP('Données projet'!$B$9,Paramètres!$A$1:$I$89,3,0)*0.475*44/12</f>
        <v>9.0608215642737076</v>
      </c>
      <c r="AB97" s="23">
        <f>EXP(-LN(2)/2)*AB96+(1-EXP(-LN(2)/2))/(LN(2)/2)*V97*Y97*VLOOKUP('Données projet'!$B$9,Paramètres!$A$1:$I$89,3,0)*0.475*44/12</f>
        <v>9.9009294847360015E-11</v>
      </c>
      <c r="AC97" s="24">
        <f t="shared" si="57"/>
        <v>12.161179020515027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85.955999999999946</v>
      </c>
      <c r="D98" s="12">
        <f t="shared" si="86"/>
        <v>23.587315314606048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845.59752172678316</v>
      </c>
      <c r="H98" s="70">
        <f t="shared" si="56"/>
        <v>484.12127417293874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460.30566673085474</v>
      </c>
      <c r="T98" s="62">
        <f t="shared" si="88"/>
        <v>569.42599742280231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3.0395613374586832</v>
      </c>
      <c r="AA98" s="23">
        <f>EXP(-LN(2)/25)*AA97+(1-EXP(-LN(2)/25))/(LN(2)/25)*Calculateur!V98*Calculateur!X98*VLOOKUP('Données projet'!$B$9,Paramètres!$A$1:$I$89,3,0)*0.475*44/12</f>
        <v>8.8130529221107459</v>
      </c>
      <c r="AB98" s="23">
        <f>EXP(-LN(2)/2)*AB97+(1-EXP(-LN(2)/2))/(LN(2)/2)*V98*Y98*VLOOKUP('Données projet'!$B$9,Paramètres!$A$1:$I$89,3,0)*0.475*44/12</f>
        <v>7.0010143787066564E-11</v>
      </c>
      <c r="AC98" s="24">
        <f t="shared" si="57"/>
        <v>11.852614259639438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86.860799999999941</v>
      </c>
      <c r="D99" s="12">
        <f t="shared" si="86"/>
        <v>23.806568296036275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854.27442193431477</v>
      </c>
      <c r="H99" s="70">
        <f t="shared" si="56"/>
        <v>486.07899978226305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460.30566673085474</v>
      </c>
      <c r="T99" s="62">
        <f t="shared" si="88"/>
        <v>569.42599742280231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2.979957393580472</v>
      </c>
      <c r="AA99" s="23">
        <f>EXP(-LN(2)/25)*AA98+(1-EXP(-LN(2)/25))/(LN(2)/25)*Calculateur!V99*Calculateur!X99*VLOOKUP('Données projet'!$B$9,Paramètres!$A$1:$I$89,3,0)*0.475*44/12</f>
        <v>8.5720595264973163</v>
      </c>
      <c r="AB99" s="23">
        <f>EXP(-LN(2)/2)*AB98+(1-EXP(-LN(2)/2))/(LN(2)/2)*V99*Y99*VLOOKUP('Données projet'!$B$9,Paramètres!$A$1:$I$89,3,0)*0.475*44/12</f>
        <v>4.9504647423680008E-11</v>
      </c>
      <c r="AC99" s="24">
        <f t="shared" si="57"/>
        <v>11.552016920127294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87.765599999999935</v>
      </c>
      <c r="D100" s="12">
        <f t="shared" si="86"/>
        <v>24.025555589247933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862.94927121524677</v>
      </c>
      <c r="H100" s="70">
        <f t="shared" si="56"/>
        <v>488.03626265127332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460.30566673085474</v>
      </c>
      <c r="T100" s="62">
        <f t="shared" si="88"/>
        <v>569.42599742280231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2.9215222466868966</v>
      </c>
      <c r="AA100" s="23">
        <f>EXP(-LN(2)/25)*AA99+(1-EXP(-LN(2)/25))/(LN(2)/25)*Calculateur!V100*Calculateur!X100*VLOOKUP('Données projet'!$B$9,Paramètres!$A$1:$I$89,3,0)*0.475*44/12</f>
        <v>8.3376561079602283</v>
      </c>
      <c r="AB100" s="23">
        <f>EXP(-LN(2)/2)*AB99+(1-EXP(-LN(2)/2))/(LN(2)/2)*V100*Y100*VLOOKUP('Données projet'!$B$9,Paramètres!$A$1:$I$89,3,0)*0.475*44/12</f>
        <v>3.5005071893533282E-11</v>
      </c>
      <c r="AC100" s="24">
        <f t="shared" si="57"/>
        <v>11.259178354682129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88.67039999999993</v>
      </c>
      <c r="D101" s="12">
        <f t="shared" si="86"/>
        <v>24.244280250395491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871.6220931609472</v>
      </c>
      <c r="H101" s="70">
        <f t="shared" si="56"/>
        <v>489.99306810277199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460.30566673085474</v>
      </c>
      <c r="T101" s="62">
        <f t="shared" si="88"/>
        <v>569.42599742280231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2.8642329773819837</v>
      </c>
      <c r="AA101" s="23">
        <f>EXP(-LN(2)/25)*AA100+(1-EXP(-LN(2)/25))/(LN(2)/25)*Calculateur!V101*Calculateur!X101*VLOOKUP('Données projet'!$B$9,Paramètres!$A$1:$I$89,3,0)*0.475*44/12</f>
        <v>8.1096624632297765</v>
      </c>
      <c r="AB101" s="23">
        <f>EXP(-LN(2)/2)*AB100+(1-EXP(-LN(2)/2))/(LN(2)/2)*V101*Y101*VLOOKUP('Données projet'!$B$9,Paramètres!$A$1:$I$89,3,0)*0.475*44/12</f>
        <v>2.4752323711840004E-11</v>
      </c>
      <c r="AC101" s="24">
        <f t="shared" si="57"/>
        <v>10.973895440636511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89.575199999999924</v>
      </c>
      <c r="D102" s="12">
        <f t="shared" si="86"/>
        <v>24.46274526966867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880.29291085358227</v>
      </c>
      <c r="H102" s="70">
        <f t="shared" si="56"/>
        <v>491.94942134467277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460.30566673085474</v>
      </c>
      <c r="T102" s="62">
        <f t="shared" si="88"/>
        <v>569.42599742280231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2.8080671157051365</v>
      </c>
      <c r="AA102" s="23">
        <f>EXP(-LN(2)/25)*AA101+(1-EXP(-LN(2)/25))/(LN(2)/25)*Calculateur!V102*Calculateur!X102*VLOOKUP('Données projet'!$B$9,Paramètres!$A$1:$I$89,3,0)*0.475*44/12</f>
        <v>7.8879033167041444</v>
      </c>
      <c r="AB102" s="23">
        <f>EXP(-LN(2)/2)*AB101+(1-EXP(-LN(2)/2))/(LN(2)/2)*V102*Y102*VLOOKUP('Données projet'!$B$9,Paramètres!$A$1:$I$89,3,0)*0.475*44/12</f>
        <v>1.7502535946766641E-11</v>
      </c>
      <c r="AC102" s="24">
        <f t="shared" si="57"/>
        <v>10.695970432426783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90.479999999999919</v>
      </c>
      <c r="D103" s="12">
        <f t="shared" si="86"/>
        <v>24.680953573367983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888.9617468821383</v>
      </c>
      <c r="H103" s="70">
        <f t="shared" si="56"/>
        <v>493.90532747361573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460.30566673085474</v>
      </c>
      <c r="T103" s="62">
        <f t="shared" si="88"/>
        <v>569.42599742280231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2.7530026323179793</v>
      </c>
      <c r="AA103" s="23">
        <f>EXP(-LN(2)/25)*AA102+(1-EXP(-LN(2)/25))/(LN(2)/25)*Calculateur!V103*Calculateur!X103*VLOOKUP('Données projet'!$B$9,Paramètres!$A$1:$I$89,3,0)*0.475*44/12</f>
        <v>7.6722081857020621</v>
      </c>
      <c r="AB103" s="23">
        <f>EXP(-LN(2)/2)*AB102+(1-EXP(-LN(2)/2))/(LN(2)/2)*V103*Y103*VLOOKUP('Données projet'!$B$9,Paramètres!$A$1:$I$89,3,0)*0.475*44/12</f>
        <v>1.2376161855920002E-11</v>
      </c>
      <c r="AC103" s="24">
        <f t="shared" si="57"/>
        <v>10.425210818032417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91.384799999999913</v>
      </c>
      <c r="D104" s="12">
        <f t="shared" si="86"/>
        <v>24.89890802589462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897.62862335778243</v>
      </c>
      <c r="H104" s="70">
        <f t="shared" si="56"/>
        <v>495.86079147843293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460.30566673085474</v>
      </c>
      <c r="T104" s="62">
        <f t="shared" si="88"/>
        <v>569.42599742280231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2.6990179298640253</v>
      </c>
      <c r="AA104" s="23">
        <f>EXP(-LN(2)/25)*AA103+(1-EXP(-LN(2)/25))/(LN(2)/25)*Calculateur!V104*Calculateur!X104*VLOOKUP('Données projet'!$B$9,Paramètres!$A$1:$I$89,3,0)*0.475*44/12</f>
        <v>7.4624112494001462</v>
      </c>
      <c r="AB104" s="23">
        <f>EXP(-LN(2)/2)*AB103+(1-EXP(-LN(2)/2))/(LN(2)/2)*V104*Y104*VLOOKUP('Données projet'!$B$9,Paramètres!$A$1:$I$89,3,0)*0.475*44/12</f>
        <v>8.7512679733833205E-12</v>
      </c>
      <c r="AC104" s="24">
        <f t="shared" si="57"/>
        <v>10.161429179272924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92.289599999999908</v>
      </c>
      <c r="D105" s="12">
        <f t="shared" si="86"/>
        <v>25.116611431659525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906.29356192859905</v>
      </c>
      <c r="H105" s="70">
        <f t="shared" si="56"/>
        <v>497.81581824347347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460.30566673085474</v>
      </c>
      <c r="T105" s="62">
        <f t="shared" si="88"/>
        <v>569.42599742280231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2.6460918344977764</v>
      </c>
      <c r="AA105" s="23">
        <f>EXP(-LN(2)/25)*AA104+(1-EXP(-LN(2)/25))/(LN(2)/25)*Calculateur!V105*Calculateur!X105*VLOOKUP('Données projet'!$B$9,Paramètres!$A$1:$I$89,3,0)*0.475*44/12</f>
        <v>7.2583512213541468</v>
      </c>
      <c r="AB105" s="23">
        <f>EXP(-LN(2)/2)*AB104+(1-EXP(-LN(2)/2))/(LN(2)/2)*V105*Y105*VLOOKUP('Données projet'!$B$9,Paramètres!$A$1:$I$89,3,0)*0.475*44/12</f>
        <v>6.1880809279600009E-12</v>
      </c>
      <c r="AC105" s="24">
        <f t="shared" si="57"/>
        <v>9.9044430558581116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93.194399999999902</v>
      </c>
      <c r="D106" s="12">
        <f t="shared" si="86"/>
        <v>25.334066536915259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914.95658379373106</v>
      </c>
      <c r="H106" s="70">
        <f t="shared" si="56"/>
        <v>499.77041255179387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460.30566673085474</v>
      </c>
      <c r="T106" s="62">
        <f t="shared" si="88"/>
        <v>569.42599742280231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2.594203587579929</v>
      </c>
      <c r="AA106" s="23">
        <f>EXP(-LN(2)/25)*AA105+(1-EXP(-LN(2)/25))/(LN(2)/25)*Calculateur!V106*Calculateur!X106*VLOOKUP('Données projet'!$B$9,Paramètres!$A$1:$I$89,3,0)*0.475*44/12</f>
        <v>7.0598712255061162</v>
      </c>
      <c r="AB106" s="23">
        <f>EXP(-LN(2)/2)*AB105+(1-EXP(-LN(2)/2))/(LN(2)/2)*V106*Y106*VLOOKUP('Données projet'!$B$9,Paramètres!$A$1:$I$89,3,0)*0.475*44/12</f>
        <v>4.3756339866916602E-12</v>
      </c>
      <c r="AC106" s="24">
        <f t="shared" si="57"/>
        <v>9.6540748130904195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94.099199999999897</v>
      </c>
      <c r="D107" s="12">
        <f t="shared" si="86"/>
        <v>25.551276031514796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923.61770971695569</v>
      </c>
      <c r="H107" s="70">
        <f t="shared" si="56"/>
        <v>501.72457908822139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460.30566673085474</v>
      </c>
      <c r="T107" s="62">
        <f t="shared" si="88"/>
        <v>569.42599742280231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2.5433328375354352</v>
      </c>
      <c r="AA107" s="23">
        <f>EXP(-LN(2)/25)*AA106+(1-EXP(-LN(2)/25))/(LN(2)/25)*Calculateur!V107*Calculateur!X107*VLOOKUP('Données projet'!$B$9,Paramètres!$A$1:$I$89,3,0)*0.475*44/12</f>
        <v>6.8668186755821594</v>
      </c>
      <c r="AB107" s="23">
        <f>EXP(-LN(2)/2)*AB106+(1-EXP(-LN(2)/2))/(LN(2)/2)*V107*Y107*VLOOKUP('Données projet'!$B$9,Paramètres!$A$1:$I$89,3,0)*0.475*44/12</f>
        <v>3.0940404639800005E-12</v>
      </c>
      <c r="AC107" s="24">
        <f t="shared" si="57"/>
        <v>9.4101515131206881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95.003999999999891</v>
      </c>
      <c r="D108" s="12">
        <f t="shared" si="86"/>
        <v>25.768242550600739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932.27696003972414</v>
      </c>
      <c r="H108" s="70">
        <f t="shared" si="56"/>
        <v>503.67832244229606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460.30566673085474</v>
      </c>
      <c r="T108" s="62">
        <f t="shared" si="88"/>
        <v>569.42599742280231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2.4934596318712199</v>
      </c>
      <c r="AA108" s="23">
        <f>EXP(-LN(2)/25)*AA107+(1-EXP(-LN(2)/25))/(LN(2)/25)*Calculateur!V108*Calculateur!X108*VLOOKUP('Données projet'!$B$9,Paramètres!$A$1:$I$89,3,0)*0.475*44/12</f>
        <v>6.6790451577880656</v>
      </c>
      <c r="AB108" s="23">
        <f>EXP(-LN(2)/2)*AB107+(1-EXP(-LN(2)/2))/(LN(2)/2)*V108*Y108*VLOOKUP('Données projet'!$B$9,Paramètres!$A$1:$I$89,3,0)*0.475*44/12</f>
        <v>2.1878169933458301E-12</v>
      </c>
      <c r="AC108" s="24">
        <f t="shared" si="57"/>
        <v>9.172504789661474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95.908799999999886</v>
      </c>
      <c r="D109" s="12">
        <f t="shared" si="86"/>
        <v>25.984968676228309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940.93435469369126</v>
      </c>
      <c r="H109" s="70">
        <f t="shared" si="56"/>
        <v>505.63164711109744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460.30566673085474</v>
      </c>
      <c r="T109" s="62">
        <f t="shared" si="88"/>
        <v>569.42599742280231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2.4445644093504284</v>
      </c>
      <c r="AA109" s="23">
        <f>EXP(-LN(2)/25)*AA108+(1-EXP(-LN(2)/25))/(LN(2)/25)*Calculateur!V109*Calculateur!X109*VLOOKUP('Données projet'!$B$9,Paramètres!$A$1:$I$89,3,0)*0.475*44/12</f>
        <v>6.4964063167126316</v>
      </c>
      <c r="AB109" s="23">
        <f>EXP(-LN(2)/2)*AB108+(1-EXP(-LN(2)/2))/(LN(2)/2)*V109*Y109*VLOOKUP('Données projet'!$B$9,Paramètres!$A$1:$I$89,3,0)*0.475*44/12</f>
        <v>1.5470202319900002E-12</v>
      </c>
      <c r="AC109" s="24">
        <f t="shared" si="57"/>
        <v>8.9409707260646076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96.81359999999988</v>
      </c>
      <c r="D110" s="12">
        <f t="shared" si="86"/>
        <v>26.20145693892529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949.58991321275573</v>
      </c>
      <c r="H110" s="70">
        <f t="shared" si="56"/>
        <v>507.58455750196129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460.30566673085474</v>
      </c>
      <c r="T110" s="62">
        <f t="shared" si="88"/>
        <v>569.42599742280231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2.3966279923201284</v>
      </c>
      <c r="AA110" s="23">
        <f>EXP(-LN(2)/25)*AA109+(1-EXP(-LN(2)/25))/(LN(2)/25)*Calculateur!V110*Calculateur!X110*VLOOKUP('Données projet'!$B$9,Paramètres!$A$1:$I$89,3,0)*0.475*44/12</f>
        <v>6.3187617443509643</v>
      </c>
      <c r="AB110" s="23">
        <f>EXP(-LN(2)/2)*AB109+(1-EXP(-LN(2)/2))/(LN(2)/2)*V110*Y110*VLOOKUP('Données projet'!$B$9,Paramètres!$A$1:$I$89,3,0)*0.475*44/12</f>
        <v>1.0939084966729151E-12</v>
      </c>
      <c r="AC110" s="24">
        <f t="shared" si="57"/>
        <v>8.7153897366721864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97.718399999999875</v>
      </c>
      <c r="D111" s="12">
        <f t="shared" si="86"/>
        <v>26.417709819192172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958.24365474464037</v>
      </c>
      <c r="H111" s="70">
        <f t="shared" si="56"/>
        <v>509.53705793509278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460.30566673085474</v>
      </c>
      <c r="T111" s="62">
        <f t="shared" si="88"/>
        <v>569.42599742280231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2.3496315791894653</v>
      </c>
      <c r="AA111" s="23">
        <f>EXP(-LN(2)/25)*AA110+(1-EXP(-LN(2)/25))/(LN(2)/25)*Calculateur!V111*Calculateur!X111*VLOOKUP('Données projet'!$B$9,Paramètres!$A$1:$I$89,3,0)*0.475*44/12</f>
        <v>6.1459748721624488</v>
      </c>
      <c r="AB111" s="23">
        <f>EXP(-LN(2)/2)*AB110+(1-EXP(-LN(2)/2))/(LN(2)/2)*V111*Y111*VLOOKUP('Données projet'!$B$9,Paramètres!$A$1:$I$89,3,0)*0.475*44/12</f>
        <v>7.7351011599500012E-13</v>
      </c>
      <c r="AC111" s="24">
        <f t="shared" si="57"/>
        <v>8.4956064513526872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98.623199999999869</v>
      </c>
      <c r="D112" s="12">
        <f t="shared" si="86"/>
        <v>26.633729748944887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966.89559806202988</v>
      </c>
      <c r="H112" s="70">
        <f t="shared" si="56"/>
        <v>511.48915264607876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460.30566673085474</v>
      </c>
      <c r="T112" s="62">
        <f t="shared" si="88"/>
        <v>569.42599742280231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2.3035567370553132</v>
      </c>
      <c r="AA112" s="23">
        <f>EXP(-LN(2)/25)*AA111+(1-EXP(-LN(2)/25))/(LN(2)/25)*Calculateur!V112*Calculateur!X112*VLOOKUP('Données projet'!$B$9,Paramètres!$A$1:$I$89,3,0)*0.475*44/12</f>
        <v>5.9779128660803948</v>
      </c>
      <c r="AB112" s="23">
        <f>EXP(-LN(2)/2)*AB111+(1-EXP(-LN(2)/2))/(LN(2)/2)*V112*Y112*VLOOKUP('Données projet'!$B$9,Paramètres!$A$1:$I$89,3,0)*0.475*44/12</f>
        <v>5.4695424833645753E-13</v>
      </c>
      <c r="AC112" s="24">
        <f t="shared" si="57"/>
        <v>8.2814696031362551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99.527999999999864</v>
      </c>
      <c r="D113" s="12">
        <f t="shared" si="86"/>
        <v>26.849519112903298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975.54576157328768</v>
      </c>
      <c r="H113" s="70">
        <f t="shared" si="56"/>
        <v>513.44084578830632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460.30566673085474</v>
      </c>
      <c r="T113" s="62">
        <f t="shared" si="88"/>
        <v>569.42599742280231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2.2583853944725329</v>
      </c>
      <c r="AA113" s="23">
        <f>EXP(-LN(2)/25)*AA112+(1-EXP(-LN(2)/25))/(LN(2)/25)*Calculateur!V113*Calculateur!X113*VLOOKUP('Données projet'!$B$9,Paramètres!$A$1:$I$89,3,0)*0.475*44/12</f>
        <v>5.8144465243926513</v>
      </c>
      <c r="AB113" s="23">
        <f>EXP(-LN(2)/2)*AB112+(1-EXP(-LN(2)/2))/(LN(2)/2)*V113*Y113*VLOOKUP('Données projet'!$B$9,Paramètres!$A$1:$I$89,3,0)*0.475*44/12</f>
        <v>3.8675505799750006E-13</v>
      </c>
      <c r="AC113" s="24">
        <f t="shared" si="57"/>
        <v>8.0728319188655711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100.43279999999986</v>
      </c>
      <c r="D114" s="12">
        <f t="shared" si="86"/>
        <v>27.06508024992765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984.19416333277388</v>
      </c>
      <c r="H114" s="70">
        <f t="shared" si="56"/>
        <v>515.39214143529034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460.30566673085474</v>
      </c>
      <c r="T114" s="62">
        <f t="shared" si="88"/>
        <v>569.42599742280231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2.2140998343660026</v>
      </c>
      <c r="AA114" s="23">
        <f>EXP(-LN(2)/25)*AA113+(1-EXP(-LN(2)/25))/(LN(2)/25)*Calculateur!V114*Calculateur!X114*VLOOKUP('Données projet'!$B$9,Paramètres!$A$1:$I$89,3,0)*0.475*44/12</f>
        <v>5.6554501784146805</v>
      </c>
      <c r="AB114" s="23">
        <f>EXP(-LN(2)/2)*AB113+(1-EXP(-LN(2)/2))/(LN(2)/2)*V114*Y114*VLOOKUP('Données projet'!$B$9,Paramètres!$A$1:$I$89,3,0)*0.475*44/12</f>
        <v>2.7347712416822877E-13</v>
      </c>
      <c r="AC114" s="24">
        <f t="shared" si="57"/>
        <v>7.869550012780957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101.33759999999985</v>
      </c>
      <c r="D115" s="12">
        <f t="shared" si="86"/>
        <v>27.280415454305516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992.84082105077835</v>
      </c>
      <c r="H115" s="70">
        <f t="shared" si="56"/>
        <v>517.34304358291524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460.30566673085474</v>
      </c>
      <c r="T115" s="62">
        <f t="shared" si="88"/>
        <v>569.42599742280231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2.1706826870816367</v>
      </c>
      <c r="AA115" s="23">
        <f>EXP(-LN(2)/25)*AA114+(1-EXP(-LN(2)/25))/(LN(2)/25)*Calculateur!V115*Calculateur!X115*VLOOKUP('Données projet'!$B$9,Paramètres!$A$1:$I$89,3,0)*0.475*44/12</f>
        <v>5.5008015958787322</v>
      </c>
      <c r="AB115" s="23">
        <f>EXP(-LN(2)/2)*AB114+(1-EXP(-LN(2)/2))/(LN(2)/2)*V115*Y115*VLOOKUP('Données projet'!$B$9,Paramètres!$A$1:$I$89,3,0)*0.475*44/12</f>
        <v>1.9337752899875003E-13</v>
      </c>
      <c r="AC115" s="24">
        <f t="shared" si="57"/>
        <v>7.671484282960563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102.24239999999985</v>
      </c>
      <c r="D116" s="12">
        <f t="shared" si="86"/>
        <v>27.495526976991435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1001.4857521030905</v>
      </c>
      <c r="H116" s="70">
        <f t="shared" si="56"/>
        <v>519.29355615159307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460.30566673085474</v>
      </c>
      <c r="T116" s="62">
        <f t="shared" si="88"/>
        <v>569.42599742280231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2.1281169235736721</v>
      </c>
      <c r="AA116" s="23">
        <f>EXP(-LN(2)/25)*AA115+(1-EXP(-LN(2)/25))/(LN(2)/25)*Calculateur!V116*Calculateur!X116*VLOOKUP('Données projet'!$B$9,Paramètres!$A$1:$I$89,3,0)*0.475*44/12</f>
        <v>5.3503818869648443</v>
      </c>
      <c r="AB116" s="23">
        <f>EXP(-LN(2)/2)*AB115+(1-EXP(-LN(2)/2))/(LN(2)/2)*V116*Y116*VLOOKUP('Données projet'!$B$9,Paramètres!$A$1:$I$89,3,0)*0.475*44/12</f>
        <v>1.3673856208411438E-13</v>
      </c>
      <c r="AC116" s="24">
        <f t="shared" si="57"/>
        <v>7.4784988105386532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103.14719999999984</v>
      </c>
      <c r="D117" s="12">
        <f t="shared" si="86"/>
        <v>27.710417026801426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1010.1289735402205</v>
      </c>
      <c r="H117" s="70">
        <f t="shared" si="56"/>
        <v>521.24368298834554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460.30566673085474</v>
      </c>
      <c r="T117" s="62">
        <f t="shared" si="88"/>
        <v>569.42599742280231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2.0863858487255467</v>
      </c>
      <c r="AA117" s="23">
        <f>EXP(-LN(2)/25)*AA116+(1-EXP(-LN(2)/25))/(LN(2)/25)*Calculateur!V117*Calculateur!X117*VLOOKUP('Données projet'!$B$9,Paramètres!$A$1:$I$89,3,0)*0.475*44/12</f>
        <v>5.2040754129014353</v>
      </c>
      <c r="AB117" s="23">
        <f>EXP(-LN(2)/2)*AB116+(1-EXP(-LN(2)/2))/(LN(2)/2)*V117*Y117*VLOOKUP('Données projet'!$B$9,Paramètres!$A$1:$I$89,3,0)*0.475*44/12</f>
        <v>9.6688764499375015E-14</v>
      </c>
      <c r="AC117" s="24">
        <f t="shared" si="57"/>
        <v>7.2904612616270787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104.05199999999984</v>
      </c>
      <c r="D118" s="12">
        <f t="shared" si="86"/>
        <v>27.925087771564368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1018.7705020962852</v>
      </c>
      <c r="H118" s="70">
        <f t="shared" si="56"/>
        <v>523.1934278688077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460.30566673085474</v>
      </c>
      <c r="T118" s="62">
        <f t="shared" si="88"/>
        <v>569.42599742280231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2.0454730948017508</v>
      </c>
      <c r="AA118" s="23">
        <f>EXP(-LN(2)/25)*AA117+(1-EXP(-LN(2)/25))/(LN(2)/25)*Calculateur!V118*Calculateur!X118*VLOOKUP('Données projet'!$B$9,Paramètres!$A$1:$I$89,3,0)*0.475*44/12</f>
        <v>5.0617696970652135</v>
      </c>
      <c r="AB118" s="23">
        <f>EXP(-LN(2)/2)*AB117+(1-EXP(-LN(2)/2))/(LN(2)/2)*V118*Y118*VLOOKUP('Données projet'!$B$9,Paramètres!$A$1:$I$89,3,0)*0.475*44/12</f>
        <v>6.8369281042057191E-14</v>
      </c>
      <c r="AC118" s="24">
        <f t="shared" si="57"/>
        <v>7.1072427918670327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104.95679999999983</v>
      </c>
      <c r="D119" s="12">
        <f t="shared" si="86"/>
        <v>28.139541339232348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1027.4103541975817</v>
      </c>
      <c r="H119" s="70">
        <f t="shared" si="56"/>
        <v>525.14279449916262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460.30566673085474</v>
      </c>
      <c r="T119" s="62">
        <f t="shared" si="88"/>
        <v>569.42599742280231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2.0053626150280843</v>
      </c>
      <c r="AA119" s="23">
        <f>EXP(-LN(2)/25)*AA118+(1-EXP(-LN(2)/25))/(LN(2)/25)*Calculateur!V119*Calculateur!X119*VLOOKUP('Données projet'!$B$9,Paramètres!$A$1:$I$89,3,0)*0.475*44/12</f>
        <v>4.9233553385120654</v>
      </c>
      <c r="AB119" s="23">
        <f>EXP(-LN(2)/2)*AB118+(1-EXP(-LN(2)/2))/(LN(2)/2)*V119*Y119*VLOOKUP('Données projet'!$B$9,Paramètres!$A$1:$I$89,3,0)*0.475*44/12</f>
        <v>4.8344382249687507E-14</v>
      </c>
      <c r="AC119" s="24">
        <f t="shared" si="57"/>
        <v>6.9287179535401977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105.86159999999983</v>
      </c>
      <c r="D120" s="12">
        <f t="shared" si="86"/>
        <v>28.353779818951264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1036.0485459708505</v>
      </c>
      <c r="H120" s="70">
        <f t="shared" si="56"/>
        <v>527.09178651800642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460.30566673085474</v>
      </c>
      <c r="T120" s="62">
        <f t="shared" si="88"/>
        <v>569.42599742280231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1.9660386772978027</v>
      </c>
      <c r="AA120" s="23">
        <f>EXP(-LN(2)/25)*AA119+(1-EXP(-LN(2)/25))/(LN(2)/25)*Calculateur!V120*Calculateur!X120*VLOOKUP('Données projet'!$B$9,Paramètres!$A$1:$I$89,3,0)*0.475*44/12</f>
        <v>4.7887259278724486</v>
      </c>
      <c r="AB120" s="23">
        <f>EXP(-LN(2)/2)*AB119+(1-EXP(-LN(2)/2))/(LN(2)/2)*V120*Y120*VLOOKUP('Données projet'!$B$9,Paramètres!$A$1:$I$89,3,0)*0.475*44/12</f>
        <v>3.4184640521028596E-14</v>
      </c>
      <c r="AC120" s="24">
        <f t="shared" si="57"/>
        <v>6.7547646051702852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106.76639999999982</v>
      </c>
      <c r="D121" s="12">
        <f t="shared" si="86"/>
        <v>28.567805262094151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1044.6850932512518</v>
      </c>
      <c r="H121" s="70">
        <f t="shared" si="56"/>
        <v>529.04040749814703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460.30566673085474</v>
      </c>
      <c r="T121" s="62">
        <f t="shared" si="88"/>
        <v>569.42599742280231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1.9274858580011782</v>
      </c>
      <c r="AA121" s="23">
        <f>EXP(-LN(2)/25)*AA120+(1-EXP(-LN(2)/25))/(LN(2)/25)*Calculateur!V121*Calculateur!X121*VLOOKUP('Données projet'!$B$9,Paramètres!$A$1:$I$89,3,0)*0.475*44/12</f>
        <v>4.6577779655466243</v>
      </c>
      <c r="AB121" s="23">
        <f>EXP(-LN(2)/2)*AB120+(1-EXP(-LN(2)/2))/(LN(2)/2)*V121*Y121*VLOOKUP('Données projet'!$B$9,Paramètres!$A$1:$I$89,3,0)*0.475*44/12</f>
        <v>2.4172191124843754E-14</v>
      </c>
      <c r="AC121" s="24">
        <f t="shared" si="57"/>
        <v>6.5852638235478267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107.67119999999981</v>
      </c>
      <c r="D122" s="12">
        <f t="shared" si="86"/>
        <v>28.781619683258331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1053.3200115900629</v>
      </c>
      <c r="H122" s="70">
        <f t="shared" si="56"/>
        <v>530.98866094834125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460.30566673085474</v>
      </c>
      <c r="T122" s="62">
        <f t="shared" si="88"/>
        <v>569.42599742280231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1.8896890359760627</v>
      </c>
      <c r="AA122" s="23">
        <f>EXP(-LN(2)/25)*AA121+(1-EXP(-LN(2)/25))/(LN(2)/25)*Calculateur!V122*Calculateur!X122*VLOOKUP('Données projet'!$B$9,Paramètres!$A$1:$I$89,3,0)*0.475*44/12</f>
        <v>4.5304107821368538</v>
      </c>
      <c r="AB122" s="23">
        <f>EXP(-LN(2)/2)*AB121+(1-EXP(-LN(2)/2))/(LN(2)/2)*V122*Y122*VLOOKUP('Données projet'!$B$9,Paramètres!$A$1:$I$89,3,0)*0.475*44/12</f>
        <v>1.7092320260514298E-14</v>
      </c>
      <c r="AC122" s="24">
        <f t="shared" si="57"/>
        <v>6.4200998181129334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108.57599999999981</v>
      </c>
      <c r="D123" s="12">
        <f t="shared" si="86"/>
        <v>28.995225061227977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1061.9533162621092</v>
      </c>
      <c r="H123" s="70">
        <f t="shared" si="56"/>
        <v>532.93655031497167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460.30566673085474</v>
      </c>
      <c r="T123" s="62">
        <f t="shared" si="88"/>
        <v>569.42599742280231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1.8526333865770745</v>
      </c>
      <c r="AA123" s="23">
        <f>EXP(-LN(2)/25)*AA122+(1-EXP(-LN(2)/25))/(LN(2)/25)*Calculateur!V123*Calculateur!X123*VLOOKUP('Données projet'!$B$9,Paramètres!$A$1:$I$89,3,0)*0.475*44/12</f>
        <v>4.4065264610553729</v>
      </c>
      <c r="AB123" s="23">
        <f>EXP(-LN(2)/2)*AB122+(1-EXP(-LN(2)/2))/(LN(2)/2)*V123*Y123*VLOOKUP('Données projet'!$B$9,Paramètres!$A$1:$I$89,3,0)*0.475*44/12</f>
        <v>1.2086095562421877E-14</v>
      </c>
      <c r="AC123" s="24">
        <f t="shared" si="57"/>
        <v>6.2591598476324597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109.4807999999998</v>
      </c>
      <c r="D124" s="12">
        <f t="shared" si="86"/>
        <v>29.20862333990387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1070.5850222729407</v>
      </c>
      <c r="H124" s="70">
        <f t="shared" si="56"/>
        <v>534.88407898366552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460.30566673085474</v>
      </c>
      <c r="T124" s="62">
        <f t="shared" si="88"/>
        <v>569.42599742280231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1.8163043758610862</v>
      </c>
      <c r="AA124" s="23">
        <f>EXP(-LN(2)/25)*AA123+(1-EXP(-LN(2)/25))/(LN(2)/25)*Calculateur!V124*Calculateur!X124*VLOOKUP('Données projet'!$B$9,Paramètres!$A$1:$I$89,3,0)*0.475*44/12</f>
        <v>4.2860297632486581</v>
      </c>
      <c r="AB124" s="23">
        <f>EXP(-LN(2)/2)*AB123+(1-EXP(-LN(2)/2))/(LN(2)/2)*V124*Y124*VLOOKUP('Données projet'!$B$9,Paramètres!$A$1:$I$89,3,0)*0.475*44/12</f>
        <v>8.5461601302571489E-15</v>
      </c>
      <c r="AC124" s="24">
        <f t="shared" si="57"/>
        <v>6.102334139109753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110.3855999999998</v>
      </c>
      <c r="D125" s="12">
        <f t="shared" si="86"/>
        <v>29.421816429201353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1079.2151443657633</v>
      </c>
      <c r="H125" s="70">
        <f t="shared" si="56"/>
        <v>536.83125028085863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460.30566673085474</v>
      </c>
      <c r="T125" s="62">
        <f t="shared" si="88"/>
        <v>569.42599742280231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1.7806877548867297</v>
      </c>
      <c r="AA125" s="23">
        <f>EXP(-LN(2)/25)*AA124+(1-EXP(-LN(2)/25))/(LN(2)/25)*Calculateur!V125*Calculateur!X125*VLOOKUP('Données projet'!$B$9,Paramètres!$A$1:$I$89,3,0)*0.475*44/12</f>
        <v>4.1688280539801141</v>
      </c>
      <c r="AB125" s="23">
        <f>EXP(-LN(2)/2)*AB124+(1-EXP(-LN(2)/2))/(LN(2)/2)*V125*Y125*VLOOKUP('Données projet'!$B$9,Paramètres!$A$1:$I$89,3,0)*0.475*44/12</f>
        <v>6.0430477812109384E-15</v>
      </c>
      <c r="AC125" s="24">
        <f t="shared" si="57"/>
        <v>5.9495158088668498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111.29039999999979</v>
      </c>
      <c r="D126" s="12">
        <f t="shared" si="86"/>
        <v>29.634806205918192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1087.8436970281389</v>
      </c>
      <c r="H126" s="70">
        <f t="shared" si="56"/>
        <v>538.77806747530713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460.30566673085474</v>
      </c>
      <c r="T126" s="62">
        <f t="shared" si="88"/>
        <v>569.42599742280231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1.7457695541256868</v>
      </c>
      <c r="AA126" s="23">
        <f>EXP(-LN(2)/25)*AA125+(1-EXP(-LN(2)/25))/(LN(2)/25)*Calculateur!V126*Calculateur!X126*VLOOKUP('Données projet'!$B$9,Paramètres!$A$1:$I$89,3,0)*0.475*44/12</f>
        <v>4.0548312316148882</v>
      </c>
      <c r="AB126" s="23">
        <f>EXP(-LN(2)/2)*AB125+(1-EXP(-LN(2)/2))/(LN(2)/2)*V126*Y126*VLOOKUP('Données projet'!$B$9,Paramètres!$A$1:$I$89,3,0)*0.475*44/12</f>
        <v>4.2730800651285745E-15</v>
      </c>
      <c r="AC126" s="24">
        <f t="shared" si="57"/>
        <v>5.8006007857405795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112.19519999999979</v>
      </c>
      <c r="D127" s="12">
        <f t="shared" si="86"/>
        <v>29.84759451457321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1096.4706944984582</v>
      </c>
      <c r="H127" s="70">
        <f t="shared" si="56"/>
        <v>540.72453377954798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460.30566673085474</v>
      </c>
      <c r="T127" s="62">
        <f t="shared" si="88"/>
        <v>569.42599742280231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1.7115360779835684</v>
      </c>
      <c r="AA127" s="23">
        <f>EXP(-LN(2)/25)*AA126+(1-EXP(-LN(2)/25))/(LN(2)/25)*Calculateur!V127*Calculateur!X127*VLOOKUP('Données projet'!$B$9,Paramètres!$A$1:$I$89,3,0)*0.475*44/12</f>
        <v>3.9439516583520722</v>
      </c>
      <c r="AB127" s="23">
        <f>EXP(-LN(2)/2)*AB126+(1-EXP(-LN(2)/2))/(LN(2)/2)*V127*Y127*VLOOKUP('Données projet'!$B$9,Paramètres!$A$1:$I$89,3,0)*0.475*44/12</f>
        <v>3.0215238906054692E-15</v>
      </c>
      <c r="AC127" s="24">
        <f t="shared" si="57"/>
        <v>5.6554877363356431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113.09999999999978</v>
      </c>
      <c r="D128" s="12">
        <f t="shared" si="86"/>
        <v>30.060183168217225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1105.0961507722016</v>
      </c>
      <c r="H128" s="70">
        <f t="shared" si="56"/>
        <v>542.67065235131122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460.30566673085474</v>
      </c>
      <c r="T128" s="62">
        <f t="shared" si="88"/>
        <v>569.42599742280231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1.6779738994282383</v>
      </c>
      <c r="AA128" s="23">
        <f>EXP(-LN(2)/25)*AA127+(1-EXP(-LN(2)/25))/(LN(2)/25)*Calculateur!V128*Calculateur!X128*VLOOKUP('Données projet'!$B$9,Paramètres!$A$1:$I$89,3,0)*0.475*44/12</f>
        <v>3.836104092851031</v>
      </c>
      <c r="AB128" s="23">
        <f>EXP(-LN(2)/2)*AB127+(1-EXP(-LN(2)/2))/(LN(2)/2)*V128*Y128*VLOOKUP('Données projet'!$B$9,Paramètres!$A$1:$I$89,3,0)*0.475*44/12</f>
        <v>2.1365400325642872E-15</v>
      </c>
      <c r="AC128" s="24">
        <f t="shared" si="57"/>
        <v>5.5140779922792706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114.00479999999978</v>
      </c>
      <c r="D129" s="12">
        <f t="shared" si="86"/>
        <v>30.27257394921725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1113.7200796079912</v>
      </c>
      <c r="H129" s="70">
        <f t="shared" si="56"/>
        <v>544.61642629488631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460.30566673085474</v>
      </c>
      <c r="T129" s="62">
        <f t="shared" si="88"/>
        <v>569.42599742280231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1.6450698547234706</v>
      </c>
      <c r="AA129" s="23">
        <f>EXP(-LN(2)/25)*AA128+(1-EXP(-LN(2)/25))/(LN(2)/25)*Calculateur!V129*Calculateur!X129*VLOOKUP('Données projet'!$B$9,Paramètres!$A$1:$I$89,3,0)*0.475*44/12</f>
        <v>3.7312056247000731</v>
      </c>
      <c r="AB129" s="23">
        <f>EXP(-LN(2)/2)*AB128+(1-EXP(-LN(2)/2))/(LN(2)/2)*V129*Y129*VLOOKUP('Données projet'!$B$9,Paramètres!$A$1:$I$89,3,0)*0.475*44/12</f>
        <v>1.5107619453027346E-15</v>
      </c>
      <c r="AC129" s="24">
        <f t="shared" si="57"/>
        <v>5.3762754794235459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114.90959999999977</v>
      </c>
      <c r="D130" s="12">
        <f t="shared" si="86"/>
        <v>30.484768610015109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1122.3424945334484</v>
      </c>
      <c r="H130" s="70">
        <f t="shared" si="56"/>
        <v>546.56185866244255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460.30566673085474</v>
      </c>
      <c r="T130" s="62">
        <f t="shared" si="88"/>
        <v>569.42599742280231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1.6128110382658778</v>
      </c>
      <c r="AA130" s="23">
        <f>EXP(-LN(2)/25)*AA129+(1-EXP(-LN(2)/25))/(LN(2)/25)*Calculateur!V130*Calculateur!X130*VLOOKUP('Données projet'!$B$9,Paramètres!$A$1:$I$89,3,0)*0.475*44/12</f>
        <v>3.6291756106770734</v>
      </c>
      <c r="AB130" s="23">
        <f>EXP(-LN(2)/2)*AB129+(1-EXP(-LN(2)/2))/(LN(2)/2)*V130*Y130*VLOOKUP('Données projet'!$B$9,Paramètres!$A$1:$I$89,3,0)*0.475*44/12</f>
        <v>1.0682700162821436E-15</v>
      </c>
      <c r="AC130" s="24">
        <f t="shared" si="57"/>
        <v>5.2419866489429525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115.81439999999976</v>
      </c>
      <c r="D131" s="12">
        <f t="shared" si="86"/>
        <v>30.696768873861345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1130.9634088508576</v>
      </c>
      <c r="H131" s="70">
        <f t="shared" si="56"/>
        <v>548.50695245530801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460.30566673085474</v>
      </c>
      <c r="T131" s="62">
        <f t="shared" si="88"/>
        <v>569.42599742280231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1.5811847975230833</v>
      </c>
      <c r="AA131" s="23">
        <f>EXP(-LN(2)/25)*AA130+(1-EXP(-LN(2)/25))/(LN(2)/25)*Calculateur!V131*Calculateur!X131*VLOOKUP('Données projet'!$B$9,Paramètres!$A$1:$I$89,3,0)*0.475*44/12</f>
        <v>3.5299356127530581</v>
      </c>
      <c r="AB131" s="23">
        <f>EXP(-LN(2)/2)*AB130+(1-EXP(-LN(2)/2))/(LN(2)/2)*V131*Y131*VLOOKUP('Données projet'!$B$9,Paramètres!$A$1:$I$89,3,0)*0.475*44/12</f>
        <v>7.553809726513673E-16</v>
      </c>
      <c r="AC131" s="24">
        <f t="shared" si="57"/>
        <v>5.1111204102761425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116.71919999999976</v>
      </c>
      <c r="D132" s="12">
        <f t="shared" si="86"/>
        <v>30.908576435525834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1139.5828356426539</v>
      </c>
      <c r="H132" s="70">
        <f t="shared" ref="H132:H195" si="110">(B132+E132+F132)*44/12+(C132+D132)*0.475*44/12</f>
        <v>550.45171062520706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460.30566673085474</v>
      </c>
      <c r="T132" s="62">
        <f t="shared" si="88"/>
        <v>569.42599742280231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1.5501787280711528</v>
      </c>
      <c r="AA132" s="23">
        <f>EXP(-LN(2)/25)*AA131+(1-EXP(-LN(2)/25))/(LN(2)/25)*Calculateur!V132*Calculateur!X132*VLOOKUP('Données projet'!$B$9,Paramètres!$A$1:$I$89,3,0)*0.475*44/12</f>
        <v>3.4334093377910797</v>
      </c>
      <c r="AB132" s="23">
        <f>EXP(-LN(2)/2)*AB131+(1-EXP(-LN(2)/2))/(LN(2)/2)*V132*Y132*VLOOKUP('Données projet'!$B$9,Paramètres!$A$1:$I$89,3,0)*0.475*44/12</f>
        <v>5.3413500814107181E-16</v>
      </c>
      <c r="AC132" s="24">
        <f t="shared" ref="AC132:AC153" si="111">SUM(Z132:AB132)</f>
        <v>4.9835880658622331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117.62399999999975</v>
      </c>
      <c r="D133" s="12">
        <f t="shared" ref="D133:D196" si="140">IFERROR(EXP(-1.0587+0.8836*LN(C133)+0.284),0)</f>
        <v>31.120192961985357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1148.2007877767273</v>
      </c>
      <c r="H133" s="70">
        <f t="shared" si="110"/>
        <v>552.39613607545732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460.30566673085474</v>
      </c>
      <c r="T133" s="62">
        <f t="shared" ref="T133:T196" si="142">$T$3</f>
        <v>569.42599742280231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1.5197806687293396</v>
      </c>
      <c r="AA133" s="23">
        <f>EXP(-LN(2)/25)*AA132+(1-EXP(-LN(2)/25))/(LN(2)/25)*Calculateur!V133*Calculateur!X133*VLOOKUP('Données projet'!$B$9,Paramètres!$A$1:$I$89,3,0)*0.475*44/12</f>
        <v>3.3395225788940328</v>
      </c>
      <c r="AB133" s="23">
        <f>EXP(-LN(2)/2)*AB132+(1-EXP(-LN(2)/2))/(LN(2)/2)*V133*Y133*VLOOKUP('Données projet'!$B$9,Paramètres!$A$1:$I$89,3,0)*0.475*44/12</f>
        <v>3.7769048632568365E-16</v>
      </c>
      <c r="AC133" s="24">
        <f t="shared" si="111"/>
        <v>4.8593032476233722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118.52879999999975</v>
      </c>
      <c r="D134" s="12">
        <f t="shared" si="140"/>
        <v>31.331620093089665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1156.8172779115673</v>
      </c>
      <c r="H134" s="70">
        <f t="shared" si="110"/>
        <v>554.34023166213069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460.30566673085474</v>
      </c>
      <c r="T134" s="62">
        <f t="shared" si="142"/>
        <v>569.42599742280231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1.489978696790234</v>
      </c>
      <c r="AA134" s="23">
        <f>EXP(-LN(2)/25)*AA133+(1-EXP(-LN(2)/25))/(LN(2)/25)*Calculateur!V134*Calculateur!X134*VLOOKUP('Données projet'!$B$9,Paramètres!$A$1:$I$89,3,0)*0.475*44/12</f>
        <v>3.2482031583563158</v>
      </c>
      <c r="AB134" s="23">
        <f>EXP(-LN(2)/2)*AB133+(1-EXP(-LN(2)/2))/(LN(2)/2)*V134*Y134*VLOOKUP('Données projet'!$B$9,Paramètres!$A$1:$I$89,3,0)*0.475*44/12</f>
        <v>2.670675040705359E-16</v>
      </c>
      <c r="AC134" s="24">
        <f t="shared" si="111"/>
        <v>4.73818185514655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119.43359999999974</v>
      </c>
      <c r="D135" s="12">
        <f t="shared" si="140"/>
        <v>31.542859442206623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1165.4323185012422</v>
      </c>
      <c r="H135" s="70">
        <f t="shared" si="110"/>
        <v>556.28400019517608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460.30566673085474</v>
      </c>
      <c r="T135" s="62">
        <f t="shared" si="142"/>
        <v>569.42599742280231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1.4607611233434463</v>
      </c>
      <c r="AA135" s="23">
        <f>EXP(-LN(2)/25)*AA134+(1-EXP(-LN(2)/25))/(LN(2)/25)*Calculateur!V135*Calculateur!X135*VLOOKUP('Données projet'!$B$9,Paramètres!$A$1:$I$89,3,0)*0.475*44/12</f>
        <v>3.1593808721754821</v>
      </c>
      <c r="AB135" s="23">
        <f>EXP(-LN(2)/2)*AB134+(1-EXP(-LN(2)/2))/(LN(2)/2)*V135*Y135*VLOOKUP('Données projet'!$B$9,Paramètres!$A$1:$I$89,3,0)*0.475*44/12</f>
        <v>1.8884524316284183E-16</v>
      </c>
      <c r="AC135" s="24">
        <f t="shared" si="111"/>
        <v>4.620141995518928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120.33839999999974</v>
      </c>
      <c r="D136" s="12">
        <f t="shared" si="140"/>
        <v>31.753912596847002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1174.0459218002206</v>
      </c>
      <c r="H136" s="70">
        <f t="shared" si="110"/>
        <v>558.22744443950796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460.30566673085474</v>
      </c>
      <c r="T136" s="62">
        <f t="shared" si="142"/>
        <v>569.42599742280231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1.4321164886909901</v>
      </c>
      <c r="AA136" s="23">
        <f>EXP(-LN(2)/25)*AA135+(1-EXP(-LN(2)/25))/(LN(2)/25)*Calculateur!V136*Calculateur!X136*VLOOKUP('Données projet'!$B$9,Paramètres!$A$1:$I$89,3,0)*0.475*44/12</f>
        <v>3.0729874360812244</v>
      </c>
      <c r="AB136" s="23">
        <f>EXP(-LN(2)/2)*AB135+(1-EXP(-LN(2)/2))/(LN(2)/2)*V136*Y136*VLOOKUP('Données projet'!$B$9,Paramètres!$A$1:$I$89,3,0)*0.475*44/12</f>
        <v>1.3353375203526795E-16</v>
      </c>
      <c r="AC136" s="24">
        <f t="shared" si="111"/>
        <v>4.5051039247722144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121.24319999999973</v>
      </c>
      <c r="D137" s="12">
        <f t="shared" si="140"/>
        <v>31.964781119270278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1182.6580998680492</v>
      </c>
      <c r="H137" s="70">
        <f t="shared" si="110"/>
        <v>560.17056711606187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460.30566673085474</v>
      </c>
      <c r="T137" s="62">
        <f t="shared" si="142"/>
        <v>569.42599742280231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1.4040335578525664</v>
      </c>
      <c r="AA137" s="23">
        <f>EXP(-LN(2)/25)*AA136+(1-EXP(-LN(2)/25))/(LN(2)/25)*Calculateur!V137*Calculateur!X137*VLOOKUP('Données projet'!$B$9,Paramètres!$A$1:$I$89,3,0)*0.475*44/12</f>
        <v>2.9889564330401974</v>
      </c>
      <c r="AB137" s="23">
        <f>EXP(-LN(2)/2)*AB136+(1-EXP(-LN(2)/2))/(LN(2)/2)*V137*Y137*VLOOKUP('Données projet'!$B$9,Paramètres!$A$1:$I$89,3,0)*0.475*44/12</f>
        <v>9.4422621581420913E-17</v>
      </c>
      <c r="AC137" s="24">
        <f t="shared" si="111"/>
        <v>4.3929899908927634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122.14799999999973</v>
      </c>
      <c r="D138" s="12">
        <f t="shared" si="140"/>
        <v>32.17546654707153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1191.2688645738835</v>
      </c>
      <c r="H138" s="70">
        <f t="shared" si="110"/>
        <v>562.11337090281575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460.30566673085474</v>
      </c>
      <c r="T138" s="62">
        <f t="shared" si="142"/>
        <v>569.42599742280231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1.3765013161589879</v>
      </c>
      <c r="AA138" s="23">
        <f>EXP(-LN(2)/25)*AA137+(1-EXP(-LN(2)/25))/(LN(2)/25)*Calculateur!V138*Calculateur!X138*VLOOKUP('Données projet'!$B$9,Paramètres!$A$1:$I$89,3,0)*0.475*44/12</f>
        <v>2.9072232621963257</v>
      </c>
      <c r="AB138" s="23">
        <f>EXP(-LN(2)/2)*AB137+(1-EXP(-LN(2)/2))/(LN(2)/2)*V138*Y138*VLOOKUP('Données projet'!$B$9,Paramètres!$A$1:$I$89,3,0)*0.475*44/12</f>
        <v>6.6766876017633976E-17</v>
      </c>
      <c r="AC138" s="24">
        <f t="shared" si="111"/>
        <v>4.2837245783553133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123.05279999999972</v>
      </c>
      <c r="D139" s="12">
        <f t="shared" si="140"/>
        <v>32.385970393750767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1199.8782276008808</v>
      </c>
      <c r="H139" s="70">
        <f t="shared" si="110"/>
        <v>564.05585843578206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460.30566673085474</v>
      </c>
      <c r="T139" s="62">
        <f t="shared" si="142"/>
        <v>569.42599742280231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1.3495089649320111</v>
      </c>
      <c r="AA139" s="23">
        <f>EXP(-LN(2)/25)*AA138+(1-EXP(-LN(2)/25))/(LN(2)/25)*Calculateur!V139*Calculateur!X139*VLOOKUP('Données projet'!$B$9,Paramètres!$A$1:$I$89,3,0)*0.475*44/12</f>
        <v>2.8277250892073402</v>
      </c>
      <c r="AB139" s="23">
        <f>EXP(-LN(2)/2)*AB138+(1-EXP(-LN(2)/2))/(LN(2)/2)*V139*Y139*VLOOKUP('Données projet'!$B$9,Paramètres!$A$1:$I$89,3,0)*0.475*44/12</f>
        <v>4.7211310790710456E-17</v>
      </c>
      <c r="AC139" s="24">
        <f t="shared" si="111"/>
        <v>4.1772340541393511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123.95759999999972</v>
      </c>
      <c r="D140" s="12">
        <f t="shared" si="140"/>
        <v>32.596294149264523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1208.486200450461</v>
      </c>
      <c r="H140" s="70">
        <f t="shared" si="110"/>
        <v>565.99803230996849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460.30566673085474</v>
      </c>
      <c r="T140" s="62">
        <f t="shared" si="142"/>
        <v>569.42599742280231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1.3230459172488866</v>
      </c>
      <c r="AA140" s="23">
        <f>EXP(-LN(2)/25)*AA139+(1-EXP(-LN(2)/25))/(LN(2)/25)*Calculateur!V140*Calculateur!X140*VLOOKUP('Données projet'!$B$9,Paramètres!$A$1:$I$89,3,0)*0.475*44/12</f>
        <v>2.7504007979393661</v>
      </c>
      <c r="AB140" s="23">
        <f>EXP(-LN(2)/2)*AB139+(1-EXP(-LN(2)/2))/(LN(2)/2)*V140*Y140*VLOOKUP('Données projet'!$B$9,Paramètres!$A$1:$I$89,3,0)*0.475*44/12</f>
        <v>3.3383438008816988E-17</v>
      </c>
      <c r="AC140" s="24">
        <f t="shared" si="111"/>
        <v>4.0734467151882523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124.86239999999971</v>
      </c>
      <c r="D141" s="12">
        <f t="shared" si="140"/>
        <v>32.806439280561541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1217.0927944464379</v>
      </c>
      <c r="H141" s="70">
        <f t="shared" si="110"/>
        <v>567.93989508031086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460.30566673085474</v>
      </c>
      <c r="T141" s="62">
        <f t="shared" si="142"/>
        <v>569.42599742280231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1.2971017937899629</v>
      </c>
      <c r="AA141" s="23">
        <f>EXP(-LN(2)/25)*AA140+(1-EXP(-LN(2)/25))/(LN(2)/25)*Calculateur!V141*Calculateur!X141*VLOOKUP('Données projet'!$B$9,Paramètres!$A$1:$I$89,3,0)*0.475*44/12</f>
        <v>2.6751909434824221</v>
      </c>
      <c r="AB141" s="23">
        <f>EXP(-LN(2)/2)*AB140+(1-EXP(-LN(2)/2))/(LN(2)/2)*V141*Y141*VLOOKUP('Données projet'!$B$9,Paramètres!$A$1:$I$89,3,0)*0.475*44/12</f>
        <v>2.3605655395355228E-17</v>
      </c>
      <c r="AC141" s="24">
        <f t="shared" si="111"/>
        <v>3.9722927372723849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125.7671999999997</v>
      </c>
      <c r="D142" s="12">
        <f t="shared" si="140"/>
        <v>33.01640723210194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1225.6980207390304</v>
      </c>
      <c r="H142" s="70">
        <f t="shared" si="110"/>
        <v>569.88144926257701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460.30566673085474</v>
      </c>
      <c r="T142" s="62">
        <f t="shared" si="142"/>
        <v>569.42599742280231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1.271666418767716</v>
      </c>
      <c r="AA142" s="23">
        <f>EXP(-LN(2)/25)*AA141+(1-EXP(-LN(2)/25))/(LN(2)/25)*Calculateur!V142*Calculateur!X142*VLOOKUP('Données projet'!$B$9,Paramètres!$A$1:$I$89,3,0)*0.475*44/12</f>
        <v>2.6020377064507176</v>
      </c>
      <c r="AB142" s="23">
        <f>EXP(-LN(2)/2)*AB141+(1-EXP(-LN(2)/2))/(LN(2)/2)*V142*Y142*VLOOKUP('Données projet'!$B$9,Paramètres!$A$1:$I$89,3,0)*0.475*44/12</f>
        <v>1.6691719004408494E-17</v>
      </c>
      <c r="AC142" s="24">
        <f t="shared" si="111"/>
        <v>3.8737041252184339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126.6719999999997</v>
      </c>
      <c r="D143" s="12">
        <f t="shared" si="140"/>
        <v>33.226199426361262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1234.3018903087514</v>
      </c>
      <c r="H143" s="70">
        <f t="shared" si="110"/>
        <v>571.82269733424528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460.30566673085474</v>
      </c>
      <c r="T143" s="62">
        <f t="shared" si="142"/>
        <v>569.42599742280231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1.2467298159356084</v>
      </c>
      <c r="AA143" s="23">
        <f>EXP(-LN(2)/25)*AA142+(1-EXP(-LN(2)/25))/(LN(2)/25)*Calculateur!V143*Calculateur!X143*VLOOKUP('Données projet'!$B$9,Paramètres!$A$1:$I$89,3,0)*0.475*44/12</f>
        <v>2.5308848485326068</v>
      </c>
      <c r="AB143" s="23">
        <f>EXP(-LN(2)/2)*AB142+(1-EXP(-LN(2)/2))/(LN(2)/2)*V143*Y143*VLOOKUP('Données projet'!$B$9,Paramètres!$A$1:$I$89,3,0)*0.475*44/12</f>
        <v>1.1802827697677614E-17</v>
      </c>
      <c r="AC143" s="24">
        <f t="shared" si="111"/>
        <v>3.7776146644682154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127.57679999999969</v>
      </c>
      <c r="D144" s="12">
        <f t="shared" si="140"/>
        <v>33.435817264319766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1242.9044139701853</v>
      </c>
      <c r="H144" s="70">
        <f t="shared" si="110"/>
        <v>573.76364173535637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460.30566673085474</v>
      </c>
      <c r="T144" s="62">
        <f t="shared" si="142"/>
        <v>569.42599742280231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1.2222822046752126</v>
      </c>
      <c r="AA144" s="23">
        <f>EXP(-LN(2)/25)*AA143+(1-EXP(-LN(2)/25))/(LN(2)/25)*Calculateur!V144*Calculateur!X144*VLOOKUP('Données projet'!$B$9,Paramètres!$A$1:$I$89,3,0)*0.475*44/12</f>
        <v>2.4616776692560327</v>
      </c>
      <c r="AB144" s="23">
        <f>EXP(-LN(2)/2)*AB143+(1-EXP(-LN(2)/2))/(LN(2)/2)*V144*Y144*VLOOKUP('Données projet'!$B$9,Paramètres!$A$1:$I$89,3,0)*0.475*44/12</f>
        <v>8.345859502204247E-18</v>
      </c>
      <c r="AC144" s="24">
        <f t="shared" si="111"/>
        <v>3.6839598739312454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128.4815999999997</v>
      </c>
      <c r="D145" s="12">
        <f t="shared" si="140"/>
        <v>33.64526212593713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1251.5056023756529</v>
      </c>
      <c r="H145" s="70">
        <f t="shared" si="110"/>
        <v>575.70428486933997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460.30566673085474</v>
      </c>
      <c r="T145" s="62">
        <f t="shared" si="142"/>
        <v>569.42599742280231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1.1983139961600628</v>
      </c>
      <c r="AA145" s="23">
        <f>EXP(-LN(2)/25)*AA144+(1-EXP(-LN(2)/25))/(LN(2)/25)*Calculateur!V145*Calculateur!X145*VLOOKUP('Données projet'!$B$9,Paramètres!$A$1:$I$89,3,0)*0.475*44/12</f>
        <v>2.3943629639362243</v>
      </c>
      <c r="AB145" s="23">
        <f>EXP(-LN(2)/2)*AB144+(1-EXP(-LN(2)/2))/(LN(2)/2)*V145*Y145*VLOOKUP('Données projet'!$B$9,Paramètres!$A$1:$I$89,3,0)*0.475*44/12</f>
        <v>5.9014138488388071E-18</v>
      </c>
      <c r="AC145" s="24">
        <f t="shared" si="111"/>
        <v>3.5926769600962869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129.3863999999997</v>
      </c>
      <c r="D146" s="12">
        <f t="shared" si="140"/>
        <v>33.85453537061386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1260.1054660187713</v>
      </c>
      <c r="H146" s="70">
        <f t="shared" si="110"/>
        <v>577.6446291038186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460.30566673085474</v>
      </c>
      <c r="T146" s="62">
        <f t="shared" si="142"/>
        <v>569.42599742280231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1.1748157895947313</v>
      </c>
      <c r="AA146" s="23">
        <f>EXP(-LN(2)/25)*AA145+(1-EXP(-LN(2)/25))/(LN(2)/25)*Calculateur!V146*Calculateur!X146*VLOOKUP('Données projet'!$B$9,Paramètres!$A$1:$I$89,3,0)*0.475*44/12</f>
        <v>2.3288889827733121</v>
      </c>
      <c r="AB146" s="23">
        <f>EXP(-LN(2)/2)*AB145+(1-EXP(-LN(2)/2))/(LN(2)/2)*V146*Y146*VLOOKUP('Données projet'!$B$9,Paramètres!$A$1:$I$89,3,0)*0.475*44/12</f>
        <v>4.1729297511021235E-18</v>
      </c>
      <c r="AC146" s="24">
        <f t="shared" si="111"/>
        <v>3.5037047723680432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130.29119999999969</v>
      </c>
      <c r="D147" s="12">
        <f t="shared" si="140"/>
        <v>34.063638337638892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1268.7040152379116</v>
      </c>
      <c r="H147" s="70">
        <f t="shared" si="110"/>
        <v>579.58467677138708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460.30566673085474</v>
      </c>
      <c r="T147" s="62">
        <f t="shared" si="142"/>
        <v>569.42599742280231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1.1517783685276552</v>
      </c>
      <c r="AA147" s="23">
        <f>EXP(-LN(2)/25)*AA146+(1-EXP(-LN(2)/25))/(LN(2)/25)*Calculateur!V147*Calculateur!X147*VLOOKUP('Données projet'!$B$9,Paramètres!$A$1:$I$89,3,0)*0.475*44/12</f>
        <v>2.2652053910684269</v>
      </c>
      <c r="AB147" s="23">
        <f>EXP(-LN(2)/2)*AB146+(1-EXP(-LN(2)/2))/(LN(2)/2)*V147*Y147*VLOOKUP('Données projet'!$B$9,Paramètres!$A$1:$I$89,3,0)*0.475*44/12</f>
        <v>2.9507069244194035E-18</v>
      </c>
      <c r="AC147" s="24">
        <f t="shared" si="111"/>
        <v>3.4169837595960821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131.19599999999969</v>
      </c>
      <c r="D148" s="12">
        <f t="shared" si="140"/>
        <v>34.272572346624933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1277.3012602195586</v>
      </c>
      <c r="H148" s="70">
        <f t="shared" si="110"/>
        <v>581.52443017037126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460.30566673085474</v>
      </c>
      <c r="T148" s="62">
        <f t="shared" si="142"/>
        <v>569.42599742280231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1.1291926972362651</v>
      </c>
      <c r="AA148" s="23">
        <f>EXP(-LN(2)/25)*AA147+(1-EXP(-LN(2)/25))/(LN(2)/25)*Calculateur!V148*Calculateur!X148*VLOOKUP('Données projet'!$B$9,Paramètres!$A$1:$I$89,3,0)*0.475*44/12</f>
        <v>2.2032632305276865</v>
      </c>
      <c r="AB148" s="23">
        <f>EXP(-LN(2)/2)*AB147+(1-EXP(-LN(2)/2))/(LN(2)/2)*V148*Y148*VLOOKUP('Données projet'!$B$9,Paramètres!$A$1:$I$89,3,0)*0.475*44/12</f>
        <v>2.0864648755510617E-18</v>
      </c>
      <c r="AC148" s="24">
        <f t="shared" si="111"/>
        <v>3.3324559277639514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132.10079999999968</v>
      </c>
      <c r="D149" s="12">
        <f t="shared" si="140"/>
        <v>34.481338697931058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1285.8972110015707</v>
      </c>
      <c r="H149" s="70">
        <f t="shared" si="110"/>
        <v>583.46389156556268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460.30566673085474</v>
      </c>
      <c r="T149" s="62">
        <f t="shared" si="142"/>
        <v>569.42599742280231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1.1070499171829999</v>
      </c>
      <c r="AA149" s="23">
        <f>EXP(-LN(2)/25)*AA148+(1-EXP(-LN(2)/25))/(LN(2)/25)*Calculateur!V149*Calculateur!X149*VLOOKUP('Données projet'!$B$9,Paramètres!$A$1:$I$89,3,0)*0.475*44/12</f>
        <v>2.1430148816243291</v>
      </c>
      <c r="AB149" s="23">
        <f>EXP(-LN(2)/2)*AB148+(1-EXP(-LN(2)/2))/(LN(2)/2)*V149*Y149*VLOOKUP('Données projet'!$B$9,Paramètres!$A$1:$I$89,3,0)*0.475*44/12</f>
        <v>1.4753534622097018E-18</v>
      </c>
      <c r="AC149" s="24">
        <f t="shared" si="111"/>
        <v>3.2500647988073288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133.00559999999967</v>
      </c>
      <c r="D150" s="12">
        <f t="shared" si="140"/>
        <v>34.689938673073485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1294.4918774763544</v>
      </c>
      <c r="H150" s="70">
        <f t="shared" si="110"/>
        <v>585.40306318893568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460.30566673085474</v>
      </c>
      <c r="T150" s="62">
        <f t="shared" si="142"/>
        <v>569.42599742280231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1.085341343540817</v>
      </c>
      <c r="AA150" s="23">
        <f>EXP(-LN(2)/25)*AA149+(1-EXP(-LN(2)/25))/(LN(2)/25)*Calculateur!V150*Calculateur!X150*VLOOKUP('Données projet'!$B$9,Paramètres!$A$1:$I$89,3,0)*0.475*44/12</f>
        <v>2.0844140269900571</v>
      </c>
      <c r="AB150" s="23">
        <f>EXP(-LN(2)/2)*AB149+(1-EXP(-LN(2)/2))/(LN(2)/2)*V150*Y150*VLOOKUP('Données projet'!$B$9,Paramètres!$A$1:$I$89,3,0)*0.475*44/12</f>
        <v>1.0432324377755309E-18</v>
      </c>
      <c r="AC150" s="24">
        <f t="shared" si="111"/>
        <v>3.1697553705308739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133.91039999999967</v>
      </c>
      <c r="D151" s="12">
        <f t="shared" si="140"/>
        <v>34.89837353512506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1303.0852693939453</v>
      </c>
      <c r="H151" s="70">
        <f t="shared" si="110"/>
        <v>587.34194724034217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460.30566673085474</v>
      </c>
      <c r="T151" s="62">
        <f t="shared" si="142"/>
        <v>569.42599742280231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1.0640584617868347</v>
      </c>
      <c r="AA151" s="23">
        <f>EXP(-LN(2)/25)*AA150+(1-EXP(-LN(2)/25))/(LN(2)/25)*Calculateur!V151*Calculateur!X151*VLOOKUP('Données projet'!$B$9,Paramètres!$A$1:$I$89,3,0)*0.475*44/12</f>
        <v>2.0274156158074441</v>
      </c>
      <c r="AB151" s="23">
        <f>EXP(-LN(2)/2)*AB150+(1-EXP(-LN(2)/2))/(LN(2)/2)*V151*Y151*VLOOKUP('Données projet'!$B$9,Paramètres!$A$1:$I$89,3,0)*0.475*44/12</f>
        <v>7.3767673110485088E-19</v>
      </c>
      <c r="AC151" s="24">
        <f t="shared" si="111"/>
        <v>3.0914740775942788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134.81519999999966</v>
      </c>
      <c r="D152" s="12">
        <f t="shared" si="140"/>
        <v>35.106644529103299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1311.6773963650055</v>
      </c>
      <c r="H152" s="70">
        <f t="shared" si="110"/>
        <v>589.28054588818759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460.30566673085474</v>
      </c>
      <c r="T152" s="62">
        <f t="shared" si="142"/>
        <v>569.42599742280231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1.043192924362772</v>
      </c>
      <c r="AA152" s="23">
        <f>EXP(-LN(2)/25)*AA151+(1-EXP(-LN(2)/25))/(LN(2)/25)*Calculateur!V152*Calculateur!X152*VLOOKUP('Données projet'!$B$9,Paramètres!$A$1:$I$89,3,0)*0.475*44/12</f>
        <v>1.9719758291760361</v>
      </c>
      <c r="AB152" s="23">
        <f>EXP(-LN(2)/2)*AB151+(1-EXP(-LN(2)/2))/(LN(2)/2)*V152*Y152*VLOOKUP('Données projet'!$B$9,Paramètres!$A$1:$I$89,3,0)*0.475*44/12</f>
        <v>5.2161621888776544E-19</v>
      </c>
      <c r="AC152" s="24">
        <f t="shared" si="111"/>
        <v>3.0151687535388083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135.71999999999966</v>
      </c>
      <c r="D153" s="12">
        <f t="shared" si="140"/>
        <v>35.314752882348067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1320.2682678637368</v>
      </c>
      <c r="H153" s="70">
        <f t="shared" si="110"/>
        <v>591.21886127008895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460.30566673085474</v>
      </c>
      <c r="T153" s="62">
        <f t="shared" si="142"/>
        <v>569.42599742280231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1.0227365474008741</v>
      </c>
      <c r="AA153" s="23">
        <f>EXP(-LN(2)/25)*AA152+(1-EXP(-LN(2)/25))/(LN(2)/25)*Calculateur!V153*Calculateur!X153*VLOOKUP('Données projet'!$B$9,Paramètres!$A$1:$I$89,3,0)*0.475*44/12</f>
        <v>1.9180520464255155</v>
      </c>
      <c r="AB153" s="23">
        <f>EXP(-LN(2)/2)*AB152+(1-EXP(-LN(2)/2))/(LN(2)/2)*V153*Y153*VLOOKUP('Données projet'!$B$9,Paramètres!$A$1:$I$89,3,0)*0.475*44/12</f>
        <v>3.6883836555242544E-19</v>
      </c>
      <c r="AC153" s="24">
        <f t="shared" si="111"/>
        <v>2.9407885938263894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136.62479999999965</v>
      </c>
      <c r="D154" s="12">
        <f t="shared" si="140"/>
        <v>35.522699804888539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1328.8578932307157</v>
      </c>
      <c r="H154" s="70">
        <f t="shared" si="110"/>
        <v>593.1568954935135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460.30566673085474</v>
      </c>
      <c r="T154" s="62">
        <f t="shared" si="142"/>
        <v>569.42599742280231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1.0026813075140408</v>
      </c>
      <c r="AA154" s="23">
        <f>EXP(-LN(2)/25)*AA153+(1-EXP(-LN(2)/25))/(LN(2)/25)*Calculateur!V154*Calculateur!X154*VLOOKUP('Données projet'!$B$9,Paramètres!$A$1:$I$89,3,0)*0.475*44/12</f>
        <v>1.8656028123500366</v>
      </c>
      <c r="AB154" s="23">
        <f>EXP(-LN(2)/2)*AB153+(1-EXP(-LN(2)/2))/(LN(2)/2)*V154*Y154*VLOOKUP('Données projet'!$B$9,Paramètres!$A$1:$I$89,3,0)*0.475*44/12</f>
        <v>2.6080810944388272E-19</v>
      </c>
      <c r="AC154" s="24">
        <f t="shared" ref="AC154:AC203" si="163">SUM(Z154:AB154)</f>
        <v>2.8682841198640774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137.52959999999965</v>
      </c>
      <c r="D155" s="12">
        <f t="shared" si="140"/>
        <v>35.730486489800448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1337.44628167565</v>
      </c>
      <c r="H155" s="70">
        <f t="shared" si="110"/>
        <v>595.09465063640187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460.30566673085474</v>
      </c>
      <c r="T155" s="62">
        <f t="shared" si="142"/>
        <v>569.42599742280231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0.98301933864890001</v>
      </c>
      <c r="AA155" s="23">
        <f>EXP(-LN(2)/25)*AA154+(1-EXP(-LN(2)/25))/(LN(2)/25)*Calculateur!V155*Calculateur!X155*VLOOKUP('Données projet'!$B$9,Paramètres!$A$1:$I$89,3,0)*0.475*44/12</f>
        <v>1.8145878053385367</v>
      </c>
      <c r="AB155" s="23">
        <f>EXP(-LN(2)/2)*AB154+(1-EXP(-LN(2)/2))/(LN(2)/2)*V155*Y155*VLOOKUP('Données projet'!$B$9,Paramètres!$A$1:$I$89,3,0)*0.475*44/12</f>
        <v>1.8441918277621272E-19</v>
      </c>
      <c r="AC155" s="24">
        <f t="shared" si="163"/>
        <v>2.7976071439874368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138.43439999999964</v>
      </c>
      <c r="D156" s="12">
        <f t="shared" si="140"/>
        <v>35.938114113553482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1346.033442280059</v>
      </c>
      <c r="H156" s="70">
        <f t="shared" si="110"/>
        <v>597.03212874777159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460.30566673085474</v>
      </c>
      <c r="T156" s="62">
        <f t="shared" si="142"/>
        <v>569.42599742280231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0.96374292900058778</v>
      </c>
      <c r="AA156" s="23">
        <f>EXP(-LN(2)/25)*AA155+(1-EXP(-LN(2)/25))/(LN(2)/25)*Calculateur!V156*Calculateur!X156*VLOOKUP('Données projet'!$B$9,Paramètres!$A$1:$I$89,3,0)*0.475*44/12</f>
        <v>1.7649678063765291</v>
      </c>
      <c r="AB156" s="23">
        <f>EXP(-LN(2)/2)*AB155+(1-EXP(-LN(2)/2))/(LN(2)/2)*V156*Y156*VLOOKUP('Données projet'!$B$9,Paramètres!$A$1:$I$89,3,0)*0.475*44/12</f>
        <v>1.3040405472194136E-19</v>
      </c>
      <c r="AC156" s="24">
        <f t="shared" si="163"/>
        <v>2.7287107353771169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139.33919999999964</v>
      </c>
      <c r="D157" s="12">
        <f t="shared" si="140"/>
        <v>36.145583836349559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1354.6193839998889</v>
      </c>
      <c r="H157" s="70">
        <f t="shared" si="110"/>
        <v>598.96933184830823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460.30566673085474</v>
      </c>
      <c r="T157" s="62">
        <f t="shared" si="142"/>
        <v>569.42599742280231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0.94484451798803004</v>
      </c>
      <c r="AA157" s="23">
        <f>EXP(-LN(2)/25)*AA156+(1-EXP(-LN(2)/25))/(LN(2)/25)*Calculateur!V157*Calculateur!X157*VLOOKUP('Données projet'!$B$9,Paramètres!$A$1:$I$89,3,0)*0.475*44/12</f>
        <v>1.7167046688955399</v>
      </c>
      <c r="AB157" s="23">
        <f>EXP(-LN(2)/2)*AB156+(1-EXP(-LN(2)/2))/(LN(2)/2)*V157*Y157*VLOOKUP('Données projet'!$B$9,Paramètres!$A$1:$I$89,3,0)*0.475*44/12</f>
        <v>9.220959138810636E-20</v>
      </c>
      <c r="AC157" s="24">
        <f t="shared" si="163"/>
        <v>2.6615491868835699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140.24399999999963</v>
      </c>
      <c r="D158" s="12">
        <f t="shared" si="140"/>
        <v>36.35289680245166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1363.204115668045</v>
      </c>
      <c r="H158" s="70">
        <f t="shared" si="110"/>
        <v>600.9062619309359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460.30566673085474</v>
      </c>
      <c r="T158" s="62">
        <f t="shared" si="142"/>
        <v>569.42599742280231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0.92631669328853605</v>
      </c>
      <c r="AA158" s="23">
        <f>EXP(-LN(2)/25)*AA157+(1-EXP(-LN(2)/25))/(LN(2)/25)*Calculateur!V158*Calculateur!X158*VLOOKUP('Données projet'!$B$9,Paramètres!$A$1:$I$89,3,0)*0.475*44/12</f>
        <v>1.6697612894470164</v>
      </c>
      <c r="AB158" s="23">
        <f>EXP(-LN(2)/2)*AB157+(1-EXP(-LN(2)/2))/(LN(2)/2)*V158*Y158*VLOOKUP('Données projet'!$B$9,Paramètres!$A$1:$I$89,3,0)*0.475*44/12</f>
        <v>6.520202736097068E-20</v>
      </c>
      <c r="AC158" s="24">
        <f t="shared" si="163"/>
        <v>2.5960779827355527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141.14879999999962</v>
      </c>
      <c r="D159" s="12">
        <f t="shared" si="140"/>
        <v>36.560054140504384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1371.7876459968732</v>
      </c>
      <c r="H159" s="70">
        <f t="shared" si="110"/>
        <v>602.84292096137779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460.30566673085474</v>
      </c>
      <c r="T159" s="62">
        <f t="shared" si="142"/>
        <v>569.42599742280231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0.90815218793054187</v>
      </c>
      <c r="AA159" s="23">
        <f>EXP(-LN(2)/25)*AA158+(1-EXP(-LN(2)/25))/(LN(2)/25)*Calculateur!V159*Calculateur!X159*VLOOKUP('Données projet'!$B$9,Paramètres!$A$1:$I$89,3,0)*0.475*44/12</f>
        <v>1.6241015791781579</v>
      </c>
      <c r="AB159" s="23">
        <f>EXP(-LN(2)/2)*AB158+(1-EXP(-LN(2)/2))/(LN(2)/2)*V159*Y159*VLOOKUP('Données projet'!$B$9,Paramètres!$A$1:$I$89,3,0)*0.475*44/12</f>
        <v>4.610479569405318E-20</v>
      </c>
      <c r="AC159" s="24">
        <f t="shared" si="163"/>
        <v>2.5322537671087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142.05359999999962</v>
      </c>
      <c r="D160" s="12">
        <f t="shared" si="140"/>
        <v>36.767056963845825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1380.3699835805612</v>
      </c>
      <c r="H160" s="70">
        <f t="shared" si="110"/>
        <v>604.7793108786974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460.30566673085474</v>
      </c>
      <c r="T160" s="62">
        <f t="shared" si="142"/>
        <v>569.42599742280231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0.89034387744336374</v>
      </c>
      <c r="AA160" s="23">
        <f>EXP(-LN(2)/25)*AA159+(1-EXP(-LN(2)/25))/(LN(2)/25)*Calculateur!V160*Calculateur!X160*VLOOKUP('Données projet'!$B$9,Paramètres!$A$1:$I$89,3,0)*0.475*44/12</f>
        <v>1.5796904360877411</v>
      </c>
      <c r="AB160" s="23">
        <f>EXP(-LN(2)/2)*AB159+(1-EXP(-LN(2)/2))/(LN(2)/2)*V160*Y160*VLOOKUP('Données projet'!$B$9,Paramètres!$A$1:$I$89,3,0)*0.475*44/12</f>
        <v>3.260101368048534E-20</v>
      </c>
      <c r="AC160" s="24">
        <f t="shared" si="163"/>
        <v>2.4700343135311047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142.95839999999961</v>
      </c>
      <c r="D161" s="12">
        <f t="shared" si="140"/>
        <v>36.973906370811164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1388.9511368974865</v>
      </c>
      <c r="H161" s="70">
        <f t="shared" si="110"/>
        <v>606.7154335958287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460.30566673085474</v>
      </c>
      <c r="T161" s="62">
        <f t="shared" si="142"/>
        <v>569.42599742280231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0.87288477706284229</v>
      </c>
      <c r="AA161" s="23">
        <f>EXP(-LN(2)/25)*AA160+(1-EXP(-LN(2)/25))/(LN(2)/25)*Calculateur!V161*Calculateur!X161*VLOOKUP('Données projet'!$B$9,Paramètres!$A$1:$I$89,3,0)*0.475*44/12</f>
        <v>1.5364937180406122</v>
      </c>
      <c r="AB161" s="23">
        <f>EXP(-LN(2)/2)*AB160+(1-EXP(-LN(2)/2))/(LN(2)/2)*V161*Y161*VLOOKUP('Données projet'!$B$9,Paramètres!$A$1:$I$89,3,0)*0.475*44/12</f>
        <v>2.305239784702659E-20</v>
      </c>
      <c r="AC161" s="24">
        <f t="shared" si="163"/>
        <v>2.4093784951034545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143.86319999999961</v>
      </c>
      <c r="D162" s="12">
        <f t="shared" si="140"/>
        <v>37.180603445028673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1397.5311143124991</v>
      </c>
      <c r="H162" s="70">
        <f t="shared" si="110"/>
        <v>608.65129100009085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460.30566673085474</v>
      </c>
      <c r="T162" s="62">
        <f t="shared" si="142"/>
        <v>569.42599742280231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0.85576803899178311</v>
      </c>
      <c r="AA162" s="23">
        <f>EXP(-LN(2)/25)*AA161+(1-EXP(-LN(2)/25))/(LN(2)/25)*Calculateur!V162*Calculateur!X162*VLOOKUP('Données projet'!$B$9,Paramètres!$A$1:$I$89,3,0)*0.475*44/12</f>
        <v>1.4944782165200987</v>
      </c>
      <c r="AB162" s="23">
        <f>EXP(-LN(2)/2)*AB161+(1-EXP(-LN(2)/2))/(LN(2)/2)*V162*Y162*VLOOKUP('Données projet'!$B$9,Paramètres!$A$1:$I$89,3,0)*0.475*44/12</f>
        <v>1.630050684024267E-20</v>
      </c>
      <c r="AC162" s="24">
        <f t="shared" si="163"/>
        <v>2.3502462555118817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144.7679999999996</v>
      </c>
      <c r="D163" s="12">
        <f t="shared" si="140"/>
        <v>37.387149255707726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1406.1099240791443</v>
      </c>
      <c r="H163" s="70">
        <f t="shared" si="110"/>
        <v>610.58688495369029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460.30566673085474</v>
      </c>
      <c r="T163" s="62">
        <f t="shared" si="142"/>
        <v>569.42599742280231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0.83898694971411802</v>
      </c>
      <c r="AA163" s="23">
        <f>EXP(-LN(2)/25)*AA162+(1-EXP(-LN(2)/25))/(LN(2)/25)*Calculateur!V163*Calculateur!X163*VLOOKUP('Données projet'!$B$9,Paramètres!$A$1:$I$89,3,0)*0.475*44/12</f>
        <v>1.4536116310981628</v>
      </c>
      <c r="AB163" s="23">
        <f>EXP(-LN(2)/2)*AB162+(1-EXP(-LN(2)/2))/(LN(2)/2)*V163*Y163*VLOOKUP('Données projet'!$B$9,Paramètres!$A$1:$I$89,3,0)*0.475*44/12</f>
        <v>1.1526198923513295E-20</v>
      </c>
      <c r="AC163" s="24">
        <f t="shared" si="163"/>
        <v>2.2925985808122809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145.6727999999996</v>
      </c>
      <c r="D164" s="12">
        <f t="shared" si="140"/>
        <v>37.593544857919632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1414.6875743418329</v>
      </c>
      <c r="H164" s="70">
        <f t="shared" si="110"/>
        <v>612.52221729420921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460.30566673085474</v>
      </c>
      <c r="T164" s="62">
        <f t="shared" si="142"/>
        <v>569.42599742280231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0.82253492736173417</v>
      </c>
      <c r="AA164" s="23">
        <f>EXP(-LN(2)/25)*AA163+(1-EXP(-LN(2)/25))/(LN(2)/25)*Calculateur!V164*Calculateur!X164*VLOOKUP('Données projet'!$B$9,Paramètres!$A$1:$I$89,3,0)*0.475*44/12</f>
        <v>1.4138625446036701</v>
      </c>
      <c r="AB164" s="23">
        <f>EXP(-LN(2)/2)*AB163+(1-EXP(-LN(2)/2))/(LN(2)/2)*V164*Y164*VLOOKUP('Données projet'!$B$9,Paramètres!$A$1:$I$89,3,0)*0.475*44/12</f>
        <v>8.150253420121335E-21</v>
      </c>
      <c r="AC164" s="24">
        <f t="shared" si="163"/>
        <v>2.2363974719654043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146.57759999999959</v>
      </c>
      <c r="D165" s="12">
        <f t="shared" si="140"/>
        <v>37.799791292871177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1423.2640731379497</v>
      </c>
      <c r="H165" s="70">
        <f t="shared" si="110"/>
        <v>614.4572898350832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460.30566673085474</v>
      </c>
      <c r="T165" s="62">
        <f t="shared" si="142"/>
        <v>569.42599742280231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0.80640551913293779</v>
      </c>
      <c r="AA165" s="23">
        <f>EXP(-LN(2)/25)*AA164+(1-EXP(-LN(2)/25))/(LN(2)/25)*Calculateur!V165*Calculateur!X165*VLOOKUP('Données projet'!$B$9,Paramètres!$A$1:$I$89,3,0)*0.475*44/12</f>
        <v>1.375200398969683</v>
      </c>
      <c r="AB165" s="23">
        <f>EXP(-LN(2)/2)*AB164+(1-EXP(-LN(2)/2))/(LN(2)/2)*V165*Y165*VLOOKUP('Données projet'!$B$9,Paramètres!$A$1:$I$89,3,0)*0.475*44/12</f>
        <v>5.7630994617566475E-21</v>
      </c>
      <c r="AC165" s="24">
        <f t="shared" si="163"/>
        <v>2.1816059181026208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147.48239999999959</v>
      </c>
      <c r="D166" s="12">
        <f t="shared" si="140"/>
        <v>38.005889588171144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1431.8394283999148</v>
      </c>
      <c r="H166" s="70">
        <f t="shared" si="110"/>
        <v>616.39210436606402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460.30566673085474</v>
      </c>
      <c r="T166" s="62">
        <f t="shared" si="142"/>
        <v>569.42599742280231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0.79059239876154053</v>
      </c>
      <c r="AA166" s="23">
        <f>EXP(-LN(2)/25)*AA165+(1-EXP(-LN(2)/25))/(LN(2)/25)*Calculateur!V166*Calculateur!X166*VLOOKUP('Données projet'!$B$9,Paramètres!$A$1:$I$89,3,0)*0.475*44/12</f>
        <v>1.3375954717412111</v>
      </c>
      <c r="AB166" s="23">
        <f>EXP(-LN(2)/2)*AB165+(1-EXP(-LN(2)/2))/(LN(2)/2)*V166*Y166*VLOOKUP('Données projet'!$B$9,Paramètres!$A$1:$I$89,3,0)*0.475*44/12</f>
        <v>4.0751267100606675E-21</v>
      </c>
      <c r="AC166" s="24">
        <f t="shared" si="163"/>
        <v>2.1281878705027517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148.38719999999958</v>
      </c>
      <c r="D167" s="12">
        <f t="shared" si="140"/>
        <v>38.211840758090489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1440.4136479571864</v>
      </c>
      <c r="H167" s="70">
        <f t="shared" si="110"/>
        <v>618.32666265367345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460.30566673085474</v>
      </c>
      <c r="T167" s="62">
        <f t="shared" si="142"/>
        <v>569.42599742280231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0.77508936403557527</v>
      </c>
      <c r="AA167" s="23">
        <f>EXP(-LN(2)/25)*AA166+(1-EXP(-LN(2)/25))/(LN(2)/25)*Calculateur!V167*Calculateur!X167*VLOOKUP('Données projet'!$B$9,Paramètres!$A$1:$I$89,3,0)*0.475*44/12</f>
        <v>1.3010188532253588</v>
      </c>
      <c r="AB167" s="23">
        <f>EXP(-LN(2)/2)*AB166+(1-EXP(-LN(2)/2))/(LN(2)/2)*V167*Y167*VLOOKUP('Données projet'!$B$9,Paramètres!$A$1:$I$89,3,0)*0.475*44/12</f>
        <v>2.8815497308783238E-21</v>
      </c>
      <c r="AC167" s="24">
        <f t="shared" si="163"/>
        <v>2.0761082172609342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149.29199999999958</v>
      </c>
      <c r="D168" s="12">
        <f t="shared" si="140"/>
        <v>38.41764580381534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1448.9867395382205</v>
      </c>
      <c r="H168" s="70">
        <f t="shared" si="110"/>
        <v>620.26096644164431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460.30566673085474</v>
      </c>
      <c r="T168" s="62">
        <f t="shared" si="142"/>
        <v>569.42599742280231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0.75989033436466868</v>
      </c>
      <c r="AA168" s="23">
        <f>EXP(-LN(2)/25)*AA167+(1-EXP(-LN(2)/25))/(LN(2)/25)*Calculateur!V168*Calculateur!X168*VLOOKUP('Données projet'!$B$9,Paramètres!$A$1:$I$89,3,0)*0.475*44/12</f>
        <v>1.2654424242663034</v>
      </c>
      <c r="AB168" s="23">
        <f>EXP(-LN(2)/2)*AB167+(1-EXP(-LN(2)/2))/(LN(2)/2)*V168*Y168*VLOOKUP('Données projet'!$B$9,Paramètres!$A$1:$I$89,3,0)*0.475*44/12</f>
        <v>2.0375633550303337E-21</v>
      </c>
      <c r="AC168" s="24">
        <f t="shared" si="163"/>
        <v>2.025332758630972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150.19679999999957</v>
      </c>
      <c r="D169" s="12">
        <f t="shared" si="140"/>
        <v>38.6233057136944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1457.5587107723748</v>
      </c>
      <c r="H169" s="70">
        <f t="shared" si="110"/>
        <v>622.1950174513504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460.30566673085474</v>
      </c>
      <c r="T169" s="62">
        <f t="shared" si="142"/>
        <v>569.42599742280231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0.74498934839511588</v>
      </c>
      <c r="AA169" s="23">
        <f>EXP(-LN(2)/25)*AA168+(1-EXP(-LN(2)/25))/(LN(2)/25)*Calculateur!V169*Calculateur!X169*VLOOKUP('Données projet'!$B$9,Paramètres!$A$1:$I$89,3,0)*0.475*44/12</f>
        <v>1.2308388346280164</v>
      </c>
      <c r="AB169" s="23">
        <f>EXP(-LN(2)/2)*AB168+(1-EXP(-LN(2)/2))/(LN(2)/2)*V169*Y169*VLOOKUP('Données projet'!$B$9,Paramètres!$A$1:$I$89,3,0)*0.475*44/12</f>
        <v>1.4407748654391619E-21</v>
      </c>
      <c r="AC169" s="24">
        <f t="shared" si="163"/>
        <v>1.9758281830231321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151.10159999999956</v>
      </c>
      <c r="D170" s="12">
        <f t="shared" si="140"/>
        <v>38.82882146347967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1466.1295691917696</v>
      </c>
      <c r="H170" s="70">
        <f t="shared" si="110"/>
        <v>624.12881738222632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460.30566673085474</v>
      </c>
      <c r="T170" s="62">
        <f t="shared" si="142"/>
        <v>569.42599742280231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0.73038056167172205</v>
      </c>
      <c r="AA170" s="23">
        <f>EXP(-LN(2)/25)*AA169+(1-EXP(-LN(2)/25))/(LN(2)/25)*Calculateur!V170*Calculateur!X170*VLOOKUP('Données projet'!$B$9,Paramètres!$A$1:$I$89,3,0)*0.475*44/12</f>
        <v>1.1971814819681121</v>
      </c>
      <c r="AB170" s="23">
        <f>EXP(-LN(2)/2)*AB169+(1-EXP(-LN(2)/2))/(LN(2)/2)*V170*Y170*VLOOKUP('Données projet'!$B$9,Paramètres!$A$1:$I$89,3,0)*0.475*44/12</f>
        <v>1.0187816775151669E-21</v>
      </c>
      <c r="AC170" s="24">
        <f t="shared" si="163"/>
        <v>1.9275620436398342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152.00639999999956</v>
      </c>
      <c r="D171" s="12">
        <f t="shared" si="140"/>
        <v>39.034194016561351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1474.6993222331018</v>
      </c>
      <c r="H171" s="70">
        <f t="shared" si="110"/>
        <v>626.0623679121768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460.30566673085474</v>
      </c>
      <c r="T171" s="62">
        <f t="shared" si="142"/>
        <v>569.42599742280231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0.71605824434549392</v>
      </c>
      <c r="AA171" s="23">
        <f>EXP(-LN(2)/25)*AA170+(1-EXP(-LN(2)/25))/(LN(2)/25)*Calculateur!V171*Calculateur!X171*VLOOKUP('Données projet'!$B$9,Paramètres!$A$1:$I$89,3,0)*0.475*44/12</f>
        <v>1.1644444913866561</v>
      </c>
      <c r="AB171" s="23">
        <f>EXP(-LN(2)/2)*AB170+(1-EXP(-LN(2)/2))/(LN(2)/2)*V171*Y171*VLOOKUP('Données projet'!$B$9,Paramètres!$A$1:$I$89,3,0)*0.475*44/12</f>
        <v>7.2038743271958094E-22</v>
      </c>
      <c r="AC171" s="24">
        <f t="shared" si="163"/>
        <v>1.88050273573215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152.91119999999955</v>
      </c>
      <c r="D172" s="12">
        <f t="shared" si="140"/>
        <v>39.239424324197437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1483.2679772394156</v>
      </c>
      <c r="H172" s="70">
        <f t="shared" si="110"/>
        <v>627.99567069797638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460.30566673085474</v>
      </c>
      <c r="T172" s="62">
        <f t="shared" si="142"/>
        <v>569.42599742280231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0.70201677892628211</v>
      </c>
      <c r="AA172" s="23">
        <f>EXP(-LN(2)/25)*AA171+(1-EXP(-LN(2)/25))/(LN(2)/25)*Calculateur!V172*Calculateur!X172*VLOOKUP('Données projet'!$B$9,Paramètres!$A$1:$I$89,3,0)*0.475*44/12</f>
        <v>1.1326026955342134</v>
      </c>
      <c r="AB172" s="23">
        <f>EXP(-LN(2)/2)*AB171+(1-EXP(-LN(2)/2))/(LN(2)/2)*V172*Y172*VLOOKUP('Données projet'!$B$9,Paramètres!$A$1:$I$89,3,0)*0.475*44/12</f>
        <v>5.0939083875758343E-22</v>
      </c>
      <c r="AC172" s="24">
        <f t="shared" si="163"/>
        <v>1.8346194744604956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153.81599999999955</v>
      </c>
      <c r="D173" s="12">
        <f t="shared" si="140"/>
        <v>39.444513325736956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1491.8355414618256</v>
      </c>
      <c r="H173" s="70">
        <f t="shared" si="110"/>
        <v>629.92872737565767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460.30566673085474</v>
      </c>
      <c r="T173" s="62">
        <f t="shared" si="142"/>
        <v>569.42599742280231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0.68825065807949282</v>
      </c>
      <c r="AA173" s="23">
        <f>EXP(-LN(2)/25)*AA172+(1-EXP(-LN(2)/25))/(LN(2)/25)*Calculateur!V173*Calculateur!X173*VLOOKUP('Données projet'!$B$9,Paramètres!$A$1:$I$89,3,0)*0.475*44/12</f>
        <v>1.1016316152638432</v>
      </c>
      <c r="AB173" s="23">
        <f>EXP(-LN(2)/2)*AB172+(1-EXP(-LN(2)/2))/(LN(2)/2)*V173*Y173*VLOOKUP('Données projet'!$B$9,Paramètres!$A$1:$I$89,3,0)*0.475*44/12</f>
        <v>3.6019371635979047E-22</v>
      </c>
      <c r="AC173" s="24">
        <f t="shared" si="163"/>
        <v>1.7898822733433359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154.72079999999954</v>
      </c>
      <c r="D174" s="12">
        <f t="shared" si="140"/>
        <v>39.649461948838486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1500.4020220612058</v>
      </c>
      <c r="H174" s="70">
        <f t="shared" si="110"/>
        <v>631.86153956089288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460.30566673085474</v>
      </c>
      <c r="T174" s="62">
        <f t="shared" si="142"/>
        <v>569.42599742280231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0.67475448246600445</v>
      </c>
      <c r="AA174" s="23">
        <f>EXP(-LN(2)/25)*AA173+(1-EXP(-LN(2)/25))/(LN(2)/25)*Calculateur!V174*Calculateur!X174*VLOOKUP('Données projet'!$B$9,Paramètres!$A$1:$I$89,3,0)*0.475*44/12</f>
        <v>1.0715074408121645</v>
      </c>
      <c r="AB174" s="23">
        <f>EXP(-LN(2)/2)*AB173+(1-EXP(-LN(2)/2))/(LN(2)/2)*V174*Y174*VLOOKUP('Données projet'!$B$9,Paramètres!$A$1:$I$89,3,0)*0.475*44/12</f>
        <v>2.5469541937879172E-22</v>
      </c>
      <c r="AC174" s="24">
        <f t="shared" si="163"/>
        <v>1.7462619232781691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155.62559999999954</v>
      </c>
      <c r="D175" s="12">
        <f t="shared" si="140"/>
        <v>39.854271109683012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1508.9674261098305</v>
      </c>
      <c r="H175" s="70">
        <f t="shared" si="110"/>
        <v>633.79410884936374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460.30566673085474</v>
      </c>
      <c r="T175" s="62">
        <f t="shared" si="142"/>
        <v>569.42599742280231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0.66152295862444221</v>
      </c>
      <c r="AA175" s="23">
        <f>EXP(-LN(2)/25)*AA174+(1-EXP(-LN(2)/25))/(LN(2)/25)*Calculateur!V175*Calculateur!X175*VLOOKUP('Données projet'!$B$9,Paramètres!$A$1:$I$89,3,0)*0.475*44/12</f>
        <v>1.0422070134950285</v>
      </c>
      <c r="AB175" s="23">
        <f>EXP(-LN(2)/2)*AB174+(1-EXP(-LN(2)/2))/(LN(2)/2)*V175*Y175*VLOOKUP('Données projet'!$B$9,Paramètres!$A$1:$I$89,3,0)*0.475*44/12</f>
        <v>1.8009685817989523E-22</v>
      </c>
      <c r="AC175" s="24">
        <f t="shared" si="163"/>
        <v>1.7037299721194707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156.53039999999953</v>
      </c>
      <c r="D176" s="12">
        <f t="shared" si="140"/>
        <v>40.058941713181895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1517.5317605929795</v>
      </c>
      <c r="H176" s="70">
        <f t="shared" si="110"/>
        <v>635.72643681712429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460.30566673085474</v>
      </c>
      <c r="T176" s="62">
        <f t="shared" si="142"/>
        <v>569.42599742280231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0.64855089689498047</v>
      </c>
      <c r="AA176" s="23">
        <f>EXP(-LN(2)/25)*AA175+(1-EXP(-LN(2)/25))/(LN(2)/25)*Calculateur!V176*Calculateur!X176*VLOOKUP('Données projet'!$B$9,Paramètres!$A$1:$I$89,3,0)*0.475*44/12</f>
        <v>1.0137078079037221</v>
      </c>
      <c r="AB176" s="23">
        <f>EXP(-LN(2)/2)*AB175+(1-EXP(-LN(2)/2))/(LN(2)/2)*V176*Y176*VLOOKUP('Données projet'!$B$9,Paramètres!$A$1:$I$89,3,0)*0.475*44/12</f>
        <v>1.2734770968939586E-22</v>
      </c>
      <c r="AC176" s="24">
        <f t="shared" si="163"/>
        <v>1.6622587047987025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157.43519999999953</v>
      </c>
      <c r="D177" s="12">
        <f t="shared" si="140"/>
        <v>40.263474653179813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1526.0950324105072</v>
      </c>
      <c r="H177" s="70">
        <f t="shared" si="110"/>
        <v>637.65852502095402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460.30566673085474</v>
      </c>
      <c r="T177" s="62">
        <f t="shared" si="142"/>
        <v>569.42599742280231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0.63583320938385701</v>
      </c>
      <c r="AA177" s="23">
        <f>EXP(-LN(2)/25)*AA176+(1-EXP(-LN(2)/25))/(LN(2)/25)*Calculateur!V177*Calculateur!X177*VLOOKUP('Données projet'!$B$9,Paramètres!$A$1:$I$89,3,0)*0.475*44/12</f>
        <v>0.98598791458801804</v>
      </c>
      <c r="AB177" s="23">
        <f>EXP(-LN(2)/2)*AB176+(1-EXP(-LN(2)/2))/(LN(2)/2)*V177*Y177*VLOOKUP('Données projet'!$B$9,Paramètres!$A$1:$I$89,3,0)*0.475*44/12</f>
        <v>9.0048429089947617E-23</v>
      </c>
      <c r="AC177" s="24">
        <f t="shared" si="163"/>
        <v>1.6218211239718752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158.33999999999952</v>
      </c>
      <c r="D178" s="12">
        <f t="shared" si="140"/>
        <v>40.467870812652677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1534.6572483783677</v>
      </c>
      <c r="H178" s="70">
        <f t="shared" si="110"/>
        <v>639.5903749987026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460.30566673085474</v>
      </c>
      <c r="T178" s="62">
        <f t="shared" si="142"/>
        <v>569.42599742280231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0.62336490796780331</v>
      </c>
      <c r="AA178" s="23">
        <f>EXP(-LN(2)/25)*AA177+(1-EXP(-LN(2)/25))/(LN(2)/25)*Calculateur!V178*Calculateur!X178*VLOOKUP('Données projet'!$B$9,Paramètres!$A$1:$I$89,3,0)*0.475*44/12</f>
        <v>0.95902602321275776</v>
      </c>
      <c r="AB178" s="23">
        <f>EXP(-LN(2)/2)*AB177+(1-EXP(-LN(2)/2))/(LN(2)/2)*V178*Y178*VLOOKUP('Données projet'!$B$9,Paramètres!$A$1:$I$89,3,0)*0.475*44/12</f>
        <v>6.3673854844697929E-23</v>
      </c>
      <c r="AC178" s="24">
        <f t="shared" si="163"/>
        <v>1.5823909311805611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159.24479999999951</v>
      </c>
      <c r="D179" s="12">
        <f t="shared" si="140"/>
        <v>40.67213106390161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1543.218415230114</v>
      </c>
      <c r="H179" s="70">
        <f t="shared" si="110"/>
        <v>641.52198826962774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460.30566673085474</v>
      </c>
      <c r="T179" s="62">
        <f t="shared" si="142"/>
        <v>569.42599742280231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0.61114110233760544</v>
      </c>
      <c r="AA179" s="23">
        <f>EXP(-LN(2)/25)*AA178+(1-EXP(-LN(2)/25))/(LN(2)/25)*Calculateur!V179*Calculateur!X179*VLOOKUP('Données projet'!$B$9,Paramètres!$A$1:$I$89,3,0)*0.475*44/12</f>
        <v>0.93280140617501828</v>
      </c>
      <c r="AB179" s="23">
        <f>EXP(-LN(2)/2)*AB178+(1-EXP(-LN(2)/2))/(LN(2)/2)*V179*Y179*VLOOKUP('Données projet'!$B$9,Paramètres!$A$1:$I$89,3,0)*0.475*44/12</f>
        <v>4.5024214544973809E-23</v>
      </c>
      <c r="AC179" s="24">
        <f t="shared" si="163"/>
        <v>1.5439425085126237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160.14959999999951</v>
      </c>
      <c r="D180" s="12">
        <f t="shared" si="140"/>
        <v>40.876256268741386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1551.7785396183508</v>
      </c>
      <c r="H180" s="70">
        <f t="shared" si="110"/>
        <v>643.45336633472368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460.30566673085474</v>
      </c>
      <c r="T180" s="62">
        <f t="shared" si="142"/>
        <v>569.42599742280231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0.59915699808003053</v>
      </c>
      <c r="AA180" s="23">
        <f>EXP(-LN(2)/25)*AA179+(1-EXP(-LN(2)/25))/(LN(2)/25)*Calculateur!V180*Calculateur!X180*VLOOKUP('Données projet'!$B$9,Paramètres!$A$1:$I$89,3,0)*0.475*44/12</f>
        <v>0.90729390266926835</v>
      </c>
      <c r="AB180" s="23">
        <f>EXP(-LN(2)/2)*AB179+(1-EXP(-LN(2)/2))/(LN(2)/2)*V180*Y180*VLOOKUP('Données projet'!$B$9,Paramètres!$A$1:$I$89,3,0)*0.475*44/12</f>
        <v>3.1836927422348965E-23</v>
      </c>
      <c r="AC180" s="24">
        <f t="shared" si="163"/>
        <v>1.5064509007492988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161.0543999999995</v>
      </c>
      <c r="D181" s="12">
        <f t="shared" si="140"/>
        <v>41.080247278685384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1560.3376281161643</v>
      </c>
      <c r="H181" s="70">
        <f t="shared" si="110"/>
        <v>645.38451067704284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460.30566673085474</v>
      </c>
      <c r="T181" s="62">
        <f t="shared" si="142"/>
        <v>569.42599742280231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0.58740789479736477</v>
      </c>
      <c r="AA181" s="23">
        <f>EXP(-LN(2)/25)*AA180+(1-EXP(-LN(2)/25))/(LN(2)/25)*Calculateur!V181*Calculateur!X181*VLOOKUP('Données projet'!$B$9,Paramètres!$A$1:$I$89,3,0)*0.475*44/12</f>
        <v>0.88248390318826453</v>
      </c>
      <c r="AB181" s="23">
        <f>EXP(-LN(2)/2)*AB180+(1-EXP(-LN(2)/2))/(LN(2)/2)*V181*Y181*VLOOKUP('Données projet'!$B$9,Paramètres!$A$1:$I$89,3,0)*0.475*44/12</f>
        <v>2.2512107272486904E-23</v>
      </c>
      <c r="AC181" s="24">
        <f t="shared" si="163"/>
        <v>1.4698917979856292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161.9591999999995</v>
      </c>
      <c r="D182" s="12">
        <f t="shared" si="140"/>
        <v>41.284104935125612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1568.8956872185097</v>
      </c>
      <c r="H182" s="70">
        <f t="shared" si="110"/>
        <v>647.31542276200946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460.30566673085474</v>
      </c>
      <c r="T182" s="62">
        <f t="shared" si="142"/>
        <v>569.42599742280231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0.57588918426382674</v>
      </c>
      <c r="AA182" s="23">
        <f>EXP(-LN(2)/25)*AA181+(1-EXP(-LN(2)/25))/(LN(2)/25)*Calculateur!V182*Calculateur!X182*VLOOKUP('Données projet'!$B$9,Paramètres!$A$1:$I$89,3,0)*0.475*44/12</f>
        <v>0.85835233444776993</v>
      </c>
      <c r="AB182" s="23">
        <f>EXP(-LN(2)/2)*AB181+(1-EXP(-LN(2)/2))/(LN(2)/2)*V182*Y182*VLOOKUP('Données projet'!$B$9,Paramètres!$A$1:$I$89,3,0)*0.475*44/12</f>
        <v>1.5918463711174482E-23</v>
      </c>
      <c r="AC182" s="24">
        <f t="shared" si="163"/>
        <v>1.4342415187115967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162.86399999999949</v>
      </c>
      <c r="D183" s="12">
        <f t="shared" si="140"/>
        <v>41.487830069509045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1577.4527233435747</v>
      </c>
      <c r="H183" s="70">
        <f t="shared" si="110"/>
        <v>649.24610403772726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460.30566673085474</v>
      </c>
      <c r="T183" s="62">
        <f t="shared" si="142"/>
        <v>569.42599742280231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0.56459634861813168</v>
      </c>
      <c r="AA183" s="23">
        <f>EXP(-LN(2)/25)*AA182+(1-EXP(-LN(2)/25))/(LN(2)/25)*Calculateur!V183*Calculateur!X183*VLOOKUP('Données projet'!$B$9,Paramètres!$A$1:$I$89,3,0)*0.475*44/12</f>
        <v>0.8348806447235082</v>
      </c>
      <c r="AB183" s="23">
        <f>EXP(-LN(2)/2)*AB182+(1-EXP(-LN(2)/2))/(LN(2)/2)*V183*Y183*VLOOKUP('Données projet'!$B$9,Paramètres!$A$1:$I$89,3,0)*0.475*44/12</f>
        <v>1.1256053636243452E-23</v>
      </c>
      <c r="AC183" s="24">
        <f t="shared" si="163"/>
        <v>1.39947699334164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163.76879999999949</v>
      </c>
      <c r="D184" s="12">
        <f t="shared" si="140"/>
        <v>41.691423503509697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1586.008742834106</v>
      </c>
      <c r="H184" s="70">
        <f t="shared" si="110"/>
        <v>651.17655593527843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460.30566673085474</v>
      </c>
      <c r="T184" s="62">
        <f t="shared" si="142"/>
        <v>569.42599742280231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0.55352495859149908</v>
      </c>
      <c r="AA184" s="23">
        <f>EXP(-LN(2)/25)*AA183+(1-EXP(-LN(2)/25))/(LN(2)/25)*Calculateur!V184*Calculateur!X184*VLOOKUP('Données projet'!$B$9,Paramètres!$A$1:$I$89,3,0)*0.475*44/12</f>
        <v>0.81205078958907895</v>
      </c>
      <c r="AB184" s="23">
        <f>EXP(-LN(2)/2)*AB183+(1-EXP(-LN(2)/2))/(LN(2)/2)*V184*Y184*VLOOKUP('Données projet'!$B$9,Paramètres!$A$1:$I$89,3,0)*0.475*44/12</f>
        <v>7.9592318555872412E-24</v>
      </c>
      <c r="AC184" s="24">
        <f t="shared" si="163"/>
        <v>1.3655757481805781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164.67359999999948</v>
      </c>
      <c r="D185" s="12">
        <f t="shared" si="140"/>
        <v>41.894886049196913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1594.563751958709</v>
      </c>
      <c r="H185" s="70">
        <f t="shared" si="110"/>
        <v>653.10677986901692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460.30566673085474</v>
      </c>
      <c r="T185" s="62">
        <f t="shared" si="142"/>
        <v>569.42599742280231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0.54267067177040762</v>
      </c>
      <c r="AA185" s="23">
        <f>EXP(-LN(2)/25)*AA184+(1-EXP(-LN(2)/25))/(LN(2)/25)*Calculateur!V185*Calculateur!X185*VLOOKUP('Données projet'!$B$9,Paramètres!$A$1:$I$89,3,0)*0.475*44/12</f>
        <v>0.78984521804387053</v>
      </c>
      <c r="AB185" s="23">
        <f>EXP(-LN(2)/2)*AB184+(1-EXP(-LN(2)/2))/(LN(2)/2)*V185*Y185*VLOOKUP('Données projet'!$B$9,Paramètres!$A$1:$I$89,3,0)*0.475*44/12</f>
        <v>5.6280268181217261E-24</v>
      </c>
      <c r="AC185" s="24">
        <f t="shared" si="163"/>
        <v>1.3325158898142782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165.57839999999948</v>
      </c>
      <c r="D186" s="12">
        <f t="shared" si="140"/>
        <v>42.098218509199548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1603.1177569131153</v>
      </c>
      <c r="H186" s="70">
        <f t="shared" si="110"/>
        <v>655.03677723685496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460.30566673085474</v>
      </c>
      <c r="T186" s="62">
        <f t="shared" si="142"/>
        <v>569.42599742280231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0.53202923089341647</v>
      </c>
      <c r="AA186" s="23">
        <f>EXP(-LN(2)/25)*AA185+(1-EXP(-LN(2)/25))/(LN(2)/25)*Calculateur!V186*Calculateur!X186*VLOOKUP('Données projet'!$B$9,Paramètres!$A$1:$I$89,3,0)*0.475*44/12</f>
        <v>0.76824685902030609</v>
      </c>
      <c r="AB186" s="23">
        <f>EXP(-LN(2)/2)*AB185+(1-EXP(-LN(2)/2))/(LN(2)/2)*V186*Y186*VLOOKUP('Données projet'!$B$9,Paramètres!$A$1:$I$89,3,0)*0.475*44/12</f>
        <v>3.9796159277936206E-24</v>
      </c>
      <c r="AC186" s="24">
        <f t="shared" si="163"/>
        <v>1.3002760899137225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166.48319999999947</v>
      </c>
      <c r="D187" s="12">
        <f t="shared" si="140"/>
        <v>42.301421676867022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1611.6707638214257</v>
      </c>
      <c r="H187" s="70">
        <f t="shared" si="110"/>
        <v>656.96654942054238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460.30566673085474</v>
      </c>
      <c r="T187" s="62">
        <f t="shared" si="142"/>
        <v>569.42599742280231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0.52159646218138511</v>
      </c>
      <c r="AA187" s="23">
        <f>EXP(-LN(2)/25)*AA186+(1-EXP(-LN(2)/25))/(LN(2)/25)*Calculateur!V187*Calculateur!X187*VLOOKUP('Données projet'!$B$9,Paramètres!$A$1:$I$89,3,0)*0.475*44/12</f>
        <v>0.74723910826004936</v>
      </c>
      <c r="AB187" s="23">
        <f>EXP(-LN(2)/2)*AB186+(1-EXP(-LN(2)/2))/(LN(2)/2)*V187*Y187*VLOOKUP('Données projet'!$B$9,Paramètres!$A$1:$I$89,3,0)*0.475*44/12</f>
        <v>2.814013409060863E-24</v>
      </c>
      <c r="AC187" s="24">
        <f t="shared" si="163"/>
        <v>1.2688355704414345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167.38799999999947</v>
      </c>
      <c r="D188" s="12">
        <f t="shared" si="140"/>
        <v>42.504496336426151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1620.2227787373206</v>
      </c>
      <c r="H188" s="70">
        <f t="shared" si="110"/>
        <v>658.89609778594127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460.30566673085474</v>
      </c>
      <c r="T188" s="62">
        <f t="shared" si="142"/>
        <v>569.42599742280231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0.51136827370043614</v>
      </c>
      <c r="AA188" s="23">
        <f>EXP(-LN(2)/25)*AA187+(1-EXP(-LN(2)/25))/(LN(2)/25)*Calculateur!V188*Calculateur!X188*VLOOKUP('Données projet'!$B$9,Paramètres!$A$1:$I$89,3,0)*0.475*44/12</f>
        <v>0.72680581554908141</v>
      </c>
      <c r="AB188" s="23">
        <f>EXP(-LN(2)/2)*AB187+(1-EXP(-LN(2)/2))/(LN(2)/2)*V188*Y188*VLOOKUP('Données projet'!$B$9,Paramètres!$A$1:$I$89,3,0)*0.475*44/12</f>
        <v>1.9898079638968103E-24</v>
      </c>
      <c r="AC188" s="24">
        <f t="shared" si="163"/>
        <v>1.2381740892495174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168.29279999999946</v>
      </c>
      <c r="D189" s="12">
        <f t="shared" si="140"/>
        <v>42.707443263134955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1628.7738076452481</v>
      </c>
      <c r="H189" s="70">
        <f t="shared" si="110"/>
        <v>660.82542368329246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460.30566673085474</v>
      </c>
      <c r="T189" s="62">
        <f t="shared" si="142"/>
        <v>569.42599742280231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0.50134065375701964</v>
      </c>
      <c r="AA189" s="23">
        <f>EXP(-LN(2)/25)*AA188+(1-EXP(-LN(2)/25))/(LN(2)/25)*Calculateur!V189*Calculateur!X189*VLOOKUP('Données projet'!$B$9,Paramètres!$A$1:$I$89,3,0)*0.475*44/12</f>
        <v>0.70693127230183506</v>
      </c>
      <c r="AB189" s="23">
        <f>EXP(-LN(2)/2)*AB188+(1-EXP(-LN(2)/2))/(LN(2)/2)*V189*Y189*VLOOKUP('Données projet'!$B$9,Paramètres!$A$1:$I$89,3,0)*0.475*44/12</f>
        <v>1.4070067045304315E-24</v>
      </c>
      <c r="AC189" s="24">
        <f t="shared" si="163"/>
        <v>1.2082719260588548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169.19759999999945</v>
      </c>
      <c r="D190" s="12">
        <f t="shared" si="140"/>
        <v>42.910263223432771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1637.3238564615822</v>
      </c>
      <c r="H190" s="70">
        <f t="shared" si="110"/>
        <v>662.7545284474777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460.30566673085474</v>
      </c>
      <c r="T190" s="62">
        <f t="shared" si="142"/>
        <v>569.42599742280231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0.49150966932444928</v>
      </c>
      <c r="AA190" s="23">
        <f>EXP(-LN(2)/25)*AA189+(1-EXP(-LN(2)/25))/(LN(2)/25)*Calculateur!V190*Calculateur!X190*VLOOKUP('Données projet'!$B$9,Paramètres!$A$1:$I$89,3,0)*0.475*44/12</f>
        <v>0.68760019948484152</v>
      </c>
      <c r="AB190" s="23">
        <f>EXP(-LN(2)/2)*AB189+(1-EXP(-LN(2)/2))/(LN(2)/2)*V190*Y190*VLOOKUP('Données projet'!$B$9,Paramètres!$A$1:$I$89,3,0)*0.475*44/12</f>
        <v>9.9490398194840515E-25</v>
      </c>
      <c r="AC190" s="24">
        <f t="shared" si="163"/>
        <v>1.1791098688092907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170.10239999999945</v>
      </c>
      <c r="D191" s="12">
        <f t="shared" si="140"/>
        <v>43.112956975087251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1645.8729310357569</v>
      </c>
      <c r="H191" s="70">
        <f t="shared" si="110"/>
        <v>664.68341339827589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460.30566673085474</v>
      </c>
      <c r="T191" s="62">
        <f t="shared" si="142"/>
        <v>569.42599742280231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0.48187146450029317</v>
      </c>
      <c r="AA191" s="23">
        <f>EXP(-LN(2)/25)*AA190+(1-EXP(-LN(2)/25))/(LN(2)/25)*Calculateur!V191*Calculateur!X191*VLOOKUP('Données projet'!$B$9,Paramètres!$A$1:$I$89,3,0)*0.475*44/12</f>
        <v>0.66879773587060554</v>
      </c>
      <c r="AB191" s="23">
        <f>EXP(-LN(2)/2)*AB190+(1-EXP(-LN(2)/2))/(LN(2)/2)*V191*Y191*VLOOKUP('Données projet'!$B$9,Paramètres!$A$1:$I$89,3,0)*0.475*44/12</f>
        <v>7.0350335226521576E-25</v>
      </c>
      <c r="AC191" s="24">
        <f t="shared" si="163"/>
        <v>1.1506692003708987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171.00719999999944</v>
      </c>
      <c r="D192" s="12">
        <f t="shared" si="140"/>
        <v>43.315525267337939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1654.4210371513764</v>
      </c>
      <c r="H192" s="70">
        <f t="shared" si="110"/>
        <v>666.61207984061252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460.30566673085474</v>
      </c>
      <c r="T192" s="62">
        <f t="shared" si="142"/>
        <v>569.42599742280231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0.4724222589940143</v>
      </c>
      <c r="AA192" s="23">
        <f>EXP(-LN(2)/25)*AA191+(1-EXP(-LN(2)/25))/(LN(2)/25)*Calculateur!V192*Calculateur!X192*VLOOKUP('Données projet'!$B$9,Paramètres!$A$1:$I$89,3,0)*0.475*44/12</f>
        <v>0.65050942661267941</v>
      </c>
      <c r="AB192" s="23">
        <f>EXP(-LN(2)/2)*AB191+(1-EXP(-LN(2)/2))/(LN(2)/2)*V192*Y192*VLOOKUP('Données projet'!$B$9,Paramètres!$A$1:$I$89,3,0)*0.475*44/12</f>
        <v>4.9745199097420257E-25</v>
      </c>
      <c r="AC192" s="24">
        <f t="shared" si="163"/>
        <v>1.1229316856066938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171.91199999999944</v>
      </c>
      <c r="D193" s="12">
        <f t="shared" si="140"/>
        <v>43.517968841037174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1662.9681805273001</v>
      </c>
      <c r="H193" s="70">
        <f t="shared" si="110"/>
        <v>668.54052906480536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460.30566673085474</v>
      </c>
      <c r="T193" s="62">
        <f t="shared" si="142"/>
        <v>569.42599742280231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0.4631583466442673</v>
      </c>
      <c r="AA193" s="23">
        <f>EXP(-LN(2)/25)*AA192+(1-EXP(-LN(2)/25))/(LN(2)/25)*Calculateur!V193*Calculateur!X193*VLOOKUP('Données projet'!$B$9,Paramètres!$A$1:$I$89,3,0)*0.475*44/12</f>
        <v>0.63272121213315169</v>
      </c>
      <c r="AB193" s="23">
        <f>EXP(-LN(2)/2)*AB192+(1-EXP(-LN(2)/2))/(LN(2)/2)*V193*Y193*VLOOKUP('Données projet'!$B$9,Paramètres!$A$1:$I$89,3,0)*0.475*44/12</f>
        <v>3.5175167613260788E-25</v>
      </c>
      <c r="AC193" s="24">
        <f t="shared" si="163"/>
        <v>1.095879558777419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172.81679999999943</v>
      </c>
      <c r="D194" s="12">
        <f t="shared" si="140"/>
        <v>43.720288428787171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1671.5143668187038</v>
      </c>
      <c r="H194" s="70">
        <f t="shared" si="110"/>
        <v>670.46876234680326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460.30566673085474</v>
      </c>
      <c r="T194" s="62">
        <f t="shared" si="142"/>
        <v>569.42599742280231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0.45407609396527027</v>
      </c>
      <c r="AA194" s="23">
        <f>EXP(-LN(2)/25)*AA193+(1-EXP(-LN(2)/25))/(LN(2)/25)*Calculateur!V194*Calculateur!X194*VLOOKUP('Données projet'!$B$9,Paramètres!$A$1:$I$89,3,0)*0.475*44/12</f>
        <v>0.61541941731400818</v>
      </c>
      <c r="AB194" s="23">
        <f>EXP(-LN(2)/2)*AB193+(1-EXP(-LN(2)/2))/(LN(2)/2)*V194*Y194*VLOOKUP('Données projet'!$B$9,Paramètres!$A$1:$I$89,3,0)*0.475*44/12</f>
        <v>2.4872599548710129E-25</v>
      </c>
      <c r="AC194" s="24">
        <f t="shared" si="163"/>
        <v>1.0694955112792783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173.72159999999943</v>
      </c>
      <c r="D195" s="12">
        <f t="shared" si="140"/>
        <v>43.92248475507499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1680.0596016181182</v>
      </c>
      <c r="H195" s="70">
        <f t="shared" si="110"/>
        <v>672.39678094842111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460.30566673085474</v>
      </c>
      <c r="T195" s="62">
        <f t="shared" si="142"/>
        <v>569.42599742280231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0.4451719387216812</v>
      </c>
      <c r="AA195" s="23">
        <f>EXP(-LN(2)/25)*AA194+(1-EXP(-LN(2)/25))/(LN(2)/25)*Calculateur!V195*Calculateur!X195*VLOOKUP('Données projet'!$B$9,Paramètres!$A$1:$I$89,3,0)*0.475*44/12</f>
        <v>0.59859074098405607</v>
      </c>
      <c r="AB195" s="23">
        <f>EXP(-LN(2)/2)*AB194+(1-EXP(-LN(2)/2))/(LN(2)/2)*V195*Y195*VLOOKUP('Données projet'!$B$9,Paramètres!$A$1:$I$89,3,0)*0.475*44/12</f>
        <v>1.7587583806630394E-25</v>
      </c>
      <c r="AC195" s="24">
        <f t="shared" si="163"/>
        <v>1.0437626797057373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174.62639999999942</v>
      </c>
      <c r="D196" s="12">
        <f t="shared" si="140"/>
        <v>44.124558536403818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1688.6038904564459</v>
      </c>
      <c r="H196" s="70">
        <f t="shared" ref="H196:H203" si="192">(B196+E196+F196)*44/12+(C196+D196)*0.475*44/12</f>
        <v>674.32458611756897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460.30566673085474</v>
      </c>
      <c r="T196" s="62">
        <f t="shared" si="142"/>
        <v>569.42599742280231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0.43644238853142048</v>
      </c>
      <c r="AA196" s="23">
        <f>EXP(-LN(2)/25)*AA195+(1-EXP(-LN(2)/25))/(LN(2)/25)*Calculateur!V196*Calculateur!X196*VLOOKUP('Données projet'!$B$9,Paramètres!$A$1:$I$89,3,0)*0.475*44/12</f>
        <v>0.58222224569332803</v>
      </c>
      <c r="AB196" s="23">
        <f>EXP(-LN(2)/2)*AB195+(1-EXP(-LN(2)/2))/(LN(2)/2)*V196*Y196*VLOOKUP('Données projet'!$B$9,Paramètres!$A$1:$I$89,3,0)*0.475*44/12</f>
        <v>1.2436299774355064E-25</v>
      </c>
      <c r="AC196" s="24">
        <f t="shared" si="163"/>
        <v>1.0186646342247485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175.53119999999942</v>
      </c>
      <c r="D197" s="12">
        <f t="shared" ref="D197:D203" si="202">IFERROR(EXP(-1.0587+0.8836*LN(C197)+0.284),0)</f>
        <v>44.326510481422375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1697.1472388039581</v>
      </c>
      <c r="H197" s="70">
        <f t="shared" si="192"/>
        <v>676.25217908847617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460.30566673085474</v>
      </c>
      <c r="T197" s="62">
        <f t="shared" ref="T197:T203" si="204">$T$3</f>
        <v>569.42599742280231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0.42788401949589089</v>
      </c>
      <c r="AA197" s="23">
        <f>EXP(-LN(2)/25)*AA196+(1-EXP(-LN(2)/25))/(LN(2)/25)*Calculateur!V197*Calculateur!X197*VLOOKUP('Données projet'!$B$9,Paramètres!$A$1:$I$89,3,0)*0.475*44/12</f>
        <v>0.56630134776710672</v>
      </c>
      <c r="AB197" s="23">
        <f>EXP(-LN(2)/2)*AB196+(1-EXP(-LN(2)/2))/(LN(2)/2)*V197*Y197*VLOOKUP('Données projet'!$B$9,Paramètres!$A$1:$I$89,3,0)*0.475*44/12</f>
        <v>8.793791903315197E-26</v>
      </c>
      <c r="AC197" s="24">
        <f t="shared" si="163"/>
        <v>0.99418536726299767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176.43599999999941</v>
      </c>
      <c r="D198" s="12">
        <f t="shared" si="202"/>
        <v>44.528341291050459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1705.6896520712623</v>
      </c>
      <c r="H198" s="70">
        <f t="shared" si="192"/>
        <v>678.17956108191174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460.30566673085474</v>
      </c>
      <c r="T198" s="62">
        <f t="shared" si="204"/>
        <v>569.42599742280231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0.4194934748570584</v>
      </c>
      <c r="AA198" s="23">
        <f>EXP(-LN(2)/25)*AA197+(1-EXP(-LN(2)/25))/(LN(2)/25)*Calculateur!V198*Calculateur!X198*VLOOKUP('Données projet'!$B$9,Paramètres!$A$1:$I$89,3,0)*0.475*44/12</f>
        <v>0.55081580763192162</v>
      </c>
      <c r="AB198" s="23">
        <f>EXP(-LN(2)/2)*AB197+(1-EXP(-LN(2)/2))/(LN(2)/2)*V198*Y198*VLOOKUP('Données projet'!$B$9,Paramètres!$A$1:$I$89,3,0)*0.475*44/12</f>
        <v>6.2181498871775322E-26</v>
      </c>
      <c r="AC198" s="24">
        <f t="shared" si="163"/>
        <v>0.97030928248898007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177.3407999999994</v>
      </c>
      <c r="D199" s="12">
        <f t="shared" si="202"/>
        <v>44.730051658602939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1714.2311356102639</v>
      </c>
      <c r="H199" s="70">
        <f t="shared" si="192"/>
        <v>680.10673330539908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460.30566673085474</v>
      </c>
      <c r="T199" s="62">
        <f t="shared" si="204"/>
        <v>569.42599742280231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0.41126746368086653</v>
      </c>
      <c r="AA199" s="23">
        <f>EXP(-LN(2)/25)*AA198+(1-EXP(-LN(2)/25))/(LN(2)/25)*Calculateur!V199*Calculateur!X199*VLOOKUP('Données projet'!$B$9,Paramètres!$A$1:$I$89,3,0)*0.475*44/12</f>
        <v>0.53575372040608227</v>
      </c>
      <c r="AB199" s="23">
        <f>EXP(-LN(2)/2)*AB198+(1-EXP(-LN(2)/2))/(LN(2)/2)*V199*Y199*VLOOKUP('Données projet'!$B$9,Paramètres!$A$1:$I$89,3,0)*0.475*44/12</f>
        <v>4.3968959516575985E-26</v>
      </c>
      <c r="AC199" s="24">
        <f t="shared" si="163"/>
        <v>0.9470211840869488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178.2455999999994</v>
      </c>
      <c r="D200" s="12">
        <f t="shared" si="202"/>
        <v>44.931642269910306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1722.7716947150923</v>
      </c>
      <c r="H200" s="70">
        <f t="shared" si="192"/>
        <v>682.03369695342599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460.30566673085474</v>
      </c>
      <c r="T200" s="62">
        <f t="shared" si="204"/>
        <v>569.42599742280231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0.40320275956646834</v>
      </c>
      <c r="AA200" s="23">
        <f>EXP(-LN(2)/25)*AA199+(1-EXP(-LN(2)/25))/(LN(2)/25)*Calculateur!V200*Calculateur!X200*VLOOKUP('Données projet'!$B$9,Paramètres!$A$1:$I$89,3,0)*0.475*44/12</f>
        <v>0.52110350674751427</v>
      </c>
      <c r="AB200" s="23">
        <f>EXP(-LN(2)/2)*AB199+(1-EXP(-LN(2)/2))/(LN(2)/2)*V200*Y200*VLOOKUP('Données projet'!$B$9,Paramètres!$A$1:$I$89,3,0)*0.475*44/12</f>
        <v>3.1090749435887661E-26</v>
      </c>
      <c r="AC200" s="24">
        <f t="shared" si="163"/>
        <v>0.92430626631398261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179.15039999999939</v>
      </c>
      <c r="D201" s="12">
        <f t="shared" si="202"/>
        <v>45.133113803437183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1731.3113346230191</v>
      </c>
      <c r="H201" s="70">
        <f t="shared" si="192"/>
        <v>683.96045320765199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460.30566673085474</v>
      </c>
      <c r="T201" s="62">
        <f t="shared" si="204"/>
        <v>569.42599742280231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0.39529619938076971</v>
      </c>
      <c r="AA201" s="23">
        <f>EXP(-LN(2)/25)*AA200+(1-EXP(-LN(2)/25))/(LN(2)/25)*Calculateur!V201*Calculateur!X201*VLOOKUP('Données projet'!$B$9,Paramètres!$A$1:$I$89,3,0)*0.475*44/12</f>
        <v>0.50685390395186103</v>
      </c>
      <c r="AB201" s="23">
        <f>EXP(-LN(2)/2)*AB200+(1-EXP(-LN(2)/2))/(LN(2)/2)*V201*Y201*VLOOKUP('Données projet'!$B$9,Paramètres!$A$1:$I$89,3,0)*0.475*44/12</f>
        <v>2.1984479758287993E-26</v>
      </c>
      <c r="AC201" s="24">
        <f t="shared" si="163"/>
        <v>0.90215010333263068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180.05519999999939</v>
      </c>
      <c r="D202" s="12">
        <f t="shared" si="202"/>
        <v>45.334466930398278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1739.8500605153504</v>
      </c>
      <c r="H202" s="70">
        <f t="shared" si="192"/>
        <v>685.88700323710918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460.30566673085474</v>
      </c>
      <c r="T202" s="62">
        <f t="shared" si="204"/>
        <v>569.42599742280231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0.38754468201778713</v>
      </c>
      <c r="AA202" s="23">
        <f>EXP(-LN(2)/25)*AA201+(1-EXP(-LN(2)/25))/(LN(2)/25)*Calculateur!V202*Calculateur!X202*VLOOKUP('Données projet'!$B$9,Paramètres!$A$1:$I$89,3,0)*0.475*44/12</f>
        <v>0.49299395729400902</v>
      </c>
      <c r="AB202" s="23">
        <f>EXP(-LN(2)/2)*AB201+(1-EXP(-LN(2)/2))/(LN(2)/2)*V202*Y202*VLOOKUP('Données projet'!$B$9,Paramètres!$A$1:$I$89,3,0)*0.475*44/12</f>
        <v>1.554537471794383E-26</v>
      </c>
      <c r="AC202" s="24">
        <f t="shared" si="163"/>
        <v>0.88053863931179621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180.95999999999938</v>
      </c>
      <c r="D203" s="12">
        <f t="shared" si="202"/>
        <v>45.535702314871642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1748.387877518303</v>
      </c>
      <c r="H203" s="70">
        <f t="shared" si="192"/>
        <v>687.81334819840026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460.30566673085474</v>
      </c>
      <c r="T203" s="62">
        <f t="shared" si="204"/>
        <v>569.42599742280231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0.3799451671823339</v>
      </c>
      <c r="AA203" s="23">
        <f>EXP(-LN(2)/25)*AA202+(1-EXP(-LN(2)/25))/(LN(2)/25)*Calculateur!V203*Calculateur!X203*VLOOKUP('Données projet'!$B$9,Paramètres!$A$1:$I$89,3,0)*0.475*44/12</f>
        <v>0.47951301160637888</v>
      </c>
      <c r="AB203" s="23">
        <f>EXP(-LN(2)/2)*AB202+(1-EXP(-LN(2)/2))/(LN(2)/2)*V203*Y203*VLOOKUP('Données projet'!$B$9,Paramètres!$A$1:$I$89,3,0)*0.475*44/12</f>
        <v>1.0992239879143996E-26</v>
      </c>
      <c r="AC203" s="24">
        <f t="shared" si="163"/>
        <v>0.85945817878871278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1.4037863041747067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Normal="100" workbookViewId="0">
      <selection activeCell="D17" sqref="D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4.3</v>
      </c>
      <c r="C6" s="156">
        <f ca="1">IF(OR('Données projet'!B9="",'Données projet'!C9="",'Données projet'!C9=0%),0,Calculateur!S3)</f>
        <v>460.30566673085474</v>
      </c>
      <c r="D6" s="156">
        <f>IF(OR('Données projet'!B9="",'Données projet'!C9="",'Données projet'!C9=0%),0,Calculateur!T3)</f>
        <v>569.42599742280231</v>
      </c>
      <c r="E6" s="156">
        <f ca="1">MIN(C6,D6)</f>
        <v>460.30566673085474</v>
      </c>
      <c r="F6" s="156">
        <f ca="1">E6*B6</f>
        <v>1979.3143669426754</v>
      </c>
      <c r="G6" s="156">
        <f ca="1">F6*(100%-'Données projet'!$C$24)*(100%-'Données projet'!$C$25)*(100%-'Données projet'!$C$26)*(100%-'Données projet'!$C$27)</f>
        <v>1425.1063441987264</v>
      </c>
      <c r="H6" s="157">
        <f>IF(OR('Données projet'!B9="",'Données projet'!C9="",'Données projet'!C9=0%),0,AVERAGE(Calculateur!$AC$3:$AC$33)*B6)</f>
        <v>41.974722390528662</v>
      </c>
      <c r="I6" s="158">
        <f>H6*(100%-'Données projet'!$C$24)*(100%-'Données projet'!$C$25)*(100%-'Données projet'!$C$26)*(100%-'Données projet'!$C$27)</f>
        <v>30.221800121180642</v>
      </c>
      <c r="J6" s="159">
        <f>IF(OR('Données projet'!B9="",'Données projet'!C9="",'Données projet'!C9=0%),0,SUM(Calculateur!$V$3:$V$33)*VLOOKUP('Données projet'!$B$9,Paramètres!$A$1:$I$89,9,0)*B6)</f>
        <v>356.85699999999997</v>
      </c>
      <c r="K6" s="160">
        <f>J6*(100%-'Données projet'!$C$24)*(100%-'Données projet'!$C$25)*(100%-'Données projet'!$C$26)*(100%-'Données projet'!$C$27)</f>
        <v>256.93703999999997</v>
      </c>
      <c r="L6" s="161">
        <f ca="1">G6+I6+K6</f>
        <v>1712.2651843199071</v>
      </c>
      <c r="M6" s="25">
        <f ca="1">L6/B6</f>
        <v>398.20120565579236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1979.3143669426754</v>
      </c>
      <c r="G16" s="175">
        <f t="shared" ca="1" si="3"/>
        <v>1425.1063441987264</v>
      </c>
      <c r="H16" s="176">
        <f t="shared" si="3"/>
        <v>41.974722390528662</v>
      </c>
      <c r="I16" s="176">
        <f t="shared" si="3"/>
        <v>30.221800121180642</v>
      </c>
      <c r="J16" s="177">
        <f t="shared" si="3"/>
        <v>356.85699999999997</v>
      </c>
      <c r="K16" s="177">
        <f t="shared" si="3"/>
        <v>256.93703999999997</v>
      </c>
      <c r="L16" s="178">
        <f t="shared" ca="1" si="3"/>
        <v>1712.2651843199071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85" zoomScaleNormal="85" workbookViewId="0">
      <selection activeCell="M38" sqref="M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60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90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72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77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64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62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46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35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769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str">
        <f>IF(O98+1&lt;=MIN('Données projet'!$E$9:$E$18),O98+1,"STOP")</f>
        <v>STOP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2023-12-22T09:44:35Z</dcterms:modified>
</cp:coreProperties>
</file>