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/1_Dossiers projets/Vergezac_43_Killian Neyrand_3,2489/Dossier LBC/"/>
    </mc:Choice>
  </mc:AlternateContent>
  <xr:revisionPtr revIDLastSave="138" documentId="8_{EF83E17A-0B8C-44B6-AAA5-011BAF3B6E31}" xr6:coauthVersionLast="47" xr6:coauthVersionMax="47" xr10:uidLastSave="{6615A060-BE2A-478E-A08E-72685DD4125F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Feuil1" sheetId="8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A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HH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EW33" i="2"/>
  <c r="HH33" i="2"/>
  <c r="EA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FS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EX156" i="2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V164" i="2"/>
  <c r="DH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DG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HH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I179" i="2"/>
  <c r="HH179" i="2"/>
  <c r="EV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G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FZ6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68" i="2" a="1"/>
  <c r="BC68" i="2" s="1"/>
  <c r="BC47" i="2" a="1"/>
  <c r="BC47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43" i="2" a="1"/>
  <c r="BC143" i="2" s="1"/>
  <c r="BC185" i="2" a="1"/>
  <c r="BC185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BC31" i="2" l="1" a="1"/>
  <c r="BC31" i="2" s="1"/>
  <c r="BC181" i="2" a="1"/>
  <c r="BC181" i="2" s="1"/>
  <c r="BC82" i="2" a="1"/>
  <c r="BC82" i="2" s="1"/>
  <c r="BC58" i="2" a="1"/>
  <c r="BC58" i="2" s="1"/>
  <c r="BC18" i="2" a="1"/>
  <c r="BC18" i="2" s="1"/>
  <c r="BC38" i="2" a="1"/>
  <c r="BC38" i="2" s="1"/>
  <c r="BC7" i="2" a="1"/>
  <c r="BC7" i="2" s="1"/>
  <c r="BC83" i="2" a="1"/>
  <c r="BC83" i="2" s="1"/>
  <c r="BC151" i="2" a="1"/>
  <c r="BC151" i="2" s="1"/>
  <c r="BC114" i="2" a="1"/>
  <c r="BC114" i="2" s="1"/>
  <c r="BC126" i="2" a="1"/>
  <c r="BC126" i="2" s="1"/>
  <c r="BC34" i="2" a="1"/>
  <c r="BC34" i="2" s="1"/>
  <c r="BC84" i="2" a="1"/>
  <c r="BC84" i="2" s="1"/>
  <c r="BC32" i="2" a="1"/>
  <c r="BC32" i="2" s="1"/>
  <c r="BC164" i="2" a="1"/>
  <c r="BC164" i="2" s="1"/>
  <c r="BC117" i="2" a="1"/>
  <c r="BC117" i="2" s="1"/>
  <c r="AH92" i="2" a="1"/>
  <c r="AH92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tc={7CD66049-BF88-4CD8-9A58-1D05F8DF385F}</author>
    <author>tc={FD69F224-5C23-4A73-A67E-EC7CF18C8805}</author>
    <author>tc={50A9459F-2610-43E4-9B60-D949B9879468}</author>
    <author>tc={CC210BC1-5821-4740-A606-AB92AB66F009}</author>
  </authors>
  <commentList>
    <comment ref="E17" authorId="0" shapeId="0" xr:uid="{7CD66049-BF88-4CD8-9A58-1D05F8DF385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plants, plantation, protection</t>
      </text>
    </comment>
    <comment ref="I20" authorId="1" shapeId="0" xr:uid="{FD69F224-5C23-4A73-A67E-EC7CF18C880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mise en andain</t>
      </text>
    </comment>
    <comment ref="I21" authorId="2" shapeId="0" xr:uid="{50A9459F-2610-43E4-9B60-D949B987946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Maitrise d'oeuvre</t>
      </text>
    </comment>
    <comment ref="I22" authorId="3" shapeId="0" xr:uid="{CC210BC1-5821-4740-A606-AB92AB66F00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option regarnis</t>
      </text>
    </comment>
  </commentList>
</comments>
</file>

<file path=xl/sharedStrings.xml><?xml version="1.0" encoding="utf-8"?>
<sst xmlns="http://schemas.openxmlformats.org/spreadsheetml/2006/main" count="1175" uniqueCount="325">
  <si>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</si>
  <si>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</si>
  <si>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</si>
  <si>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</si>
  <si>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</si>
  <si>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</si>
  <si>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</si>
  <si>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</si>
  <si>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</si>
  <si>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</si>
  <si>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</si>
  <si>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</si>
  <si>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</si>
  <si>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</si>
  <si>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</si>
  <si>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</si>
  <si>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</si>
  <si>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</si>
  <si>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</si>
  <si>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</si>
  <si>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</si>
  <si>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Pin laricio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</si>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</sst>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179.64007820340888</c:v>
                </c:pt>
                <c:pt idx="14">
                  <c:v>215.39584283593408</c:v>
                </c:pt>
                <c:pt idx="15">
                  <c:v>251.01473072466717</c:v>
                </c:pt>
                <c:pt idx="16">
                  <c:v>286.51891307475506</c:v>
                </c:pt>
                <c:pt idx="17">
                  <c:v>321.92460060215132</c:v>
                </c:pt>
                <c:pt idx="18">
                  <c:v>357.24414130207202</c:v>
                </c:pt>
                <c:pt idx="19">
                  <c:v>392.93009822200844</c:v>
                </c:pt>
                <c:pt idx="20">
                  <c:v>428.54578454775537</c:v>
                </c:pt>
                <c:pt idx="21">
                  <c:v>464.0978527922727</c:v>
                </c:pt>
                <c:pt idx="22">
                  <c:v>499.59185381999487</c:v>
                </c:pt>
                <c:pt idx="23">
                  <c:v>535.0324861894976</c:v>
                </c:pt>
                <c:pt idx="24">
                  <c:v>570.42377594938648</c:v>
                </c:pt>
                <c:pt idx="25">
                  <c:v>605.54980770315581</c:v>
                </c:pt>
                <c:pt idx="26">
                  <c:v>640.63354316768266</c:v>
                </c:pt>
                <c:pt idx="27">
                  <c:v>675.67762008263787</c:v>
                </c:pt>
                <c:pt idx="28">
                  <c:v>710.68438071077901</c:v>
                </c:pt>
                <c:pt idx="29">
                  <c:v>745.65591814463266</c:v>
                </c:pt>
                <c:pt idx="30">
                  <c:v>780.59411348307503</c:v>
                </c:pt>
                <c:pt idx="31">
                  <c:v>671.9559975046767</c:v>
                </c:pt>
                <c:pt idx="32">
                  <c:v>703.68591015453387</c:v>
                </c:pt>
                <c:pt idx="33">
                  <c:v>735.38656805371522</c:v>
                </c:pt>
                <c:pt idx="34">
                  <c:v>767.05940745274086</c:v>
                </c:pt>
                <c:pt idx="35">
                  <c:v>798.70573652474422</c:v>
                </c:pt>
                <c:pt idx="36">
                  <c:v>830.32675150748025</c:v>
                </c:pt>
                <c:pt idx="37">
                  <c:v>699.09239084190824</c:v>
                </c:pt>
                <c:pt idx="38">
                  <c:v>723.80272964590631</c:v>
                </c:pt>
                <c:pt idx="39">
                  <c:v>748.49586702387558</c:v>
                </c:pt>
                <c:pt idx="40">
                  <c:v>773.1724495278487</c:v>
                </c:pt>
                <c:pt idx="41">
                  <c:v>797.83307913277804</c:v>
                </c:pt>
                <c:pt idx="42">
                  <c:v>822.47831762002932</c:v>
                </c:pt>
                <c:pt idx="43">
                  <c:v>687.05880434588732</c:v>
                </c:pt>
                <c:pt idx="44">
                  <c:v>710.24701772271976</c:v>
                </c:pt>
                <c:pt idx="45">
                  <c:v>733.41976488307193</c:v>
                </c:pt>
                <c:pt idx="46">
                  <c:v>756.57760263872979</c:v>
                </c:pt>
                <c:pt idx="47">
                  <c:v>779.72105098068926</c:v>
                </c:pt>
                <c:pt idx="48">
                  <c:v>802.85059655638725</c:v>
                </c:pt>
                <c:pt idx="49">
                  <c:v>662.54058417706869</c:v>
                </c:pt>
                <c:pt idx="50">
                  <c:v>683.55731657128399</c:v>
                </c:pt>
                <c:pt idx="51">
                  <c:v>704.5607965314897</c:v>
                </c:pt>
                <c:pt idx="52">
                  <c:v>725.55147429600538</c:v>
                </c:pt>
                <c:pt idx="53">
                  <c:v>746.52977195775156</c:v>
                </c:pt>
                <c:pt idx="54">
                  <c:v>767.49608598100974</c:v>
                </c:pt>
                <c:pt idx="55">
                  <c:v>628.79734099509483</c:v>
                </c:pt>
                <c:pt idx="56">
                  <c:v>646.33083923518518</c:v>
                </c:pt>
                <c:pt idx="57">
                  <c:v>663.85452714710436</c:v>
                </c:pt>
                <c:pt idx="58">
                  <c:v>681.36869994686231</c:v>
                </c:pt>
                <c:pt idx="59">
                  <c:v>698.87363644948789</c:v>
                </c:pt>
                <c:pt idx="60">
                  <c:v>716.36960037654308</c:v>
                </c:pt>
                <c:pt idx="61">
                  <c:v>586.67500447098337</c:v>
                </c:pt>
                <c:pt idx="62">
                  <c:v>604.23336233410805</c:v>
                </c:pt>
                <c:pt idx="63">
                  <c:v>621.78112531404111</c:v>
                </c:pt>
                <c:pt idx="64">
                  <c:v>639.31863429406792</c:v>
                </c:pt>
                <c:pt idx="65">
                  <c:v>656.8462099455628</c:v>
                </c:pt>
                <c:pt idx="66">
                  <c:v>674.36415444477132</c:v>
                </c:pt>
                <c:pt idx="67">
                  <c:v>546.24855583469991</c:v>
                </c:pt>
                <c:pt idx="68">
                  <c:v>561.63531739671441</c:v>
                </c:pt>
                <c:pt idx="69">
                  <c:v>577.01326101134919</c:v>
                </c:pt>
                <c:pt idx="70">
                  <c:v>592.38265466360133</c:v>
                </c:pt>
                <c:pt idx="71">
                  <c:v>607.74375130653345</c:v>
                </c:pt>
                <c:pt idx="72">
                  <c:v>623.09679007092416</c:v>
                </c:pt>
                <c:pt idx="73">
                  <c:v>503.99723200983721</c:v>
                </c:pt>
                <c:pt idx="74">
                  <c:v>518.08900823898523</c:v>
                </c:pt>
                <c:pt idx="75">
                  <c:v>532.17270152227161</c:v>
                </c:pt>
                <c:pt idx="76">
                  <c:v>546.24855583470014</c:v>
                </c:pt>
                <c:pt idx="77">
                  <c:v>560.31680155687127</c:v>
                </c:pt>
                <c:pt idx="78">
                  <c:v>574.37765656188174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VEN Thomas - externe" id="{EB74940B-2BCC-4930-AC5E-F455E6DCD07F}" userId="S::thomas-externe.even@edf.fr::452271ae-bb84-4b5a-842a-62e2f04bfc7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3-05-10T12:00:31.46" personId="{EB74940B-2BCC-4930-AC5E-F455E6DCD07F}" id="{7CD66049-BF88-4CD8-9A58-1D05F8DF385F}">
    <text>plants, plantation, protection</text>
  </threadedComment>
  <threadedComment ref="I20" dT="2023-05-10T11:59:49.29" personId="{EB74940B-2BCC-4930-AC5E-F455E6DCD07F}" id="{FD69F224-5C23-4A73-A67E-EC7CF18C8805}">
    <text>mise en andain</text>
  </threadedComment>
  <threadedComment ref="I21" dT="2023-05-10T11:59:41.73" personId="{EB74940B-2BCC-4930-AC5E-F455E6DCD07F}" id="{50A9459F-2610-43E4-9B60-D949B9879468}">
    <text>Maitrise d'oeuvre</text>
  </threadedComment>
  <threadedComment ref="I22" dT="2023-05-10T11:58:41.10" personId="{EB74940B-2BCC-4930-AC5E-F455E6DCD07F}" id="{CC210BC1-5821-4740-A606-AB92AB66F009}">
    <text>option regarnis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9" zoomScale="80" zoomScaleNormal="80" workbookViewId="0">
      <selection activeCell="B92" sqref="B9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3.2488999999999999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0.33333333333333337</v>
      </c>
      <c r="D9" s="33">
        <f t="shared" ref="D9:D18" si="0">C9*$C$5</f>
        <v>1.0829666666666669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0.33333333333333337</v>
      </c>
      <c r="D10" s="33">
        <f t="shared" si="0"/>
        <v>1.0829666666666669</v>
      </c>
      <c r="E10" s="34">
        <v>78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0.33333333333333337</v>
      </c>
      <c r="D11" s="33">
        <f t="shared" si="0"/>
        <v>1.0829666666666669</v>
      </c>
      <c r="E11" s="34">
        <v>65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1</v>
      </c>
      <c r="D19" s="38">
        <f>SUM(D9:D18)</f>
        <v>3.2489000000000008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30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42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58" t="s">
        <v>45</v>
      </c>
      <c r="D34" s="258"/>
      <c r="E34" s="259" t="s">
        <v>46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162</v>
      </c>
      <c r="C36" s="60">
        <v>0</v>
      </c>
      <c r="D36" s="60">
        <v>0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303</v>
      </c>
      <c r="C37" s="60">
        <v>1</v>
      </c>
      <c r="D37" s="60">
        <v>43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28.2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419</v>
      </c>
      <c r="C38" s="60">
        <v>2</v>
      </c>
      <c r="D38" s="60">
        <v>60</v>
      </c>
      <c r="E38" s="51">
        <v>0.7</v>
      </c>
      <c r="F38" s="51">
        <v>0.17</v>
      </c>
      <c r="G38" s="51">
        <v>0.13</v>
      </c>
      <c r="H38" s="51">
        <v>0</v>
      </c>
      <c r="I38" s="53">
        <f t="shared" si="1"/>
        <v>31.8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524</v>
      </c>
      <c r="C39" s="60">
        <v>3</v>
      </c>
      <c r="D39" s="60">
        <v>90</v>
      </c>
      <c r="E39" s="51">
        <v>0.7</v>
      </c>
      <c r="F39" s="51">
        <v>0.17</v>
      </c>
      <c r="G39" s="51">
        <v>0.13</v>
      </c>
      <c r="H39" s="51">
        <v>0</v>
      </c>
      <c r="I39" s="49">
        <f t="shared" si="1"/>
        <v>33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35</v>
      </c>
      <c r="B40" s="60">
        <v>576</v>
      </c>
      <c r="C40" s="60">
        <v>4</v>
      </c>
      <c r="D40" s="60">
        <v>72</v>
      </c>
      <c r="E40" s="51">
        <v>0.7</v>
      </c>
      <c r="F40" s="51">
        <v>0.17</v>
      </c>
      <c r="G40" s="51">
        <v>0.13</v>
      </c>
      <c r="H40" s="51">
        <v>0</v>
      </c>
      <c r="I40" s="49">
        <f t="shared" si="1"/>
        <v>28.4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40</v>
      </c>
      <c r="B41" s="60">
        <v>639</v>
      </c>
      <c r="C41" s="60">
        <v>5</v>
      </c>
      <c r="D41" s="60">
        <v>77</v>
      </c>
      <c r="E41" s="51">
        <v>0.7</v>
      </c>
      <c r="F41" s="51">
        <v>0.17</v>
      </c>
      <c r="G41" s="51">
        <v>0.13</v>
      </c>
      <c r="H41" s="51">
        <v>0</v>
      </c>
      <c r="I41" s="53">
        <f t="shared" si="1"/>
        <v>27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45</v>
      </c>
      <c r="B42" s="60">
        <v>686</v>
      </c>
      <c r="C42" s="60">
        <v>6</v>
      </c>
      <c r="D42" s="60">
        <v>64</v>
      </c>
      <c r="E42" s="51">
        <v>0.7</v>
      </c>
      <c r="F42" s="51">
        <v>0.17</v>
      </c>
      <c r="G42" s="51">
        <v>0.13</v>
      </c>
      <c r="H42" s="51">
        <v>0</v>
      </c>
      <c r="I42" s="53">
        <f t="shared" si="1"/>
        <v>24.8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50</v>
      </c>
      <c r="B43" s="60">
        <v>724</v>
      </c>
      <c r="C43" s="60">
        <v>7</v>
      </c>
      <c r="D43" s="60">
        <v>62</v>
      </c>
      <c r="E43" s="51">
        <v>0.7</v>
      </c>
      <c r="F43" s="51">
        <v>0.17</v>
      </c>
      <c r="G43" s="51">
        <v>0.13</v>
      </c>
      <c r="H43" s="51">
        <v>0</v>
      </c>
      <c r="I43" s="49">
        <f t="shared" si="1"/>
        <v>20.399999999999999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55</v>
      </c>
      <c r="B44" s="60">
        <v>739</v>
      </c>
      <c r="C44" s="60">
        <v>8</v>
      </c>
      <c r="D44" s="60">
        <v>46</v>
      </c>
      <c r="E44" s="51">
        <v>0.7</v>
      </c>
      <c r="F44" s="51">
        <v>0.17</v>
      </c>
      <c r="G44" s="51">
        <v>0.13</v>
      </c>
      <c r="H44" s="51">
        <v>0</v>
      </c>
      <c r="I44" s="49">
        <f t="shared" si="1"/>
        <v>15.4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60</v>
      </c>
      <c r="B45" s="60">
        <v>754</v>
      </c>
      <c r="C45" s="60">
        <v>9</v>
      </c>
      <c r="D45" s="60">
        <v>35</v>
      </c>
      <c r="E45" s="51">
        <v>0.7</v>
      </c>
      <c r="F45" s="51">
        <v>0.17</v>
      </c>
      <c r="G45" s="51">
        <v>0.13</v>
      </c>
      <c r="H45" s="51">
        <v>0</v>
      </c>
      <c r="I45" s="49">
        <f t="shared" si="1"/>
        <v>12.2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65</v>
      </c>
      <c r="B46" s="60">
        <v>769</v>
      </c>
      <c r="C46" s="60" t="s">
        <v>56</v>
      </c>
      <c r="D46" s="60">
        <v>769</v>
      </c>
      <c r="E46" s="51">
        <v>0.7</v>
      </c>
      <c r="F46" s="51">
        <v>0.17</v>
      </c>
      <c r="G46" s="51">
        <v>0.13</v>
      </c>
      <c r="H46" s="51">
        <v>0</v>
      </c>
      <c r="I46" s="49">
        <f t="shared" si="1"/>
        <v>10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Mélèze d'Europe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58" t="s">
        <v>45</v>
      </c>
      <c r="D60" s="258"/>
      <c r="E60" s="259" t="s">
        <v>46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12</v>
      </c>
      <c r="B62" s="60">
        <v>103</v>
      </c>
      <c r="C62" s="60">
        <v>0</v>
      </c>
      <c r="D62" s="60">
        <v>0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8.5833333333333339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18</v>
      </c>
      <c r="B63" s="60">
        <v>262</v>
      </c>
      <c r="C63" s="60">
        <v>0</v>
      </c>
      <c r="D63" s="60">
        <v>0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26.5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24</v>
      </c>
      <c r="B64" s="60">
        <v>423</v>
      </c>
      <c r="C64" s="60">
        <v>0</v>
      </c>
      <c r="D64" s="60">
        <v>0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26.833333333333332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30</v>
      </c>
      <c r="B65" s="60">
        <v>583</v>
      </c>
      <c r="C65" s="60">
        <v>1</v>
      </c>
      <c r="D65" s="60">
        <v>107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26.666666666666668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36</v>
      </c>
      <c r="B66" s="60">
        <v>621</v>
      </c>
      <c r="C66" s="60">
        <v>2</v>
      </c>
      <c r="D66" s="60">
        <v>119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24.166666666666668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42</v>
      </c>
      <c r="B67" s="60">
        <v>615</v>
      </c>
      <c r="C67" s="60">
        <v>3</v>
      </c>
      <c r="D67" s="60">
        <v>121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18.833333333333332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48</v>
      </c>
      <c r="B68" s="60">
        <v>600</v>
      </c>
      <c r="C68" s="60">
        <v>4</v>
      </c>
      <c r="D68" s="60">
        <v>123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17.666666666666668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54</v>
      </c>
      <c r="B69" s="50">
        <v>573</v>
      </c>
      <c r="C69" s="50">
        <v>5</v>
      </c>
      <c r="D69" s="50">
        <v>119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16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60</v>
      </c>
      <c r="B70" s="50">
        <v>534</v>
      </c>
      <c r="C70" s="50">
        <v>6</v>
      </c>
      <c r="D70" s="50">
        <v>112</v>
      </c>
      <c r="E70" s="51">
        <v>0.7</v>
      </c>
      <c r="F70" s="51">
        <v>0.16800000000000001</v>
      </c>
      <c r="G70" s="51">
        <v>0.13200000000000001</v>
      </c>
      <c r="H70" s="51">
        <v>0</v>
      </c>
      <c r="I70" s="49">
        <f t="shared" si="2"/>
        <v>13.333333333333334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66</v>
      </c>
      <c r="B71" s="50">
        <v>502</v>
      </c>
      <c r="C71" s="50">
        <v>7</v>
      </c>
      <c r="D71" s="50">
        <v>109</v>
      </c>
      <c r="E71" s="51">
        <v>0.7</v>
      </c>
      <c r="F71" s="51">
        <v>0.16800000000000001</v>
      </c>
      <c r="G71" s="51">
        <v>0.13200000000000001</v>
      </c>
      <c r="H71" s="51">
        <v>0</v>
      </c>
      <c r="I71" s="49">
        <f t="shared" si="2"/>
        <v>13.333333333333334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72</v>
      </c>
      <c r="B72" s="50">
        <v>463</v>
      </c>
      <c r="C72" s="50">
        <v>8</v>
      </c>
      <c r="D72" s="50">
        <v>101</v>
      </c>
      <c r="E72" s="51">
        <v>0.7</v>
      </c>
      <c r="F72" s="51">
        <v>0.16800000000000001</v>
      </c>
      <c r="G72" s="51">
        <v>0.13200000000000001</v>
      </c>
      <c r="H72" s="51">
        <v>0</v>
      </c>
      <c r="I72" s="49">
        <f t="shared" si="2"/>
        <v>11.666666666666666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78</v>
      </c>
      <c r="B73" s="50">
        <v>426</v>
      </c>
      <c r="C73" s="50" t="s">
        <v>56</v>
      </c>
      <c r="D73" s="50">
        <v>426</v>
      </c>
      <c r="E73" s="51">
        <v>0.7</v>
      </c>
      <c r="F73" s="51">
        <v>0.16800000000000001</v>
      </c>
      <c r="G73" s="51">
        <v>0.13200000000000001</v>
      </c>
      <c r="H73" s="51">
        <v>0</v>
      </c>
      <c r="I73" s="49">
        <f t="shared" si="2"/>
        <v>10.666666666666666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Pin laricio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58" t="s">
        <v>45</v>
      </c>
      <c r="D86" s="258"/>
      <c r="E86" s="259" t="s">
        <v>46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17</v>
      </c>
      <c r="B88" s="60">
        <v>118</v>
      </c>
      <c r="C88" s="60">
        <v>1</v>
      </c>
      <c r="D88" s="60">
        <v>15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6.9411764705882355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20</v>
      </c>
      <c r="B89" s="60">
        <v>137</v>
      </c>
      <c r="C89" s="60">
        <v>2</v>
      </c>
      <c r="D89" s="60">
        <v>15</v>
      </c>
      <c r="E89" s="51">
        <v>0.7</v>
      </c>
      <c r="F89" s="51">
        <v>0.16800000000000001</v>
      </c>
      <c r="G89" s="51">
        <v>0.13200000000000001</v>
      </c>
      <c r="H89" s="87">
        <v>0</v>
      </c>
      <c r="I89" s="53">
        <f t="shared" ref="I89:I107" si="3">IF(A89&lt;&gt;0,(B89-(B88-D88))/(A89-A88),"")</f>
        <v>11.333333333333334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25</v>
      </c>
      <c r="B90" s="60">
        <v>204</v>
      </c>
      <c r="C90" s="60">
        <v>3</v>
      </c>
      <c r="D90" s="60">
        <v>36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30</v>
      </c>
      <c r="B91" s="60">
        <v>256</v>
      </c>
      <c r="C91" s="60">
        <v>4</v>
      </c>
      <c r="D91" s="60">
        <v>54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17.600000000000001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35</v>
      </c>
      <c r="B92" s="60">
        <v>296</v>
      </c>
      <c r="C92" s="60">
        <v>5</v>
      </c>
      <c r="D92" s="60">
        <v>52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18.8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40</v>
      </c>
      <c r="B93" s="60">
        <v>332</v>
      </c>
      <c r="C93" s="60">
        <v>6</v>
      </c>
      <c r="D93" s="60">
        <v>48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17.600000000000001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45</v>
      </c>
      <c r="B94" s="60">
        <v>384</v>
      </c>
      <c r="C94" s="60">
        <v>7</v>
      </c>
      <c r="D94" s="60">
        <v>57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20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50</v>
      </c>
      <c r="B95" s="60">
        <v>414</v>
      </c>
      <c r="C95" s="60">
        <v>8</v>
      </c>
      <c r="D95" s="60">
        <v>47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17.399999999999999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55</v>
      </c>
      <c r="B96" s="60">
        <v>463</v>
      </c>
      <c r="C96" s="60">
        <v>9</v>
      </c>
      <c r="D96" s="60">
        <v>48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19.2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60</v>
      </c>
      <c r="B97" s="60">
        <v>500</v>
      </c>
      <c r="C97" s="60">
        <v>10</v>
      </c>
      <c r="D97" s="60">
        <v>32</v>
      </c>
      <c r="E97" s="87">
        <v>0.7</v>
      </c>
      <c r="F97" s="87">
        <v>0.16800000000000001</v>
      </c>
      <c r="G97" s="87">
        <v>0.13200000000000001</v>
      </c>
      <c r="H97" s="87">
        <v>0</v>
      </c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65</v>
      </c>
      <c r="B98" s="60">
        <v>555</v>
      </c>
      <c r="C98" s="60" t="s">
        <v>56</v>
      </c>
      <c r="D98" s="60">
        <v>555</v>
      </c>
      <c r="E98" s="87">
        <v>0.7</v>
      </c>
      <c r="F98" s="87">
        <v>0.16800000000000001</v>
      </c>
      <c r="G98" s="87">
        <v>0.13200000000000001</v>
      </c>
      <c r="H98" s="87">
        <v>0</v>
      </c>
      <c r="I98" s="53">
        <f t="shared" si="3"/>
        <v>17.399999999999999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58" t="s">
        <v>45</v>
      </c>
      <c r="D112" s="258"/>
      <c r="E112" s="259" t="s">
        <v>46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58" t="s">
        <v>45</v>
      </c>
      <c r="D138" s="258"/>
      <c r="E138" s="259" t="s">
        <v>46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58" t="s">
        <v>45</v>
      </c>
      <c r="D164" s="258"/>
      <c r="E164" s="259" t="s">
        <v>46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58" t="s">
        <v>45</v>
      </c>
      <c r="D190" s="258"/>
      <c r="E190" s="259" t="s">
        <v>46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58" t="s">
        <v>45</v>
      </c>
      <c r="D216" s="258"/>
      <c r="E216" s="259" t="s">
        <v>46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58" t="s">
        <v>45</v>
      </c>
      <c r="D242" s="258"/>
      <c r="E242" s="259" t="s">
        <v>46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58" t="s">
        <v>45</v>
      </c>
      <c r="D268" s="258"/>
      <c r="E268" s="259" t="s">
        <v>46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57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62</v>
      </c>
      <c r="D8" s="23"/>
      <c r="E8" s="105">
        <v>4</v>
      </c>
      <c r="F8" s="61">
        <v>1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59</v>
      </c>
      <c r="C15" s="4"/>
      <c r="D15" s="23"/>
      <c r="E15" s="4"/>
      <c r="F15" s="4"/>
      <c r="G15" s="2" t="s">
        <v>71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75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51</v>
      </c>
      <c r="X2" s="7" t="s">
        <v>52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51</v>
      </c>
      <c r="AS2" s="7" t="s">
        <v>52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51</v>
      </c>
      <c r="BN2" s="7" t="s">
        <v>52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51</v>
      </c>
      <c r="CI2" s="7" t="s">
        <v>52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51</v>
      </c>
      <c r="DD2" s="7" t="s">
        <v>52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51</v>
      </c>
      <c r="DY2" s="7" t="s">
        <v>52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51</v>
      </c>
      <c r="ET2" s="7" t="s">
        <v>52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51</v>
      </c>
      <c r="FO2" s="7" t="s">
        <v>52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51</v>
      </c>
      <c r="GJ2" s="7" t="s">
        <v>52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51</v>
      </c>
      <c r="HE2" s="7" t="s">
        <v>52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490.96084572840579</v>
      </c>
      <c r="T3" s="59">
        <f>IF('Données projet'!E9&gt;30,$R$33-$H$33,LOOKUP('Données projet'!$E$9,$A$3:$A$203,R3:R203)-LOOKUP('Données projet'!$E$9,$A$3:$A$203,$H$3:$H$203))</f>
        <v>597.91658789908263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482.28841373508675</v>
      </c>
      <c r="AO3" s="59">
        <f>IF('Données projet'!E10&gt;30,$AM$33-$H$33,LOOKUP('Données projet'!$E$10,$A$3:$A$203,AM3:AM203)-LOOKUP('Données projet'!$E$10,$A$3:$A$203,$H$3:$H$203))</f>
        <v>746.97309214631684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284.42619963941019</v>
      </c>
      <c r="BJ3" s="59">
        <f>IF('Données projet'!E11&gt;30,$BH$33-$H$33,LOOKUP('Données projet'!$E$11,$A$3:$A$203,BH3:BH203)-LOOKUP('Données projet'!$E$11,$A$3:$A$203,$H$3:$H$203))</f>
        <v>301.41905904220812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10.8</v>
      </c>
      <c r="N4" s="13">
        <f>IF('Données projet'!$A$36&gt;35,N3+M4-V3,IF(A4&lt;'Données projet'!$A$36,$K$205^A4,IF(A4='Données projet'!$A$36,'Données projet'!$B$36,N3+M4-V3)))</f>
        <v>1.4037863041747067</v>
      </c>
      <c r="O4" s="13">
        <f>N4*VLOOKUP('Données projet'!$B$9,Paramètres!$A$1:$I$89,3,0)*VLOOKUP('Données projet'!$B$9,Paramètres!$A$1:$I$89,5,0)</f>
        <v>0.78471654403366109</v>
      </c>
      <c r="P4" s="13">
        <f>EXP(-1.0587+0.8836*LN(O4)+0.284)</f>
        <v>0.37198061042729702</v>
      </c>
      <c r="Q4" s="20">
        <f t="shared" ref="Q4:Q34" si="2">(O4+P4)*0.475*44/12</f>
        <v>2.0145808773528358</v>
      </c>
      <c r="R4" s="59">
        <f t="shared" si="0"/>
        <v>295.34791421068616</v>
      </c>
      <c r="S4" s="59">
        <f ca="1">AVERAGE(OFFSET($R$3,0,0,'Données projet'!$E$9+1,1))-AVERAGE(OFFSET($H$3,0,0,'Données projet'!$E$9+1,1))</f>
        <v>490.96084572840579</v>
      </c>
      <c r="T4" s="59">
        <f>$T$3</f>
        <v>597.91658789908263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8.5833333333333339</v>
      </c>
      <c r="AI4" s="13">
        <f>IF('Données projet'!$A$62&gt;35,AI3+AH4-AQ3,IF(A4&lt;'Données projet'!$A$62,$AF$205^A4,IF(A4='Données projet'!$A$62,'Données projet'!$B$62,AI3+AH4-AQ3)))</f>
        <v>1.4714192565876152</v>
      </c>
      <c r="AJ4" s="13">
        <f>AI4*VLOOKUP('Données projet'!$B$10,Paramètres!$A$1:$I$89,3,0)*VLOOKUP('Données projet'!$B$10,Paramètres!$A$1:$I$89,5,0)</f>
        <v>0.91816561611067193</v>
      </c>
      <c r="AK4" s="13">
        <f>EXP(-1.0587+0.8836*LN(AJ4)+0.284)</f>
        <v>0.42735528842602116</v>
      </c>
      <c r="AL4" s="20">
        <f t="shared" ref="AL4:AL67" si="4">(AJ4+AK4)*0.475*44/12</f>
        <v>2.3434489087347408</v>
      </c>
      <c r="AM4" s="59">
        <f t="shared" ref="AM4:AM67" si="5">AL4+(AD4+AE4)*44/12</f>
        <v>295.67678224206804</v>
      </c>
      <c r="AN4" s="59">
        <f ca="1">AVERAGE(OFFSET($AM$3,0,0,'Données projet'!$E$10+1,1))-AVERAGE(OFFSET($H$3,0,0,'Données projet'!$E$10+1,1))</f>
        <v>482.28841373508675</v>
      </c>
      <c r="AO4" s="59">
        <f>$AO$3</f>
        <v>746.97309214631684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6.9411764705882355</v>
      </c>
      <c r="BD4" s="12">
        <f>IF('Données projet'!$A$88&gt;35,BD3+BC4-BL3,IF(A4&lt;'Données projet'!$A$88,$BA$205^A4,IF(A4='Données projet'!$A$88,'Données projet'!$B$88,BD3+BC4-BL3)))</f>
        <v>1.3239616704988877</v>
      </c>
      <c r="BE4" s="13">
        <f>BD4*VLOOKUP('Données projet'!$B$11,Paramètres!$A$1:$I$89,3,0)*VLOOKUP('Données projet'!$B$11,Paramètres!$A$1:$I$89,5,0)</f>
        <v>0.79172907895833489</v>
      </c>
      <c r="BF4" s="13">
        <f>EXP(-1.0587+0.8836*LN(BE4)+0.284)</f>
        <v>0.37491631974909195</v>
      </c>
      <c r="BG4" s="20">
        <f t="shared" ref="BG4:BG67" si="7">(BE4+BF4)*0.475*44/12</f>
        <v>2.031907402748768</v>
      </c>
      <c r="BH4" s="59">
        <f t="shared" ref="BH4:BH67" si="8">BG4+(AY4+AZ4)*44/12</f>
        <v>295.36524073608206</v>
      </c>
      <c r="BI4" s="59">
        <f ca="1">AVERAGE(OFFSET($BH$3,0,0,'Données projet'!$E$11+1,1))-AVERAGE(OFFSET($H$3,0,0,'Données projet'!$E$11+1,1))</f>
        <v>284.42619963941019</v>
      </c>
      <c r="BJ4" s="59">
        <f>$BJ$3</f>
        <v>301.41905904220812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10.8</v>
      </c>
      <c r="N5" s="13">
        <f>IF('Données projet'!$A$36&gt;35,N4+M5-V4,IF(A5&lt;'Données projet'!$A$36,$K$205^A5,IF(A5='Données projet'!$A$36,'Données projet'!$B$36,N4+M5-V4)))</f>
        <v>1.9706159877884823</v>
      </c>
      <c r="O5" s="13">
        <f>N5*VLOOKUP('Données projet'!$B$9,Paramètres!$A$1:$I$89,3,0)*VLOOKUP('Données projet'!$B$9,Paramètres!$A$1:$I$89,5,0)</f>
        <v>1.1015743371737616</v>
      </c>
      <c r="P5" s="13">
        <f t="shared" ref="P5:P68" si="33">EXP(-1.0587+0.8836*LN(O5)+0.284)</f>
        <v>0.50196734705126034</v>
      </c>
      <c r="Q5" s="20">
        <f t="shared" si="2"/>
        <v>2.7928351000252465</v>
      </c>
      <c r="R5" s="59">
        <f t="shared" si="0"/>
        <v>296.12616843335854</v>
      </c>
      <c r="S5" s="59">
        <f ca="1">AVERAGE(OFFSET($R$3,0,0,'Données projet'!$E$9+1,1))-AVERAGE(OFFSET($H$3,0,0,'Données projet'!$E$9+1,1))</f>
        <v>490.96084572840579</v>
      </c>
      <c r="T5" s="59">
        <f t="shared" ref="T5:T68" si="34">$T$3</f>
        <v>597.91658789908263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8.5833333333333339</v>
      </c>
      <c r="AI5" s="13">
        <f>IF('Données projet'!$A$62&gt;35,AI4+AH5-AQ4,IF(A5&lt;'Données projet'!$A$62,$AF$205^A5,IF(A5='Données projet'!$A$62,'Données projet'!$B$62,AI4+AH5-AQ4)))</f>
        <v>2.1650746286568503</v>
      </c>
      <c r="AJ5" s="13">
        <f>AI5*VLOOKUP('Données projet'!$B$10,Paramètres!$A$1:$I$89,3,0)*VLOOKUP('Données projet'!$B$10,Paramètres!$A$1:$I$89,5,0)</f>
        <v>1.3510065682818746</v>
      </c>
      <c r="AK5" s="13">
        <f t="shared" ref="AK5:AK68" si="35">EXP(-1.0587+0.8836*LN(AJ5)+0.284)</f>
        <v>0.60117511749976371</v>
      </c>
      <c r="AL5" s="20">
        <f t="shared" si="4"/>
        <v>3.4000497694030201</v>
      </c>
      <c r="AM5" s="59">
        <f t="shared" si="5"/>
        <v>296.73338310273635</v>
      </c>
      <c r="AN5" s="59">
        <f ca="1">AVERAGE(OFFSET($AM$3,0,0,'Données projet'!$E$10+1,1))-AVERAGE(OFFSET($H$3,0,0,'Données projet'!$E$10+1,1))</f>
        <v>482.28841373508675</v>
      </c>
      <c r="AO5" s="59">
        <f t="shared" ref="AO5:AO68" si="36">$AO$3</f>
        <v>746.97309214631684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6.9411764705882355</v>
      </c>
      <c r="BD5" s="12">
        <f>IF('Données projet'!$A$88&gt;35,BD4+BC5-BL4,IF(A5&lt;'Données projet'!$A$88,$BA$205^A5,IF(A5='Données projet'!$A$88,'Données projet'!$B$88,BD4+BC5-BL4)))</f>
        <v>1.7528745049502052</v>
      </c>
      <c r="BE5" s="13">
        <f>BD5*VLOOKUP('Données projet'!$B$11,Paramètres!$A$1:$I$89,3,0)*VLOOKUP('Données projet'!$B$11,Paramètres!$A$1:$I$89,5,0)</f>
        <v>1.0482189539602227</v>
      </c>
      <c r="BF5" s="13">
        <f t="shared" ref="BF5:BF68" si="37">EXP(-1.0587+0.8836*LN(BE5)+0.284)</f>
        <v>0.48042263342477459</v>
      </c>
      <c r="BG5" s="20">
        <f t="shared" si="7"/>
        <v>2.6623840980288702</v>
      </c>
      <c r="BH5" s="59">
        <f t="shared" si="8"/>
        <v>295.99571743136221</v>
      </c>
      <c r="BI5" s="59">
        <f ca="1">AVERAGE(OFFSET($BH$3,0,0,'Données projet'!$E$11+1,1))-AVERAGE(OFFSET($H$3,0,0,'Données projet'!$E$11+1,1))</f>
        <v>284.42619963941019</v>
      </c>
      <c r="BJ5" s="59">
        <f t="shared" ref="BJ5:BJ68" si="38">$BJ$3</f>
        <v>301.41905904220812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10.8</v>
      </c>
      <c r="N6" s="13">
        <f>IF('Données projet'!$A$36&gt;35,N5+M6-V5,IF(A6&lt;'Données projet'!$A$36,$K$205^A6,IF(A6='Données projet'!$A$36,'Données projet'!$B$36,N5+M6-V5)))</f>
        <v>2.7663237344451828</v>
      </c>
      <c r="O6" s="13">
        <f>N6*VLOOKUP('Données projet'!$B$9,Paramètres!$A$1:$I$89,3,0)*VLOOKUP('Données projet'!$B$9,Paramètres!$A$1:$I$89,5,0)</f>
        <v>1.5463749675548573</v>
      </c>
      <c r="P6" s="13">
        <f t="shared" si="33"/>
        <v>0.6773772891448272</v>
      </c>
      <c r="Q6" s="20">
        <f t="shared" si="2"/>
        <v>3.8730351804186167</v>
      </c>
      <c r="R6" s="59">
        <f t="shared" si="0"/>
        <v>297.20636851375195</v>
      </c>
      <c r="S6" s="59">
        <f ca="1">AVERAGE(OFFSET($R$3,0,0,'Données projet'!$E$9+1,1))-AVERAGE(OFFSET($H$3,0,0,'Données projet'!$E$9+1,1))</f>
        <v>490.96084572840579</v>
      </c>
      <c r="T6" s="59">
        <f t="shared" si="34"/>
        <v>597.91658789908263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8.5833333333333339</v>
      </c>
      <c r="AI6" s="13">
        <f>IF('Données projet'!$A$62&gt;35,AI5+AH6-AQ5,IF(A6&lt;'Données projet'!$A$62,$AF$205^A6,IF(A6='Données projet'!$A$62,'Données projet'!$B$62,AI5+AH6-AQ5)))</f>
        <v>3.1857325005549697</v>
      </c>
      <c r="AJ6" s="13">
        <f>AI6*VLOOKUP('Données projet'!$B$10,Paramètres!$A$1:$I$89,3,0)*VLOOKUP('Données projet'!$B$10,Paramètres!$A$1:$I$89,5,0)</f>
        <v>1.9878970803463012</v>
      </c>
      <c r="AK6" s="13">
        <f t="shared" si="35"/>
        <v>0.84569334155652565</v>
      </c>
      <c r="AL6" s="20">
        <f t="shared" si="4"/>
        <v>4.93516998481409</v>
      </c>
      <c r="AM6" s="59">
        <f t="shared" si="5"/>
        <v>298.2685033181474</v>
      </c>
      <c r="AN6" s="59">
        <f ca="1">AVERAGE(OFFSET($AM$3,0,0,'Données projet'!$E$10+1,1))-AVERAGE(OFFSET($H$3,0,0,'Données projet'!$E$10+1,1))</f>
        <v>482.28841373508675</v>
      </c>
      <c r="AO6" s="59">
        <f t="shared" si="36"/>
        <v>746.97309214631684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6.9411764705882355</v>
      </c>
      <c r="BD6" s="12">
        <f>IF('Données projet'!$A$88&gt;35,BD5+BC6-BL5,IF(A6&lt;'Données projet'!$A$88,$BA$205^A6,IF(A6='Données projet'!$A$88,'Données projet'!$B$88,BD5+BC6-BL5)))</f>
        <v>2.3207386577487843</v>
      </c>
      <c r="BE6" s="13">
        <f>BD6*VLOOKUP('Données projet'!$B$11,Paramètres!$A$1:$I$89,3,0)*VLOOKUP('Données projet'!$B$11,Paramètres!$A$1:$I$89,5,0)</f>
        <v>1.3878017173337731</v>
      </c>
      <c r="BF6" s="13">
        <f t="shared" si="37"/>
        <v>0.61561979180116611</v>
      </c>
      <c r="BG6" s="20">
        <f t="shared" si="7"/>
        <v>3.4892924617433518</v>
      </c>
      <c r="BH6" s="59">
        <f t="shared" si="8"/>
        <v>296.82262579507665</v>
      </c>
      <c r="BI6" s="59">
        <f ca="1">AVERAGE(OFFSET($BH$3,0,0,'Données projet'!$E$11+1,1))-AVERAGE(OFFSET($H$3,0,0,'Données projet'!$E$11+1,1))</f>
        <v>284.42619963941019</v>
      </c>
      <c r="BJ6" s="59">
        <f t="shared" si="38"/>
        <v>301.41905904220812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10.8</v>
      </c>
      <c r="N7" s="13">
        <f>IF('Données projet'!$A$36&gt;35,N6+M7-V6,IF(A7&lt;'Données projet'!$A$36,$K$205^A7,IF(A7='Données projet'!$A$36,'Données projet'!$B$36,N6+M7-V6)))</f>
        <v>3.8833273713275762</v>
      </c>
      <c r="O7" s="13">
        <f>N7*VLOOKUP('Données projet'!$B$9,Paramètres!$A$1:$I$89,3,0)*VLOOKUP('Données projet'!$B$9,Paramètres!$A$1:$I$89,5,0)</f>
        <v>2.170780000572115</v>
      </c>
      <c r="P7" s="13">
        <f t="shared" si="33"/>
        <v>0.91408334535022773</v>
      </c>
      <c r="Q7" s="20">
        <f t="shared" si="2"/>
        <v>5.3728036608147471</v>
      </c>
      <c r="R7" s="59">
        <f t="shared" si="0"/>
        <v>298.70613699414804</v>
      </c>
      <c r="S7" s="59">
        <f ca="1">AVERAGE(OFFSET($R$3,0,0,'Données projet'!$E$9+1,1))-AVERAGE(OFFSET($H$3,0,0,'Données projet'!$E$9+1,1))</f>
        <v>490.96084572840579</v>
      </c>
      <c r="T7" s="59">
        <f t="shared" si="34"/>
        <v>597.91658789908263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8.5833333333333339</v>
      </c>
      <c r="AI7" s="13">
        <f>IF('Données projet'!$A$62&gt;35,AI6+AH7-AQ6,IF(A7&lt;'Données projet'!$A$62,$AF$205^A7,IF(A7='Données projet'!$A$62,'Données projet'!$B$62,AI6+AH7-AQ6)))</f>
        <v>4.6875481476535983</v>
      </c>
      <c r="AJ7" s="13">
        <f>AI7*VLOOKUP('Données projet'!$B$10,Paramètres!$A$1:$I$89,3,0)*VLOOKUP('Données projet'!$B$10,Paramètres!$A$1:$I$89,5,0)</f>
        <v>2.9250300441358457</v>
      </c>
      <c r="AK7" s="13">
        <f t="shared" si="35"/>
        <v>1.1896653855660013</v>
      </c>
      <c r="AL7" s="20">
        <f t="shared" si="4"/>
        <v>7.1664278733973825</v>
      </c>
      <c r="AM7" s="59">
        <f t="shared" si="5"/>
        <v>300.49976120673068</v>
      </c>
      <c r="AN7" s="59">
        <f ca="1">AVERAGE(OFFSET($AM$3,0,0,'Données projet'!$E$10+1,1))-AVERAGE(OFFSET($H$3,0,0,'Données projet'!$E$10+1,1))</f>
        <v>482.28841373508675</v>
      </c>
      <c r="AO7" s="59">
        <f t="shared" si="36"/>
        <v>746.97309214631684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6.9411764705882355</v>
      </c>
      <c r="BD7" s="12">
        <f>IF('Données projet'!$A$88&gt;35,BD6+BC7-BL6,IF(A7&lt;'Données projet'!$A$88,$BA$205^A7,IF(A7='Données projet'!$A$88,'Données projet'!$B$88,BD6+BC7-BL6)))</f>
        <v>3.0725690301044271</v>
      </c>
      <c r="BE7" s="13">
        <f>BD7*VLOOKUP('Données projet'!$B$11,Paramètres!$A$1:$I$89,3,0)*VLOOKUP('Données projet'!$B$11,Paramètres!$A$1:$I$89,5,0)</f>
        <v>1.8373962800024475</v>
      </c>
      <c r="BF7" s="13">
        <f t="shared" si="37"/>
        <v>0.78886318355909346</v>
      </c>
      <c r="BG7" s="20">
        <f t="shared" si="7"/>
        <v>4.5740685657030165</v>
      </c>
      <c r="BH7" s="59">
        <f t="shared" si="8"/>
        <v>297.90740189903636</v>
      </c>
      <c r="BI7" s="59">
        <f ca="1">AVERAGE(OFFSET($BH$3,0,0,'Données projet'!$E$11+1,1))-AVERAGE(OFFSET($H$3,0,0,'Données projet'!$E$11+1,1))</f>
        <v>284.42619963941019</v>
      </c>
      <c r="BJ7" s="59">
        <f t="shared" si="38"/>
        <v>301.41905904220812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10.8</v>
      </c>
      <c r="N8" s="13">
        <f>IF('Données projet'!$A$36&gt;35,N7+M8-V7,IF(A8&lt;'Données projet'!$A$36,$K$205^A8,IF(A8='Données projet'!$A$36,'Données projet'!$B$36,N7+M8-V7)))</f>
        <v>5.451361778496417</v>
      </c>
      <c r="O8" s="13">
        <f>N8*VLOOKUP('Données projet'!$B$9,Paramètres!$A$1:$I$89,3,0)*VLOOKUP('Données projet'!$B$9,Paramètres!$A$1:$I$89,5,0)</f>
        <v>3.0473112341794972</v>
      </c>
      <c r="P8" s="13">
        <f t="shared" si="33"/>
        <v>1.2335051316844765</v>
      </c>
      <c r="Q8" s="20">
        <f t="shared" si="2"/>
        <v>7.4557551705464205</v>
      </c>
      <c r="R8" s="59">
        <f t="shared" si="0"/>
        <v>300.78908850387973</v>
      </c>
      <c r="S8" s="59">
        <f ca="1">AVERAGE(OFFSET($R$3,0,0,'Données projet'!$E$9+1,1))-AVERAGE(OFFSET($H$3,0,0,'Données projet'!$E$9+1,1))</f>
        <v>490.96084572840579</v>
      </c>
      <c r="T8" s="59">
        <f t="shared" si="34"/>
        <v>597.91658789908263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8.5833333333333339</v>
      </c>
      <c r="AI8" s="13">
        <f>IF('Données projet'!$A$62&gt;35,AI7+AH8-AQ7,IF(A8&lt;'Données projet'!$A$62,$AF$205^A8,IF(A8='Données projet'!$A$62,'Données projet'!$B$62,AI7+AH8-AQ7)))</f>
        <v>6.89734861063911</v>
      </c>
      <c r="AJ8" s="13">
        <f>AI8*VLOOKUP('Données projet'!$B$10,Paramètres!$A$1:$I$89,3,0)*VLOOKUP('Données projet'!$B$10,Paramètres!$A$1:$I$89,5,0)</f>
        <v>4.3039455330388048</v>
      </c>
      <c r="AK8" s="13">
        <f t="shared" si="35"/>
        <v>1.6735424770035323</v>
      </c>
      <c r="AL8" s="20">
        <f t="shared" si="4"/>
        <v>10.410791617490402</v>
      </c>
      <c r="AM8" s="59">
        <f t="shared" si="5"/>
        <v>303.74412495082373</v>
      </c>
      <c r="AN8" s="59">
        <f ca="1">AVERAGE(OFFSET($AM$3,0,0,'Données projet'!$E$10+1,1))-AVERAGE(OFFSET($H$3,0,0,'Données projet'!$E$10+1,1))</f>
        <v>482.28841373508675</v>
      </c>
      <c r="AO8" s="59">
        <f t="shared" si="36"/>
        <v>746.97309214631684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6.9411764705882355</v>
      </c>
      <c r="BD8" s="12">
        <f>IF('Données projet'!$A$88&gt;35,BD7+BC8-BL7,IF(A8&lt;'Données projet'!$A$88,$BA$205^A8,IF(A8='Données projet'!$A$88,'Données projet'!$B$88,BD7+BC8-BL7)))</f>
        <v>4.0679636258202043</v>
      </c>
      <c r="BE8" s="13">
        <f>BD8*VLOOKUP('Données projet'!$B$11,Paramètres!$A$1:$I$89,3,0)*VLOOKUP('Données projet'!$B$11,Paramètres!$A$1:$I$89,5,0)</f>
        <v>2.4326422482404824</v>
      </c>
      <c r="BF8" s="13">
        <f t="shared" si="37"/>
        <v>1.0108595120931088</v>
      </c>
      <c r="BG8" s="20">
        <f t="shared" si="7"/>
        <v>5.9974322325810041</v>
      </c>
      <c r="BH8" s="59">
        <f t="shared" si="8"/>
        <v>299.33076556591431</v>
      </c>
      <c r="BI8" s="59">
        <f ca="1">AVERAGE(OFFSET($BH$3,0,0,'Données projet'!$E$11+1,1))-AVERAGE(OFFSET($H$3,0,0,'Données projet'!$E$11+1,1))</f>
        <v>284.42619963941019</v>
      </c>
      <c r="BJ8" s="59">
        <f t="shared" si="38"/>
        <v>301.41905904220812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10.8</v>
      </c>
      <c r="N9" s="13">
        <f>IF('Données projet'!$A$36&gt;35,N8+M9-V8,IF(A9&lt;'Données projet'!$A$36,$K$205^A9,IF(A9='Données projet'!$A$36,'Données projet'!$B$36,N8+M9-V8)))</f>
        <v>7.6525470037547425</v>
      </c>
      <c r="O9" s="13">
        <f>N9*VLOOKUP('Données projet'!$B$9,Paramètres!$A$1:$I$89,3,0)*VLOOKUP('Données projet'!$B$9,Paramètres!$A$1:$I$89,5,0)</f>
        <v>4.2777737750989013</v>
      </c>
      <c r="P9" s="13">
        <f t="shared" si="33"/>
        <v>1.6645472402836166</v>
      </c>
      <c r="Q9" s="20">
        <f t="shared" si="2"/>
        <v>10.349542435124553</v>
      </c>
      <c r="R9" s="59">
        <f t="shared" si="0"/>
        <v>303.68287576845785</v>
      </c>
      <c r="S9" s="59">
        <f ca="1">AVERAGE(OFFSET($R$3,0,0,'Données projet'!$E$9+1,1))-AVERAGE(OFFSET($H$3,0,0,'Données projet'!$E$9+1,1))</f>
        <v>490.96084572840579</v>
      </c>
      <c r="T9" s="59">
        <f t="shared" si="34"/>
        <v>597.91658789908263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8.5833333333333339</v>
      </c>
      <c r="AI9" s="13">
        <f>IF('Données projet'!$A$62&gt;35,AI8+AH9-AQ8,IF(A9&lt;'Données projet'!$A$62,$AF$205^A9,IF(A9='Données projet'!$A$62,'Données projet'!$B$62,AI8+AH9-AQ8)))</f>
        <v>10.148891565092221</v>
      </c>
      <c r="AJ9" s="13">
        <f>AI9*VLOOKUP('Données projet'!$B$10,Paramètres!$A$1:$I$89,3,0)*VLOOKUP('Données projet'!$B$10,Paramètres!$A$1:$I$89,5,0)</f>
        <v>6.3329083366175452</v>
      </c>
      <c r="AK9" s="13">
        <f t="shared" si="35"/>
        <v>2.3542287237369877</v>
      </c>
      <c r="AL9" s="20">
        <f t="shared" si="4"/>
        <v>15.130097046784146</v>
      </c>
      <c r="AM9" s="59">
        <f t="shared" si="5"/>
        <v>308.46343038011747</v>
      </c>
      <c r="AN9" s="59">
        <f ca="1">AVERAGE(OFFSET($AM$3,0,0,'Données projet'!$E$10+1,1))-AVERAGE(OFFSET($H$3,0,0,'Données projet'!$E$10+1,1))</f>
        <v>482.28841373508675</v>
      </c>
      <c r="AO9" s="59">
        <f t="shared" si="36"/>
        <v>746.97309214631684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6.9411764705882355</v>
      </c>
      <c r="BD9" s="12">
        <f>IF('Données projet'!$A$88&gt;35,BD8+BC9-BL8,IF(A9&lt;'Données projet'!$A$88,$BA$205^A9,IF(A9='Données projet'!$A$88,'Données projet'!$B$88,BD8+BC9-BL8)))</f>
        <v>5.38582791756963</v>
      </c>
      <c r="BE9" s="13">
        <f>BD9*VLOOKUP('Données projet'!$B$11,Paramètres!$A$1:$I$89,3,0)*VLOOKUP('Données projet'!$B$11,Paramètres!$A$1:$I$89,5,0)</f>
        <v>3.2207250947066388</v>
      </c>
      <c r="BF9" s="13">
        <f t="shared" si="37"/>
        <v>1.2953284859599137</v>
      </c>
      <c r="BG9" s="20">
        <f t="shared" si="7"/>
        <v>7.8654599863275783</v>
      </c>
      <c r="BH9" s="59">
        <f t="shared" si="8"/>
        <v>301.19879331966087</v>
      </c>
      <c r="BI9" s="59">
        <f ca="1">AVERAGE(OFFSET($BH$3,0,0,'Données projet'!$E$11+1,1))-AVERAGE(OFFSET($H$3,0,0,'Données projet'!$E$11+1,1))</f>
        <v>284.42619963941019</v>
      </c>
      <c r="BJ9" s="59">
        <f t="shared" si="38"/>
        <v>301.41905904220812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10.8</v>
      </c>
      <c r="N10" s="13">
        <f>IF('Données projet'!$A$36&gt;35,N9+M10-V9,IF(A10&lt;'Données projet'!$A$36,$K$205^A10,IF(A10='Données projet'!$A$36,'Données projet'!$B$36,N9+M10-V9)))</f>
        <v>10.742540675924095</v>
      </c>
      <c r="O10" s="13">
        <f>N10*VLOOKUP('Données projet'!$B$9,Paramètres!$A$1:$I$89,3,0)*VLOOKUP('Données projet'!$B$9,Paramètres!$A$1:$I$89,5,0)</f>
        <v>6.0050802378415691</v>
      </c>
      <c r="P10" s="13">
        <f t="shared" si="33"/>
        <v>2.2462148263235089</v>
      </c>
      <c r="Q10" s="20">
        <f t="shared" si="2"/>
        <v>14.37100557008751</v>
      </c>
      <c r="R10" s="59">
        <f t="shared" si="0"/>
        <v>307.70433890342082</v>
      </c>
      <c r="S10" s="59">
        <f ca="1">AVERAGE(OFFSET($R$3,0,0,'Données projet'!$E$9+1,1))-AVERAGE(OFFSET($H$3,0,0,'Données projet'!$E$9+1,1))</f>
        <v>490.96084572840579</v>
      </c>
      <c r="T10" s="59">
        <f t="shared" si="34"/>
        <v>597.91658789908263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8.5833333333333339</v>
      </c>
      <c r="AI10" s="13">
        <f>IF('Données projet'!$A$62&gt;35,AI9+AH10-AQ9,IF(A10&lt;'Données projet'!$A$62,$AF$205^A10,IF(A10='Données projet'!$A$62,'Données projet'!$B$62,AI9+AH10-AQ9)))</f>
        <v>14.933274481896314</v>
      </c>
      <c r="AJ10" s="13">
        <f>AI10*VLOOKUP('Données projet'!$B$10,Paramètres!$A$1:$I$89,3,0)*VLOOKUP('Données projet'!$B$10,Paramètres!$A$1:$I$89,5,0)</f>
        <v>9.3183632767033</v>
      </c>
      <c r="AK10" s="13">
        <f t="shared" si="35"/>
        <v>3.3117730561532612</v>
      </c>
      <c r="AL10" s="20">
        <f t="shared" si="4"/>
        <v>21.997487446391844</v>
      </c>
      <c r="AM10" s="59">
        <f t="shared" si="5"/>
        <v>315.33082077972517</v>
      </c>
      <c r="AN10" s="59">
        <f ca="1">AVERAGE(OFFSET($AM$3,0,0,'Données projet'!$E$10+1,1))-AVERAGE(OFFSET($H$3,0,0,'Données projet'!$E$10+1,1))</f>
        <v>482.28841373508675</v>
      </c>
      <c r="AO10" s="59">
        <f t="shared" si="36"/>
        <v>746.97309214631684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6.9411764705882355</v>
      </c>
      <c r="BD10" s="12">
        <f>IF('Données projet'!$A$88&gt;35,BD9+BC10-BL9,IF(A10&lt;'Données projet'!$A$88,$BA$205^A10,IF(A10='Données projet'!$A$88,'Données projet'!$B$88,BD9+BC10-BL9)))</f>
        <v>7.130629726765032</v>
      </c>
      <c r="BE10" s="13">
        <f>BD10*VLOOKUP('Données projet'!$B$11,Paramètres!$A$1:$I$89,3,0)*VLOOKUP('Données projet'!$B$11,Paramètres!$A$1:$I$89,5,0)</f>
        <v>4.26411657660549</v>
      </c>
      <c r="BF10" s="13">
        <f t="shared" si="37"/>
        <v>1.6598507175986843</v>
      </c>
      <c r="BG10" s="20">
        <f t="shared" si="7"/>
        <v>10.317576370738935</v>
      </c>
      <c r="BH10" s="59">
        <f t="shared" si="8"/>
        <v>303.65090970407226</v>
      </c>
      <c r="BI10" s="59">
        <f ca="1">AVERAGE(OFFSET($BH$3,0,0,'Données projet'!$E$11+1,1))-AVERAGE(OFFSET($H$3,0,0,'Données projet'!$E$11+1,1))</f>
        <v>284.42619963941019</v>
      </c>
      <c r="BJ10" s="59">
        <f t="shared" si="38"/>
        <v>301.41905904220812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10.8</v>
      </c>
      <c r="N11" s="13">
        <f>IF('Données projet'!$A$36&gt;35,N10+M11-V10,IF(A11&lt;'Données projet'!$A$36,$K$205^A11,IF(A11='Données projet'!$A$36,'Données projet'!$B$36,N10+M11-V10)))</f>
        <v>15.080231472901943</v>
      </c>
      <c r="O11" s="13">
        <f>N11*VLOOKUP('Données projet'!$B$9,Paramètres!$A$1:$I$89,3,0)*VLOOKUP('Données projet'!$B$9,Paramètres!$A$1:$I$89,5,0)</f>
        <v>8.4298493933521872</v>
      </c>
      <c r="P11" s="13">
        <f t="shared" si="33"/>
        <v>3.0311431985167756</v>
      </c>
      <c r="Q11" s="20">
        <f t="shared" si="2"/>
        <v>19.961228764171775</v>
      </c>
      <c r="R11" s="59">
        <f t="shared" si="0"/>
        <v>313.29456209750509</v>
      </c>
      <c r="S11" s="59">
        <f ca="1">AVERAGE(OFFSET($R$3,0,0,'Données projet'!$E$9+1,1))-AVERAGE(OFFSET($H$3,0,0,'Données projet'!$E$9+1,1))</f>
        <v>490.96084572840579</v>
      </c>
      <c r="T11" s="59">
        <f t="shared" si="34"/>
        <v>597.91658789908263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8.5833333333333339</v>
      </c>
      <c r="AI11" s="13">
        <f>IF('Données projet'!$A$62&gt;35,AI10+AH11-AQ10,IF(A11&lt;'Données projet'!$A$62,$AF$205^A11,IF(A11='Données projet'!$A$62,'Données projet'!$B$62,AI10+AH11-AQ10)))</f>
        <v>21.973107636570681</v>
      </c>
      <c r="AJ11" s="13">
        <f>AI11*VLOOKUP('Données projet'!$B$10,Paramètres!$A$1:$I$89,3,0)*VLOOKUP('Données projet'!$B$10,Paramètres!$A$1:$I$89,5,0)</f>
        <v>13.711219165220106</v>
      </c>
      <c r="AK11" s="13">
        <f t="shared" si="35"/>
        <v>4.6587830081577177</v>
      </c>
      <c r="AL11" s="20">
        <f t="shared" si="4"/>
        <v>31.994420451966377</v>
      </c>
      <c r="AM11" s="59">
        <f t="shared" si="5"/>
        <v>325.32775378529971</v>
      </c>
      <c r="AN11" s="59">
        <f ca="1">AVERAGE(OFFSET($AM$3,0,0,'Données projet'!$E$10+1,1))-AVERAGE(OFFSET($H$3,0,0,'Données projet'!$E$10+1,1))</f>
        <v>482.28841373508675</v>
      </c>
      <c r="AO11" s="59">
        <f t="shared" si="36"/>
        <v>746.97309214631684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6.9411764705882355</v>
      </c>
      <c r="BD11" s="12">
        <f>IF('Données projet'!$A$88&gt;35,BD10+BC11-BL10,IF(A11&lt;'Données projet'!$A$88,$BA$205^A11,IF(A11='Données projet'!$A$88,'Données projet'!$B$88,BD10+BC11-BL10)))</f>
        <v>9.4406804447568593</v>
      </c>
      <c r="BE11" s="13">
        <f>BD11*VLOOKUP('Données projet'!$B$11,Paramètres!$A$1:$I$89,3,0)*VLOOKUP('Données projet'!$B$11,Paramètres!$A$1:$I$89,5,0)</f>
        <v>5.6455269059646023</v>
      </c>
      <c r="BF11" s="13">
        <f t="shared" si="37"/>
        <v>2.1269542317454508</v>
      </c>
      <c r="BG11" s="20">
        <f t="shared" si="7"/>
        <v>13.53707131484501</v>
      </c>
      <c r="BH11" s="59">
        <f t="shared" si="8"/>
        <v>306.87040464817835</v>
      </c>
      <c r="BI11" s="59">
        <f ca="1">AVERAGE(OFFSET($BH$3,0,0,'Données projet'!$E$11+1,1))-AVERAGE(OFFSET($H$3,0,0,'Données projet'!$E$11+1,1))</f>
        <v>284.42619963941019</v>
      </c>
      <c r="BJ11" s="59">
        <f t="shared" si="38"/>
        <v>301.41905904220812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10.8</v>
      </c>
      <c r="N12" s="13">
        <f>IF('Données projet'!$A$36&gt;35,N11+M12-V11,IF(A12&lt;'Données projet'!$A$36,$K$205^A12,IF(A12='Données projet'!$A$36,'Données projet'!$B$36,N11+M12-V11)))</f>
        <v>21.169422405444113</v>
      </c>
      <c r="O12" s="13">
        <f>N12*VLOOKUP('Données projet'!$B$9,Paramètres!$A$1:$I$89,3,0)*VLOOKUP('Données projet'!$B$9,Paramètres!$A$1:$I$89,5,0)</f>
        <v>11.83370712464326</v>
      </c>
      <c r="P12" s="13">
        <f t="shared" si="33"/>
        <v>4.0903608070972819</v>
      </c>
      <c r="Q12" s="20">
        <f t="shared" si="2"/>
        <v>27.734418314448106</v>
      </c>
      <c r="R12" s="59">
        <f t="shared" si="0"/>
        <v>321.06775164778139</v>
      </c>
      <c r="S12" s="59">
        <f ca="1">AVERAGE(OFFSET($R$3,0,0,'Données projet'!$E$9+1,1))-AVERAGE(OFFSET($H$3,0,0,'Données projet'!$E$9+1,1))</f>
        <v>490.96084572840579</v>
      </c>
      <c r="T12" s="59">
        <f t="shared" si="34"/>
        <v>597.91658789908263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8.5833333333333339</v>
      </c>
      <c r="AI12" s="13">
        <f>IF('Données projet'!$A$62&gt;35,AI11+AH12-AQ11,IF(A12&lt;'Données projet'!$A$62,$AF$205^A12,IF(A12='Données projet'!$A$62,'Données projet'!$B$62,AI11+AH12-AQ11)))</f>
        <v>32.331653703522484</v>
      </c>
      <c r="AJ12" s="13">
        <f>AI12*VLOOKUP('Données projet'!$B$10,Paramètres!$A$1:$I$89,3,0)*VLOOKUP('Données projet'!$B$10,Paramètres!$A$1:$I$89,5,0)</f>
        <v>20.174951910998029</v>
      </c>
      <c r="AK12" s="13">
        <f t="shared" si="35"/>
        <v>6.55366740084217</v>
      </c>
      <c r="AL12" s="20">
        <f t="shared" si="4"/>
        <v>46.552345301455006</v>
      </c>
      <c r="AM12" s="59">
        <f t="shared" si="5"/>
        <v>339.88567863478829</v>
      </c>
      <c r="AN12" s="59">
        <f ca="1">AVERAGE(OFFSET($AM$3,0,0,'Données projet'!$E$10+1,1))-AVERAGE(OFFSET($H$3,0,0,'Données projet'!$E$10+1,1))</f>
        <v>482.28841373508675</v>
      </c>
      <c r="AO12" s="59">
        <f t="shared" si="36"/>
        <v>746.97309214631684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6.9411764705882355</v>
      </c>
      <c r="BD12" s="12">
        <f>IF('Données projet'!$A$88&gt;35,BD11+BC12-BL11,IF(A12&lt;'Données projet'!$A$88,$BA$205^A12,IF(A12='Données projet'!$A$88,'Données projet'!$B$88,BD11+BC12-BL11)))</f>
        <v>12.499099052286473</v>
      </c>
      <c r="BE12" s="13">
        <f>BD12*VLOOKUP('Données projet'!$B$11,Paramètres!$A$1:$I$89,3,0)*VLOOKUP('Données projet'!$B$11,Paramètres!$A$1:$I$89,5,0)</f>
        <v>7.474461233267311</v>
      </c>
      <c r="BF12" s="13">
        <f t="shared" si="37"/>
        <v>2.7255067314033421</v>
      </c>
      <c r="BG12" s="20">
        <f t="shared" si="7"/>
        <v>17.764944205134721</v>
      </c>
      <c r="BH12" s="59">
        <f t="shared" si="8"/>
        <v>311.09827753846804</v>
      </c>
      <c r="BI12" s="59">
        <f ca="1">AVERAGE(OFFSET($BH$3,0,0,'Données projet'!$E$11+1,1))-AVERAGE(OFFSET($H$3,0,0,'Données projet'!$E$11+1,1))</f>
        <v>284.42619963941019</v>
      </c>
      <c r="BJ12" s="59">
        <f t="shared" si="38"/>
        <v>301.41905904220812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10.8</v>
      </c>
      <c r="N13" s="13">
        <f>IF('Données projet'!$A$36&gt;35,N12+M13-V12,IF(A13&lt;'Données projet'!$A$36,$K$205^A13,IF(A13='Données projet'!$A$36,'Données projet'!$B$36,N12+M13-V12)))</f>
        <v>29.717345240051621</v>
      </c>
      <c r="O13" s="13">
        <f>N13*VLOOKUP('Données projet'!$B$9,Paramètres!$A$1:$I$89,3,0)*VLOOKUP('Données projet'!$B$9,Paramètres!$A$1:$I$89,5,0)</f>
        <v>16.611995989188856</v>
      </c>
      <c r="P13" s="13">
        <f t="shared" si="33"/>
        <v>5.5197166337850669</v>
      </c>
      <c r="Q13" s="20">
        <f t="shared" si="2"/>
        <v>38.546066151679575</v>
      </c>
      <c r="R13" s="59">
        <f t="shared" si="0"/>
        <v>331.87939948501287</v>
      </c>
      <c r="S13" s="59">
        <f ca="1">AVERAGE(OFFSET($R$3,0,0,'Données projet'!$E$9+1,1))-AVERAGE(OFFSET($H$3,0,0,'Données projet'!$E$9+1,1))</f>
        <v>490.96084572840579</v>
      </c>
      <c r="T13" s="59">
        <f t="shared" si="34"/>
        <v>597.91658789908263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8.5833333333333339</v>
      </c>
      <c r="AI13" s="13">
        <f>IF('Données projet'!$A$62&gt;35,AI12+AH13-AQ12,IF(A13&lt;'Données projet'!$A$62,$AF$205^A13,IF(A13='Données projet'!$A$62,'Données projet'!$B$62,AI12+AH13-AQ12)))</f>
        <v>47.573417856685268</v>
      </c>
      <c r="AJ13" s="13">
        <f>AI13*VLOOKUP('Données projet'!$B$10,Paramètres!$A$1:$I$89,3,0)*VLOOKUP('Données projet'!$B$10,Paramètres!$A$1:$I$89,5,0)</f>
        <v>29.685812742571606</v>
      </c>
      <c r="AK13" s="13">
        <f t="shared" si="35"/>
        <v>9.2192652728519882</v>
      </c>
      <c r="AL13" s="20">
        <f t="shared" si="4"/>
        <v>67.759677543529421</v>
      </c>
      <c r="AM13" s="59">
        <f t="shared" si="5"/>
        <v>361.09301087686276</v>
      </c>
      <c r="AN13" s="59">
        <f ca="1">AVERAGE(OFFSET($AM$3,0,0,'Données projet'!$E$10+1,1))-AVERAGE(OFFSET($H$3,0,0,'Données projet'!$E$10+1,1))</f>
        <v>482.28841373508675</v>
      </c>
      <c r="AO13" s="59">
        <f t="shared" si="36"/>
        <v>746.97309214631684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6.9411764705882355</v>
      </c>
      <c r="BD13" s="12">
        <f>IF('Données projet'!$A$88&gt;35,BD12+BC13-BL12,IF(A13&lt;'Données projet'!$A$88,$BA$205^A13,IF(A13='Données projet'!$A$88,'Données projet'!$B$88,BD12+BC13-BL12)))</f>
        <v>16.548328060996262</v>
      </c>
      <c r="BE13" s="13">
        <f>BD13*VLOOKUP('Données projet'!$B$11,Paramètres!$A$1:$I$89,3,0)*VLOOKUP('Données projet'!$B$11,Paramètres!$A$1:$I$89,5,0)</f>
        <v>9.8959001804757651</v>
      </c>
      <c r="BF13" s="13">
        <f t="shared" si="37"/>
        <v>3.4924996655094662</v>
      </c>
      <c r="BG13" s="20">
        <f t="shared" si="7"/>
        <v>23.318129731757608</v>
      </c>
      <c r="BH13" s="59">
        <f t="shared" si="8"/>
        <v>316.65146306509092</v>
      </c>
      <c r="BI13" s="59">
        <f ca="1">AVERAGE(OFFSET($BH$3,0,0,'Données projet'!$E$11+1,1))-AVERAGE(OFFSET($H$3,0,0,'Données projet'!$E$11+1,1))</f>
        <v>284.42619963941019</v>
      </c>
      <c r="BJ13" s="59">
        <f t="shared" si="38"/>
        <v>301.41905904220812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</v>
      </c>
      <c r="N14" s="13">
        <f>IF('Données projet'!$A$36&gt;35,N13+M14-V13,IF(A14&lt;'Données projet'!$A$36,$K$205^A14,IF(A14='Données projet'!$A$36,'Données projet'!$B$36,N13+M14-V13)))</f>
        <v>41.716802244415881</v>
      </c>
      <c r="O14" s="13">
        <f>N14*VLOOKUP('Données projet'!$B$9,Paramètres!$A$1:$I$89,3,0)*VLOOKUP('Données projet'!$B$9,Paramètres!$A$1:$I$89,5,0)</f>
        <v>23.319692454628481</v>
      </c>
      <c r="P14" s="13">
        <f t="shared" si="33"/>
        <v>7.4485536005574575</v>
      </c>
      <c r="Q14" s="20">
        <f t="shared" si="2"/>
        <v>53.58802854611551</v>
      </c>
      <c r="R14" s="59">
        <f t="shared" si="0"/>
        <v>346.9213618794488</v>
      </c>
      <c r="S14" s="59">
        <f ca="1">AVERAGE(OFFSET($R$3,0,0,'Données projet'!$E$9+1,1))-AVERAGE(OFFSET($H$3,0,0,'Données projet'!$E$9+1,1))</f>
        <v>490.96084572840579</v>
      </c>
      <c r="T14" s="59">
        <f t="shared" si="34"/>
        <v>597.91658789908263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8.5833333333333339</v>
      </c>
      <c r="AI14" s="13">
        <f>IF('Données projet'!$A$62&gt;35,AI13+AH14-AQ13,IF(A14&lt;'Données projet'!$A$62,$AF$205^A14,IF(A14='Données projet'!$A$62,'Données projet'!$B$62,AI13+AH14-AQ13)))</f>
        <v>70.000443136015818</v>
      </c>
      <c r="AJ14" s="13">
        <f>AI14*VLOOKUP('Données projet'!$B$10,Paramètres!$A$1:$I$89,3,0)*VLOOKUP('Données projet'!$B$10,Paramètres!$A$1:$I$89,5,0)</f>
        <v>43.680276516873867</v>
      </c>
      <c r="AK14" s="13">
        <f t="shared" si="35"/>
        <v>12.969051825897136</v>
      </c>
      <c r="AL14" s="20">
        <f t="shared" si="4"/>
        <v>98.664246863659471</v>
      </c>
      <c r="AM14" s="59">
        <f t="shared" si="5"/>
        <v>391.99758019699277</v>
      </c>
      <c r="AN14" s="59">
        <f ca="1">AVERAGE(OFFSET($AM$3,0,0,'Données projet'!$E$10+1,1))-AVERAGE(OFFSET($H$3,0,0,'Données projet'!$E$10+1,1))</f>
        <v>482.28841373508675</v>
      </c>
      <c r="AO14" s="59">
        <f t="shared" si="36"/>
        <v>746.97309214631684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6.9411764705882355</v>
      </c>
      <c r="BD14" s="12">
        <f>IF('Données projet'!$A$88&gt;35,BD13+BC14-BL13,IF(A14&lt;'Données projet'!$A$88,$BA$205^A14,IF(A14='Données projet'!$A$88,'Données projet'!$B$88,BD13+BC14-BL13)))</f>
        <v>21.909352063600231</v>
      </c>
      <c r="BE14" s="13">
        <f>BD14*VLOOKUP('Données projet'!$B$11,Paramètres!$A$1:$I$89,3,0)*VLOOKUP('Données projet'!$B$11,Paramètres!$A$1:$I$89,5,0)</f>
        <v>13.101792534032938</v>
      </c>
      <c r="BF14" s="13">
        <f t="shared" si="37"/>
        <v>4.4753343563761101</v>
      </c>
      <c r="BG14" s="20">
        <f t="shared" si="7"/>
        <v>30.613496000795752</v>
      </c>
      <c r="BH14" s="59">
        <f t="shared" si="8"/>
        <v>323.94682933412906</v>
      </c>
      <c r="BI14" s="59">
        <f ca="1">AVERAGE(OFFSET($BH$3,0,0,'Données projet'!$E$11+1,1))-AVERAGE(OFFSET($H$3,0,0,'Données projet'!$E$11+1,1))</f>
        <v>284.42619963941019</v>
      </c>
      <c r="BJ14" s="59">
        <f t="shared" si="38"/>
        <v>301.41905904220812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</v>
      </c>
      <c r="N15" s="13">
        <f>IF('Données projet'!$A$36&gt;35,N14+M15-V14,IF(A15&lt;'Données projet'!$A$36,$K$205^A15,IF(A15='Données projet'!$A$36,'Données projet'!$B$36,N14+M15-V14)))</f>
        <v>58.561475644675681</v>
      </c>
      <c r="O15" s="13">
        <f>N15*VLOOKUP('Données projet'!$B$9,Paramètres!$A$1:$I$89,3,0)*VLOOKUP('Données projet'!$B$9,Paramètres!$A$1:$I$89,5,0)</f>
        <v>32.735864885373708</v>
      </c>
      <c r="P15" s="13">
        <f t="shared" si="33"/>
        <v>10.051412857100269</v>
      </c>
      <c r="Q15" s="20">
        <f t="shared" si="2"/>
        <v>74.521175401475503</v>
      </c>
      <c r="R15" s="59">
        <f t="shared" si="0"/>
        <v>367.8545087348088</v>
      </c>
      <c r="S15" s="59">
        <f ca="1">AVERAGE(OFFSET($R$3,0,0,'Données projet'!$E$9+1,1))-AVERAGE(OFFSET($H$3,0,0,'Données projet'!$E$9+1,1))</f>
        <v>490.96084572840579</v>
      </c>
      <c r="T15" s="59">
        <f t="shared" si="34"/>
        <v>597.91658789908263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103</v>
      </c>
      <c r="AG15" s="12">
        <f>VLOOKUP(A15,'Données projet'!$A$61:$I$81,9,0)</f>
        <v>8.5833333333333339</v>
      </c>
      <c r="AH15" s="12">
        <f t="array" ref="AH15">INDEX(AG:AG,MIN(IF(ISNUMBER(AG15:AG211),ROW(AG15:AG211),"")))</f>
        <v>8.5833333333333339</v>
      </c>
      <c r="AI15" s="13">
        <f>IF('Données projet'!$A$62&gt;35,AI14+AH15-AQ14,IF(A15&lt;'Données projet'!$A$62,$AF$205^A15,IF(A15='Données projet'!$A$62,'Données projet'!$B$62,AI14+AH15-AQ14)))</f>
        <v>103</v>
      </c>
      <c r="AJ15" s="13">
        <f>AI15*VLOOKUP('Données projet'!$B$10,Paramètres!$A$1:$I$89,3,0)*VLOOKUP('Données projet'!$B$10,Paramètres!$A$1:$I$89,5,0)</f>
        <v>64.272000000000006</v>
      </c>
      <c r="AK15" s="13">
        <f t="shared" si="35"/>
        <v>18.244003213368217</v>
      </c>
      <c r="AL15" s="20">
        <f t="shared" si="4"/>
        <v>143.71537226328297</v>
      </c>
      <c r="AM15" s="59">
        <f t="shared" si="5"/>
        <v>437.04870559661629</v>
      </c>
      <c r="AN15" s="59">
        <f ca="1">AVERAGE(OFFSET($AM$3,0,0,'Données projet'!$E$10+1,1))-AVERAGE(OFFSET($H$3,0,0,'Données projet'!$E$10+1,1))</f>
        <v>482.28841373508675</v>
      </c>
      <c r="AO15" s="59">
        <f t="shared" si="36"/>
        <v>746.97309214631684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0.33600000000000002</v>
      </c>
      <c r="AT15" s="16">
        <f>IF(ISNA(VLOOKUP(A15,'Données projet'!$A$61:$I$81,7,0)),0%,VLOOKUP(A15,'Données projet'!$A$61:$I$81,7,0))</f>
        <v>0.44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6.9411764705882355</v>
      </c>
      <c r="BD15" s="12">
        <f>IF('Données projet'!$A$88&gt;35,BD14+BC15-BL14,IF(A15&lt;'Données projet'!$A$88,$BA$205^A15,IF(A15='Données projet'!$A$88,'Données projet'!$B$88,BD14+BC15-BL14)))</f>
        <v>29.007142357672414</v>
      </c>
      <c r="BE15" s="13">
        <f>BD15*VLOOKUP('Données projet'!$B$11,Paramètres!$A$1:$I$89,3,0)*VLOOKUP('Données projet'!$B$11,Paramètres!$A$1:$I$89,5,0)</f>
        <v>17.346271129888105</v>
      </c>
      <c r="BF15" s="13">
        <f t="shared" si="37"/>
        <v>5.7347514730366376</v>
      </c>
      <c r="BG15" s="20">
        <f t="shared" si="7"/>
        <v>40.19944770009392</v>
      </c>
      <c r="BH15" s="59">
        <f t="shared" si="8"/>
        <v>333.53278103342723</v>
      </c>
      <c r="BI15" s="59">
        <f ca="1">AVERAGE(OFFSET($BH$3,0,0,'Données projet'!$E$11+1,1))-AVERAGE(OFFSET($H$3,0,0,'Données projet'!$E$11+1,1))</f>
        <v>284.42619963941019</v>
      </c>
      <c r="BJ15" s="59">
        <f t="shared" si="38"/>
        <v>301.41905904220812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</v>
      </c>
      <c r="N16" s="13">
        <f>IF('Données projet'!$A$36&gt;35,N15+M16-V15,IF(A16&lt;'Données projet'!$A$36,$K$205^A16,IF(A16='Données projet'!$A$36,'Données projet'!$B$36,N15+M16-V15)))</f>
        <v>82.20779746225638</v>
      </c>
      <c r="O16" s="13">
        <f>N16*VLOOKUP('Données projet'!$B$9,Paramètres!$A$1:$I$89,3,0)*VLOOKUP('Données projet'!$B$9,Paramètres!$A$1:$I$89,5,0)</f>
        <v>45.954158781401318</v>
      </c>
      <c r="P16" s="13">
        <f t="shared" si="33"/>
        <v>13.563828072113143</v>
      </c>
      <c r="Q16" s="20">
        <f t="shared" si="2"/>
        <v>103.66049376987102</v>
      </c>
      <c r="R16" s="59">
        <f t="shared" si="0"/>
        <v>396.99382710320435</v>
      </c>
      <c r="S16" s="59">
        <f ca="1">AVERAGE(OFFSET($R$3,0,0,'Données projet'!$E$9+1,1))-AVERAGE(OFFSET($H$3,0,0,'Données projet'!$E$9+1,1))</f>
        <v>490.96084572840579</v>
      </c>
      <c r="T16" s="59">
        <f t="shared" si="34"/>
        <v>597.91658789908263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26.5</v>
      </c>
      <c r="AI16" s="13">
        <f>IF('Données projet'!$A$62&gt;35,AI15+AH16-AQ15,IF(A16&lt;'Données projet'!$A$62,$AF$205^A16,IF(A16='Données projet'!$A$62,'Données projet'!$B$62,AI15+AH16-AQ15)))</f>
        <v>129.5</v>
      </c>
      <c r="AJ16" s="13">
        <f>AI16*VLOOKUP('Données projet'!$B$10,Paramètres!$A$1:$I$89,3,0)*VLOOKUP('Données projet'!$B$10,Paramètres!$A$1:$I$89,5,0)</f>
        <v>80.807999999999993</v>
      </c>
      <c r="AK16" s="13">
        <f t="shared" si="35"/>
        <v>22.334628633536209</v>
      </c>
      <c r="AL16" s="20">
        <f t="shared" si="4"/>
        <v>179.64007820340888</v>
      </c>
      <c r="AM16" s="59">
        <f t="shared" si="5"/>
        <v>472.97341153674222</v>
      </c>
      <c r="AN16" s="59">
        <f ca="1">AVERAGE(OFFSET($AM$3,0,0,'Données projet'!$E$10+1,1))-AVERAGE(OFFSET($H$3,0,0,'Données projet'!$E$10+1,1))</f>
        <v>482.28841373508675</v>
      </c>
      <c r="AO16" s="59">
        <f t="shared" si="36"/>
        <v>746.97309214631684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6.9411764705882355</v>
      </c>
      <c r="BD16" s="12">
        <f>IF('Données projet'!$A$88&gt;35,BD15+BC16-BL15,IF(A16&lt;'Données projet'!$A$88,$BA$205^A16,IF(A16='Données projet'!$A$88,'Données projet'!$B$88,BD15+BC16-BL15)))</f>
        <v>38.404344652263013</v>
      </c>
      <c r="BE16" s="13">
        <f>BD16*VLOOKUP('Données projet'!$B$11,Paramètres!$A$1:$I$89,3,0)*VLOOKUP('Données projet'!$B$11,Paramètres!$A$1:$I$89,5,0)</f>
        <v>22.965798102053284</v>
      </c>
      <c r="BF16" s="13">
        <f t="shared" si="37"/>
        <v>7.3485848963755025</v>
      </c>
      <c r="BG16" s="20">
        <f t="shared" si="7"/>
        <v>52.797550388930141</v>
      </c>
      <c r="BH16" s="59">
        <f t="shared" si="8"/>
        <v>346.13088372226343</v>
      </c>
      <c r="BI16" s="59">
        <f ca="1">AVERAGE(OFFSET($BH$3,0,0,'Données projet'!$E$11+1,1))-AVERAGE(OFFSET($H$3,0,0,'Données projet'!$E$11+1,1))</f>
        <v>284.42619963941019</v>
      </c>
      <c r="BJ16" s="59">
        <f t="shared" si="38"/>
        <v>301.41905904220812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</v>
      </c>
      <c r="N17" s="13">
        <f>IF('Données projet'!$A$36&gt;35,N16+M17-V16,IF(A17&lt;'Données projet'!$A$36,$K$205^A17,IF(A17='Données projet'!$A$36,'Données projet'!$B$36,N16+M17-V16)))</f>
        <v>115.40218017388374</v>
      </c>
      <c r="O17" s="13">
        <f>N17*VLOOKUP('Données projet'!$B$9,Paramètres!$A$1:$I$89,3,0)*VLOOKUP('Données projet'!$B$9,Paramètres!$A$1:$I$89,5,0)</f>
        <v>64.509818717201014</v>
      </c>
      <c r="P17" s="13">
        <f t="shared" si="33"/>
        <v>18.303638959560171</v>
      </c>
      <c r="Q17" s="20">
        <f t="shared" si="2"/>
        <v>144.23343878702573</v>
      </c>
      <c r="R17" s="59">
        <f t="shared" si="0"/>
        <v>437.56677212035902</v>
      </c>
      <c r="S17" s="59">
        <f ca="1">AVERAGE(OFFSET($R$3,0,0,'Données projet'!$E$9+1,1))-AVERAGE(OFFSET($H$3,0,0,'Données projet'!$E$9+1,1))</f>
        <v>490.96084572840579</v>
      </c>
      <c r="T17" s="59">
        <f t="shared" si="34"/>
        <v>597.91658789908263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26.5</v>
      </c>
      <c r="AI17" s="13">
        <f>IF('Données projet'!$A$62&gt;35,AI16+AH17-AQ16,IF(A17&lt;'Données projet'!$A$62,$AF$205^A17,IF(A17='Données projet'!$A$62,'Données projet'!$B$62,AI16+AH17-AQ16)))</f>
        <v>156</v>
      </c>
      <c r="AJ17" s="13">
        <f>AI17*VLOOKUP('Données projet'!$B$10,Paramètres!$A$1:$I$89,3,0)*VLOOKUP('Données projet'!$B$10,Paramètres!$A$1:$I$89,5,0)</f>
        <v>97.343999999999994</v>
      </c>
      <c r="AK17" s="13">
        <f t="shared" si="35"/>
        <v>26.328254259866451</v>
      </c>
      <c r="AL17" s="20">
        <f t="shared" si="4"/>
        <v>215.39584283593408</v>
      </c>
      <c r="AM17" s="59">
        <f t="shared" si="5"/>
        <v>508.72917616926736</v>
      </c>
      <c r="AN17" s="59">
        <f ca="1">AVERAGE(OFFSET($AM$3,0,0,'Données projet'!$E$10+1,1))-AVERAGE(OFFSET($H$3,0,0,'Données projet'!$E$10+1,1))</f>
        <v>482.28841373508675</v>
      </c>
      <c r="AO17" s="59">
        <f t="shared" si="36"/>
        <v>746.97309214631684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6.9411764705882355</v>
      </c>
      <c r="BD17" s="12">
        <f>IF('Données projet'!$A$88&gt;35,BD16+BC17-BL16,IF(A17&lt;'Données projet'!$A$88,$BA$205^A17,IF(A17='Données projet'!$A$88,'Données projet'!$B$88,BD16+BC17-BL16)))</f>
        <v>50.845880300225161</v>
      </c>
      <c r="BE17" s="13">
        <f>BD17*VLOOKUP('Données projet'!$B$11,Paramètres!$A$1:$I$89,3,0)*VLOOKUP('Données projet'!$B$11,Paramètres!$A$1:$I$89,5,0)</f>
        <v>30.405836419534648</v>
      </c>
      <c r="BF17" s="13">
        <f t="shared" si="37"/>
        <v>9.4165719705798292</v>
      </c>
      <c r="BG17" s="20">
        <f t="shared" si="7"/>
        <v>69.357361279449364</v>
      </c>
      <c r="BH17" s="59">
        <f t="shared" si="8"/>
        <v>362.69069461278269</v>
      </c>
      <c r="BI17" s="59">
        <f ca="1">AVERAGE(OFFSET($BH$3,0,0,'Données projet'!$E$11+1,1))-AVERAGE(OFFSET($H$3,0,0,'Données projet'!$E$11+1,1))</f>
        <v>284.42619963941019</v>
      </c>
      <c r="BJ17" s="59">
        <f t="shared" si="38"/>
        <v>301.41905904220812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162</v>
      </c>
      <c r="L18" s="12">
        <f>VLOOKUP(A18,'Données projet'!$A$35:$I$55,9,0)</f>
        <v>10.8</v>
      </c>
      <c r="M18" s="12">
        <f t="array" ref="M18">INDEX(L:L,MIN(IF(ISNUMBER(L18:L214),ROW(L18:L214),"")))</f>
        <v>10.8</v>
      </c>
      <c r="N18" s="13">
        <f>IF('Données projet'!$A$36&gt;35,N17+M18-V17,IF(A18&lt;'Données projet'!$A$36,$K$205^A18,IF(A18='Données projet'!$A$36,'Données projet'!$B$36,N17+M18-V17)))</f>
        <v>162</v>
      </c>
      <c r="O18" s="13">
        <f>N18*VLOOKUP('Données projet'!$B$9,Paramètres!$A$1:$I$89,3,0)*VLOOKUP('Données projet'!$B$9,Paramètres!$A$1:$I$89,5,0)</f>
        <v>90.557999999999993</v>
      </c>
      <c r="P18" s="13">
        <f t="shared" si="33"/>
        <v>24.699752708509138</v>
      </c>
      <c r="Q18" s="20">
        <f t="shared" si="2"/>
        <v>200.74058596732007</v>
      </c>
      <c r="R18" s="59">
        <f t="shared" si="0"/>
        <v>494.07391930065342</v>
      </c>
      <c r="S18" s="59">
        <f ca="1">AVERAGE(OFFSET($R$3,0,0,'Données projet'!$E$9+1,1))-AVERAGE(OFFSET($H$3,0,0,'Données projet'!$E$9+1,1))</f>
        <v>490.96084572840579</v>
      </c>
      <c r="T18" s="59">
        <f t="shared" si="34"/>
        <v>597.91658789908263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0.30800000000000005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26.5</v>
      </c>
      <c r="AI18" s="13">
        <f>IF('Données projet'!$A$62&gt;35,AI17+AH18-AQ17,IF(A18&lt;'Données projet'!$A$62,$AF$205^A18,IF(A18='Données projet'!$A$62,'Données projet'!$B$62,AI17+AH18-AQ17)))</f>
        <v>182.5</v>
      </c>
      <c r="AJ18" s="13">
        <f>AI18*VLOOKUP('Données projet'!$B$10,Paramètres!$A$1:$I$89,3,0)*VLOOKUP('Données projet'!$B$10,Paramètres!$A$1:$I$89,5,0)</f>
        <v>113.88</v>
      </c>
      <c r="AK18" s="13">
        <f t="shared" si="35"/>
        <v>30.243290368229957</v>
      </c>
      <c r="AL18" s="20">
        <f t="shared" si="4"/>
        <v>251.01473072466717</v>
      </c>
      <c r="AM18" s="59">
        <f t="shared" si="5"/>
        <v>544.34806405800055</v>
      </c>
      <c r="AN18" s="59">
        <f ca="1">AVERAGE(OFFSET($AM$3,0,0,'Données projet'!$E$10+1,1))-AVERAGE(OFFSET($H$3,0,0,'Données projet'!$E$10+1,1))</f>
        <v>482.28841373508675</v>
      </c>
      <c r="AO18" s="59">
        <f t="shared" si="36"/>
        <v>746.97309214631684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6.9411764705882355</v>
      </c>
      <c r="BD18" s="12">
        <f>IF('Données projet'!$A$88&gt;35,BD17+BC18-BL17,IF(A18&lt;'Données projet'!$A$88,$BA$205^A18,IF(A18='Données projet'!$A$88,'Données projet'!$B$88,BD17+BC18-BL17)))</f>
        <v>67.317996620272581</v>
      </c>
      <c r="BE18" s="13">
        <f>BD18*VLOOKUP('Données projet'!$B$11,Paramètres!$A$1:$I$89,3,0)*VLOOKUP('Données projet'!$B$11,Paramètres!$A$1:$I$89,5,0)</f>
        <v>40.256161978923011</v>
      </c>
      <c r="BF18" s="13">
        <f t="shared" si="37"/>
        <v>12.066517421720839</v>
      </c>
      <c r="BG18" s="20">
        <f t="shared" si="7"/>
        <v>91.128666622788032</v>
      </c>
      <c r="BH18" s="59">
        <f t="shared" si="8"/>
        <v>384.46199995612136</v>
      </c>
      <c r="BI18" s="59">
        <f ca="1">AVERAGE(OFFSET($BH$3,0,0,'Données projet'!$E$11+1,1))-AVERAGE(OFFSET($H$3,0,0,'Données projet'!$E$11+1,1))</f>
        <v>284.42619963941019</v>
      </c>
      <c r="BJ18" s="59">
        <f t="shared" si="38"/>
        <v>301.41905904220812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28.2</v>
      </c>
      <c r="N19" s="13">
        <f>IF('Données projet'!$A$36&gt;35,N18+M19-V18,IF(A19&lt;'Données projet'!$A$36,$K$205^A19,IF(A19='Données projet'!$A$36,'Données projet'!$B$36,N18+M19-V18)))</f>
        <v>190.2</v>
      </c>
      <c r="O19" s="13">
        <f>N19*VLOOKUP('Données projet'!$B$9,Paramètres!$A$1:$I$89,3,0)*VLOOKUP('Données projet'!$B$9,Paramètres!$A$1:$I$89,5,0)</f>
        <v>106.32179999999998</v>
      </c>
      <c r="P19" s="13">
        <f t="shared" si="33"/>
        <v>28.462664081653866</v>
      </c>
      <c r="Q19" s="20">
        <f t="shared" si="2"/>
        <v>234.7496082755471</v>
      </c>
      <c r="R19" s="59">
        <f t="shared" si="0"/>
        <v>528.08294160888045</v>
      </c>
      <c r="S19" s="59">
        <f ca="1">AVERAGE(OFFSET($R$3,0,0,'Données projet'!$E$9+1,1))-AVERAGE(OFFSET($H$3,0,0,'Données projet'!$E$9+1,1))</f>
        <v>490.96084572840579</v>
      </c>
      <c r="T19" s="59">
        <f t="shared" si="34"/>
        <v>597.91658789908263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26.5</v>
      </c>
      <c r="AI19" s="13">
        <f>IF('Données projet'!$A$62&gt;35,AI18+AH19-AQ18,IF(A19&lt;'Données projet'!$A$62,$AF$205^A19,IF(A19='Données projet'!$A$62,'Données projet'!$B$62,AI18+AH19-AQ18)))</f>
        <v>209</v>
      </c>
      <c r="AJ19" s="13">
        <f>AI19*VLOOKUP('Données projet'!$B$10,Paramètres!$A$1:$I$89,3,0)*VLOOKUP('Données projet'!$B$10,Paramètres!$A$1:$I$89,5,0)</f>
        <v>130.416</v>
      </c>
      <c r="AK19" s="13">
        <f t="shared" si="35"/>
        <v>34.092466837179941</v>
      </c>
      <c r="AL19" s="20">
        <f t="shared" si="4"/>
        <v>286.51891307475506</v>
      </c>
      <c r="AM19" s="59">
        <f t="shared" si="5"/>
        <v>579.85224640808838</v>
      </c>
      <c r="AN19" s="59">
        <f ca="1">AVERAGE(OFFSET($AM$3,0,0,'Données projet'!$E$10+1,1))-AVERAGE(OFFSET($H$3,0,0,'Données projet'!$E$10+1,1))</f>
        <v>482.28841373508675</v>
      </c>
      <c r="AO19" s="59">
        <f t="shared" si="36"/>
        <v>746.97309214631684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6.9411764705882355</v>
      </c>
      <c r="BD19" s="12">
        <f>IF('Données projet'!$A$88&gt;35,BD18+BC19-BL18,IF(A19&lt;'Données projet'!$A$88,$BA$205^A19,IF(A19='Données projet'!$A$88,'Données projet'!$B$88,BD18+BC19-BL18)))</f>
        <v>89.126447260014572</v>
      </c>
      <c r="BE19" s="13">
        <f>BD19*VLOOKUP('Données projet'!$B$11,Paramètres!$A$1:$I$89,3,0)*VLOOKUP('Données projet'!$B$11,Paramètres!$A$1:$I$89,5,0)</f>
        <v>53.297615461488718</v>
      </c>
      <c r="BF19" s="13">
        <f t="shared" si="37"/>
        <v>15.46219188294774</v>
      </c>
      <c r="BG19" s="20">
        <f t="shared" si="7"/>
        <v>119.75666445822681</v>
      </c>
      <c r="BH19" s="59">
        <f t="shared" si="8"/>
        <v>413.08999779156011</v>
      </c>
      <c r="BI19" s="59">
        <f ca="1">AVERAGE(OFFSET($BH$3,0,0,'Données projet'!$E$11+1,1))-AVERAGE(OFFSET($H$3,0,0,'Données projet'!$E$11+1,1))</f>
        <v>284.42619963941019</v>
      </c>
      <c r="BJ19" s="59">
        <f t="shared" si="38"/>
        <v>301.41905904220812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28.2</v>
      </c>
      <c r="N20" s="13">
        <f>IF('Données projet'!$A$36&gt;35,N19+M20-V19,IF(A20&lt;'Données projet'!$A$36,$K$205^A20,IF(A20='Données projet'!$A$36,'Données projet'!$B$36,N19+M20-V19)))</f>
        <v>218.39999999999998</v>
      </c>
      <c r="O20" s="13">
        <f>N20*VLOOKUP('Données projet'!$B$9,Paramètres!$A$1:$I$89,3,0)*VLOOKUP('Données projet'!$B$9,Paramètres!$A$1:$I$89,5,0)</f>
        <v>122.0856</v>
      </c>
      <c r="P20" s="13">
        <f t="shared" si="33"/>
        <v>32.160942364346717</v>
      </c>
      <c r="Q20" s="20">
        <f t="shared" si="2"/>
        <v>268.64606128457052</v>
      </c>
      <c r="R20" s="59">
        <f t="shared" si="0"/>
        <v>561.97939461790384</v>
      </c>
      <c r="S20" s="59">
        <f ca="1">AVERAGE(OFFSET($R$3,0,0,'Données projet'!$E$9+1,1))-AVERAGE(OFFSET($H$3,0,0,'Données projet'!$E$9+1,1))</f>
        <v>490.96084572840579</v>
      </c>
      <c r="T20" s="59">
        <f t="shared" si="34"/>
        <v>597.91658789908263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26.5</v>
      </c>
      <c r="AI20" s="13">
        <f>IF('Données projet'!$A$62&gt;35,AI19+AH20-AQ19,IF(A20&lt;'Données projet'!$A$62,$AF$205^A20,IF(A20='Données projet'!$A$62,'Données projet'!$B$62,AI19+AH20-AQ19)))</f>
        <v>235.5</v>
      </c>
      <c r="AJ20" s="13">
        <f>AI20*VLOOKUP('Données projet'!$B$10,Paramètres!$A$1:$I$89,3,0)*VLOOKUP('Données projet'!$B$10,Paramètres!$A$1:$I$89,5,0)</f>
        <v>146.952</v>
      </c>
      <c r="AK20" s="13">
        <f t="shared" si="35"/>
        <v>37.885091254823713</v>
      </c>
      <c r="AL20" s="20">
        <f t="shared" si="4"/>
        <v>321.92460060215132</v>
      </c>
      <c r="AM20" s="59">
        <f t="shared" si="5"/>
        <v>615.25793393548463</v>
      </c>
      <c r="AN20" s="59">
        <f ca="1">AVERAGE(OFFSET($AM$3,0,0,'Données projet'!$E$10+1,1))-AVERAGE(OFFSET($H$3,0,0,'Données projet'!$E$10+1,1))</f>
        <v>482.28841373508675</v>
      </c>
      <c r="AO20" s="59">
        <f t="shared" si="36"/>
        <v>746.97309214631684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118</v>
      </c>
      <c r="BB20" s="12">
        <f>VLOOKUP(A20,'Données projet'!$A$87:$I$107,9,0)</f>
        <v>6.9411764705882355</v>
      </c>
      <c r="BC20" s="12">
        <f t="array" ref="BC20">INDEX(BB:BB,MIN(IF(ISNUMBER(BB20:BB216),ROW(BB20:BB216),"")))</f>
        <v>6.9411764705882355</v>
      </c>
      <c r="BD20" s="12">
        <f>IF('Données projet'!$A$88&gt;35,BD19+BC20-BL19,IF(A20&lt;'Données projet'!$A$88,$BA$205^A20,IF(A20='Données projet'!$A$88,'Données projet'!$B$88,BD19+BC20-BL19)))</f>
        <v>118</v>
      </c>
      <c r="BE20" s="13">
        <f>BD20*VLOOKUP('Données projet'!$B$11,Paramètres!$A$1:$I$89,3,0)*VLOOKUP('Données projet'!$B$11,Paramètres!$A$1:$I$89,5,0)</f>
        <v>70.564000000000007</v>
      </c>
      <c r="BF20" s="13">
        <f t="shared" si="37"/>
        <v>19.813453167086163</v>
      </c>
      <c r="BG20" s="20">
        <f t="shared" si="7"/>
        <v>157.40739759934175</v>
      </c>
      <c r="BH20" s="59">
        <f t="shared" si="8"/>
        <v>450.74073093267509</v>
      </c>
      <c r="BI20" s="59">
        <f ca="1">AVERAGE(OFFSET($BH$3,0,0,'Données projet'!$E$11+1,1))-AVERAGE(OFFSET($H$3,0,0,'Données projet'!$E$11+1,1))</f>
        <v>284.42619963941019</v>
      </c>
      <c r="BJ20" s="59">
        <f t="shared" si="38"/>
        <v>301.41905904220812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15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0.25200000000000006</v>
      </c>
      <c r="BO20" s="16">
        <f>IF(ISNA(VLOOKUP(A20,'Données projet'!$A$87:$I$107,7,0)),0%,VLOOKUP(A20,'Données projet'!$A$87:$I$107,7,0))</f>
        <v>0.44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2.9868126506791217</v>
      </c>
      <c r="BR20" s="21">
        <f>EXP(-LN(2)/2)*BR19+(1-EXP(-LN(2)/2))/(LN(2)/2)*BL20*BO20*VLOOKUP('Données projet'!$B$11,Paramètres!$A$1:$I$89,3,0)*0.475*44/12</f>
        <v>4.4686944318774549</v>
      </c>
      <c r="BS20" s="22">
        <f t="shared" si="9"/>
        <v>7.4555070825565766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28.2</v>
      </c>
      <c r="N21" s="13">
        <f>IF('Données projet'!$A$36&gt;35,N20+M21-V20,IF(A21&lt;'Données projet'!$A$36,$K$205^A21,IF(A21='Données projet'!$A$36,'Données projet'!$B$36,N20+M21-V20)))</f>
        <v>246.59999999999997</v>
      </c>
      <c r="O21" s="13">
        <f>N21*VLOOKUP('Données projet'!$B$9,Paramètres!$A$1:$I$89,3,0)*VLOOKUP('Données projet'!$B$9,Paramètres!$A$1:$I$89,5,0)</f>
        <v>137.84939999999997</v>
      </c>
      <c r="P21" s="13">
        <f t="shared" si="33"/>
        <v>35.803890229822542</v>
      </c>
      <c r="Q21" s="20">
        <f t="shared" si="2"/>
        <v>302.44614715027416</v>
      </c>
      <c r="R21" s="59">
        <f t="shared" si="0"/>
        <v>595.77948048360747</v>
      </c>
      <c r="S21" s="59">
        <f ca="1">AVERAGE(OFFSET($R$3,0,0,'Données projet'!$E$9+1,1))-AVERAGE(OFFSET($H$3,0,0,'Données projet'!$E$9+1,1))</f>
        <v>490.96084572840579</v>
      </c>
      <c r="T21" s="59">
        <f t="shared" si="34"/>
        <v>597.91658789908263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262</v>
      </c>
      <c r="AG21" s="12">
        <f>VLOOKUP(A21,'Données projet'!$A$61:$I$81,9,0)</f>
        <v>26.5</v>
      </c>
      <c r="AH21" s="12">
        <f t="array" ref="AH21">INDEX(AG:AG,MIN(IF(ISNUMBER(AG21:AG217),ROW(AG21:AG217),"")))</f>
        <v>26.5</v>
      </c>
      <c r="AI21" s="13">
        <f>IF('Données projet'!$A$62&gt;35,AI20+AH21-AQ20,IF(A21&lt;'Données projet'!$A$62,$AF$205^A21,IF(A21='Données projet'!$A$62,'Données projet'!$B$62,AI20+AH21-AQ20)))</f>
        <v>262</v>
      </c>
      <c r="AJ21" s="13">
        <f>AI21*VLOOKUP('Données projet'!$B$10,Paramètres!$A$1:$I$89,3,0)*VLOOKUP('Données projet'!$B$10,Paramètres!$A$1:$I$89,5,0)</f>
        <v>163.488</v>
      </c>
      <c r="AK21" s="13">
        <f t="shared" si="35"/>
        <v>41.628253379180151</v>
      </c>
      <c r="AL21" s="20">
        <f t="shared" si="4"/>
        <v>357.24414130207202</v>
      </c>
      <c r="AM21" s="59">
        <f t="shared" si="5"/>
        <v>650.57747463540534</v>
      </c>
      <c r="AN21" s="59">
        <f ca="1">AVERAGE(OFFSET($AM$3,0,0,'Données projet'!$E$10+1,1))-AVERAGE(OFFSET($H$3,0,0,'Données projet'!$E$10+1,1))</f>
        <v>482.28841373508675</v>
      </c>
      <c r="AO21" s="59">
        <f t="shared" si="36"/>
        <v>746.97309214631684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0.33600000000000002</v>
      </c>
      <c r="AT21" s="16">
        <f>IF(ISNA(VLOOKUP(A21,'Données projet'!$A$61:$I$81,7,0)),0%,VLOOKUP(A21,'Données projet'!$A$61:$I$81,7,0))</f>
        <v>0.44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11.333333333333334</v>
      </c>
      <c r="BD21" s="12">
        <f>IF('Données projet'!$A$88&gt;35,BD20+BC21-BL20,IF(A21&lt;'Données projet'!$A$88,$BA$205^A21,IF(A21='Données projet'!$A$88,'Données projet'!$B$88,BD20+BC21-BL20)))</f>
        <v>114.33333333333334</v>
      </c>
      <c r="BE21" s="13">
        <f>BD21*VLOOKUP('Données projet'!$B$11,Paramètres!$A$1:$I$89,3,0)*VLOOKUP('Données projet'!$B$11,Paramètres!$A$1:$I$89,5,0)</f>
        <v>68.37133333333334</v>
      </c>
      <c r="BF21" s="13">
        <f t="shared" si="37"/>
        <v>19.268449754335993</v>
      </c>
      <c r="BG21" s="20">
        <f t="shared" si="7"/>
        <v>152.63928887769075</v>
      </c>
      <c r="BH21" s="59">
        <f t="shared" si="8"/>
        <v>445.97262221102403</v>
      </c>
      <c r="BI21" s="59">
        <f ca="1">AVERAGE(OFFSET($BH$3,0,0,'Données projet'!$E$11+1,1))-AVERAGE(OFFSET($H$3,0,0,'Données projet'!$E$11+1,1))</f>
        <v>284.42619963941019</v>
      </c>
      <c r="BJ21" s="59">
        <f t="shared" si="38"/>
        <v>301.41905904220812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2.9051381016766502</v>
      </c>
      <c r="BR21" s="21">
        <f>EXP(-LN(2)/2)*BR20+(1-EXP(-LN(2)/2))/(LN(2)/2)*BL21*BO21*VLOOKUP('Données projet'!$B$11,Paramètres!$A$1:$I$89,3,0)*0.475*44/12</f>
        <v>3.1598441358311149</v>
      </c>
      <c r="BS21" s="22">
        <f t="shared" si="9"/>
        <v>6.0649822375077651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28.2</v>
      </c>
      <c r="N22" s="13">
        <f>IF('Données projet'!$A$36&gt;35,N21+M22-V21,IF(A22&lt;'Données projet'!$A$36,$K$205^A22,IF(A22='Données projet'!$A$36,'Données projet'!$B$36,N21+M22-V21)))</f>
        <v>274.79999999999995</v>
      </c>
      <c r="O22" s="13">
        <f>N22*VLOOKUP('Données projet'!$B$9,Paramètres!$A$1:$I$89,3,0)*VLOOKUP('Données projet'!$B$9,Paramètres!$A$1:$I$89,5,0)</f>
        <v>153.61319999999998</v>
      </c>
      <c r="P22" s="13">
        <f t="shared" si="33"/>
        <v>39.398557339898318</v>
      </c>
      <c r="Q22" s="20">
        <f t="shared" si="2"/>
        <v>336.16214403365615</v>
      </c>
      <c r="R22" s="59">
        <f t="shared" si="0"/>
        <v>629.49547736698946</v>
      </c>
      <c r="S22" s="59">
        <f ca="1">AVERAGE(OFFSET($R$3,0,0,'Données projet'!$E$9+1,1))-AVERAGE(OFFSET($H$3,0,0,'Données projet'!$E$9+1,1))</f>
        <v>490.96084572840579</v>
      </c>
      <c r="T22" s="59">
        <f t="shared" si="34"/>
        <v>597.91658789908263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26.833333333333332</v>
      </c>
      <c r="AI22" s="13">
        <f>IF('Données projet'!$A$62&gt;35,AI21+AH22-AQ21,IF(A22&lt;'Données projet'!$A$62,$AF$205^A22,IF(A22='Données projet'!$A$62,'Données projet'!$B$62,AI21+AH22-AQ21)))</f>
        <v>288.83333333333331</v>
      </c>
      <c r="AJ22" s="13">
        <f>AI22*VLOOKUP('Données projet'!$B$10,Paramètres!$A$1:$I$89,3,0)*VLOOKUP('Données projet'!$B$10,Paramètres!$A$1:$I$89,5,0)</f>
        <v>180.232</v>
      </c>
      <c r="AK22" s="13">
        <f t="shared" si="35"/>
        <v>45.373798022205818</v>
      </c>
      <c r="AL22" s="20">
        <f t="shared" si="4"/>
        <v>392.93009822200844</v>
      </c>
      <c r="AM22" s="59">
        <f t="shared" si="5"/>
        <v>686.26343155534175</v>
      </c>
      <c r="AN22" s="59">
        <f ca="1">AVERAGE(OFFSET($AM$3,0,0,'Données projet'!$E$10+1,1))-AVERAGE(OFFSET($H$3,0,0,'Données projet'!$E$10+1,1))</f>
        <v>482.28841373508675</v>
      </c>
      <c r="AO22" s="59">
        <f t="shared" si="36"/>
        <v>746.97309214631684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11.333333333333334</v>
      </c>
      <c r="BD22" s="12">
        <f>IF('Données projet'!$A$88&gt;35,BD21+BC22-BL21,IF(A22&lt;'Données projet'!$A$88,$BA$205^A22,IF(A22='Données projet'!$A$88,'Données projet'!$B$88,BD21+BC22-BL21)))</f>
        <v>125.66666666666667</v>
      </c>
      <c r="BE22" s="13">
        <f>BD22*VLOOKUP('Données projet'!$B$11,Paramètres!$A$1:$I$89,3,0)*VLOOKUP('Données projet'!$B$11,Paramètres!$A$1:$I$89,5,0)</f>
        <v>75.148666666666671</v>
      </c>
      <c r="BF22" s="13">
        <f t="shared" si="37"/>
        <v>20.946723857947624</v>
      </c>
      <c r="BG22" s="20">
        <f t="shared" si="7"/>
        <v>167.36613849703656</v>
      </c>
      <c r="BH22" s="59">
        <f t="shared" si="8"/>
        <v>460.69947183036987</v>
      </c>
      <c r="BI22" s="59">
        <f ca="1">AVERAGE(OFFSET($BH$3,0,0,'Données projet'!$E$11+1,1))-AVERAGE(OFFSET($H$3,0,0,'Données projet'!$E$11+1,1))</f>
        <v>284.42619963941019</v>
      </c>
      <c r="BJ22" s="59">
        <f t="shared" si="38"/>
        <v>301.41905904220812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2.8256969475117293</v>
      </c>
      <c r="BR22" s="21">
        <f>EXP(-LN(2)/2)*BR21+(1-EXP(-LN(2)/2))/(LN(2)/2)*BL22*BO22*VLOOKUP('Données projet'!$B$11,Paramètres!$A$1:$I$89,3,0)*0.475*44/12</f>
        <v>2.2343472159387279</v>
      </c>
      <c r="BS22" s="22">
        <f t="shared" si="9"/>
        <v>5.0600441634504572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303</v>
      </c>
      <c r="L23" s="12">
        <f>VLOOKUP(A23,'Données projet'!$A$35:$I$55,9,0)</f>
        <v>28.2</v>
      </c>
      <c r="M23" s="12">
        <f t="array" ref="M23">INDEX(L:L,MIN(IF(ISNUMBER(L23:L219),ROW(L23:L219),"")))</f>
        <v>28.2</v>
      </c>
      <c r="N23" s="13">
        <f>IF('Données projet'!$A$36&gt;35,N22+M23-V22,IF(A23&lt;'Données projet'!$A$36,$K$205^A23,IF(A23='Données projet'!$A$36,'Données projet'!$B$36,N22+M23-V22)))</f>
        <v>302.99999999999994</v>
      </c>
      <c r="O23" s="13">
        <f>N23*VLOOKUP('Données projet'!$B$9,Paramètres!$A$1:$I$89,3,0)*VLOOKUP('Données projet'!$B$9,Paramètres!$A$1:$I$89,5,0)</f>
        <v>169.37699999999995</v>
      </c>
      <c r="P23" s="13">
        <f t="shared" si="33"/>
        <v>42.950462509094685</v>
      </c>
      <c r="Q23" s="20">
        <f t="shared" si="2"/>
        <v>369.80366387000646</v>
      </c>
      <c r="R23" s="59">
        <f t="shared" si="0"/>
        <v>663.13699720333977</v>
      </c>
      <c r="S23" s="59">
        <f ca="1">AVERAGE(OFFSET($R$3,0,0,'Données projet'!$E$9+1,1))-AVERAGE(OFFSET($H$3,0,0,'Données projet'!$E$9+1,1))</f>
        <v>490.96084572840579</v>
      </c>
      <c r="T23" s="59">
        <f t="shared" si="34"/>
        <v>597.91658789908263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0.30800000000000005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9.782412641250021</v>
      </c>
      <c r="AB23" s="21">
        <f>EXP(-LN(2)/2)*AB22+(1-EXP(-LN(2)/2))/(LN(2)/2)*V23*Y23*VLOOKUP('Données projet'!$B$9,Paramètres!$A$1:$I$89,3,0)*0.475*44/12</f>
        <v>11.974805803683211</v>
      </c>
      <c r="AC23" s="22">
        <f t="shared" si="3"/>
        <v>21.75721844493323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26.833333333333332</v>
      </c>
      <c r="AI23" s="13">
        <f>IF('Données projet'!$A$62&gt;35,AI22+AH23-AQ22,IF(A23&lt;'Données projet'!$A$62,$AF$205^A23,IF(A23='Données projet'!$A$62,'Données projet'!$B$62,AI22+AH23-AQ22)))</f>
        <v>315.66666666666663</v>
      </c>
      <c r="AJ23" s="13">
        <f>AI23*VLOOKUP('Données projet'!$B$10,Paramètres!$A$1:$I$89,3,0)*VLOOKUP('Données projet'!$B$10,Paramètres!$A$1:$I$89,5,0)</f>
        <v>196.97599999999997</v>
      </c>
      <c r="AK23" s="13">
        <f t="shared" si="35"/>
        <v>49.078995912586862</v>
      </c>
      <c r="AL23" s="20">
        <f t="shared" si="4"/>
        <v>428.54578454775537</v>
      </c>
      <c r="AM23" s="59">
        <f t="shared" si="5"/>
        <v>721.87911788108863</v>
      </c>
      <c r="AN23" s="59">
        <f ca="1">AVERAGE(OFFSET($AM$3,0,0,'Données projet'!$E$10+1,1))-AVERAGE(OFFSET($H$3,0,0,'Données projet'!$E$10+1,1))</f>
        <v>482.28841373508675</v>
      </c>
      <c r="AO23" s="59">
        <f t="shared" si="36"/>
        <v>746.97309214631684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137</v>
      </c>
      <c r="BB23" s="12">
        <f>VLOOKUP(A23,'Données projet'!$A$87:$I$107,9,0)</f>
        <v>11.333333333333334</v>
      </c>
      <c r="BC23" s="12">
        <f t="array" ref="BC23">INDEX(BB:BB,MIN(IF(ISNUMBER(BB23:BB219),ROW(BB23:BB219),"")))</f>
        <v>11.333333333333334</v>
      </c>
      <c r="BD23" s="12">
        <f>IF('Données projet'!$A$88&gt;35,BD22+BC23-BL22,IF(A23&lt;'Données projet'!$A$88,$BA$205^A23,IF(A23='Données projet'!$A$88,'Données projet'!$B$88,BD22+BC23-BL22)))</f>
        <v>137</v>
      </c>
      <c r="BE23" s="13">
        <f>BD23*VLOOKUP('Données projet'!$B$11,Paramètres!$A$1:$I$89,3,0)*VLOOKUP('Données projet'!$B$11,Paramètres!$A$1:$I$89,5,0)</f>
        <v>81.926000000000002</v>
      </c>
      <c r="BF23" s="13">
        <f t="shared" si="37"/>
        <v>22.607447146245146</v>
      </c>
      <c r="BG23" s="20">
        <f t="shared" si="7"/>
        <v>182.06242044637693</v>
      </c>
      <c r="BH23" s="59">
        <f t="shared" si="8"/>
        <v>475.39575377971028</v>
      </c>
      <c r="BI23" s="59">
        <f ca="1">AVERAGE(OFFSET($BH$3,0,0,'Données projet'!$E$11+1,1))-AVERAGE(OFFSET($H$3,0,0,'Données projet'!$E$11+1,1))</f>
        <v>284.42619963941019</v>
      </c>
      <c r="BJ23" s="59">
        <f t="shared" si="38"/>
        <v>301.41905904220812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0.315</v>
      </c>
      <c r="BN23" s="16">
        <f>IF(ISNA(VLOOKUP(A23,'Données projet'!$A$87:$I$107,6,0)),0%,VLOOKUP(A23,'Données projet'!$A$87:$I$107,6,0)*VLOOKUP('Données projet'!$B$11,Paramètres!$A$1:$I$89,7,0))</f>
        <v>7.5600000000000001E-2</v>
      </c>
      <c r="BO23" s="16">
        <f>IF(ISNA(VLOOKUP(A23,'Données projet'!$A$87:$I$107,7,0)),0%,VLOOKUP(A23,'Données projet'!$A$87:$I$107,7,0))</f>
        <v>0.13200000000000001</v>
      </c>
      <c r="BP23" s="21">
        <f>EXP(-LN(2)/35)*BP22+(1-EXP(-LN(2)/35))/(LN(2)/35)*BL23*BM23*VLOOKUP('Données projet'!$B$11,Paramètres!$A$1:$I$89,3,0)*0.475*44/12</f>
        <v>3.7482741970671931</v>
      </c>
      <c r="BQ23" s="21">
        <f>EXP(-LN(2)/25)*BQ22+(1-EXP(-LN(2)/25))/(LN(2)/25)*Calculateur!BL23*Calculateur!BN23*VLOOKUP('Données projet'!$B$11,Paramètres!$A$1:$I$89,3,0)*0.475*44/12</f>
        <v>3.6444719110888131</v>
      </c>
      <c r="BR23" s="21">
        <f>EXP(-LN(2)/2)*BR22+(1-EXP(-LN(2)/2))/(LN(2)/2)*BL23*BO23*VLOOKUP('Données projet'!$B$11,Paramètres!$A$1:$I$89,3,0)*0.475*44/12</f>
        <v>2.9205303974787946</v>
      </c>
      <c r="BS23" s="22">
        <f t="shared" si="9"/>
        <v>10.3132765056348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31.8</v>
      </c>
      <c r="N24" s="13">
        <f>IF('Données projet'!$A$36&gt;35,N23+M24-V23,IF(A24&lt;'Données projet'!$A$36,$K$205^A24,IF(A24='Données projet'!$A$36,'Données projet'!$B$36,N23+M24-V23)))</f>
        <v>291.79999999999995</v>
      </c>
      <c r="O24" s="13">
        <f>N24*VLOOKUP('Données projet'!$B$9,Paramètres!$A$1:$I$89,3,0)*VLOOKUP('Données projet'!$B$9,Paramètres!$A$1:$I$89,5,0)</f>
        <v>163.11619999999996</v>
      </c>
      <c r="P24" s="13">
        <f t="shared" si="33"/>
        <v>41.544592017733109</v>
      </c>
      <c r="Q24" s="20">
        <f t="shared" si="2"/>
        <v>356.4508794308851</v>
      </c>
      <c r="R24" s="59">
        <f t="shared" si="0"/>
        <v>649.78421276421841</v>
      </c>
      <c r="S24" s="59">
        <f ca="1">AVERAGE(OFFSET($R$3,0,0,'Données projet'!$E$9+1,1))-AVERAGE(OFFSET($H$3,0,0,'Données projet'!$E$9+1,1))</f>
        <v>490.96084572840579</v>
      </c>
      <c r="T24" s="59">
        <f t="shared" si="34"/>
        <v>597.91658789908263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9.514912053140316</v>
      </c>
      <c r="AB24" s="21">
        <f>EXP(-LN(2)/2)*AB23+(1-EXP(-LN(2)/2))/(LN(2)/2)*V24*Y24*VLOOKUP('Données projet'!$B$9,Paramètres!$A$1:$I$89,3,0)*0.475*44/12</f>
        <v>8.4674663871764242</v>
      </c>
      <c r="AC24" s="22">
        <f t="shared" si="3"/>
        <v>17.98237844031674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26.833333333333332</v>
      </c>
      <c r="AI24" s="13">
        <f>IF('Données projet'!$A$62&gt;35,AI23+AH24-AQ23,IF(A24&lt;'Données projet'!$A$62,$AF$205^A24,IF(A24='Données projet'!$A$62,'Données projet'!$B$62,AI23+AH24-AQ23)))</f>
        <v>342.49999999999994</v>
      </c>
      <c r="AJ24" s="13">
        <f>AI24*VLOOKUP('Données projet'!$B$10,Paramètres!$A$1:$I$89,3,0)*VLOOKUP('Données projet'!$B$10,Paramètres!$A$1:$I$89,5,0)</f>
        <v>213.71999999999997</v>
      </c>
      <c r="AK24" s="13">
        <f t="shared" si="35"/>
        <v>52.747666674989134</v>
      </c>
      <c r="AL24" s="20">
        <f t="shared" si="4"/>
        <v>464.0978527922727</v>
      </c>
      <c r="AM24" s="59">
        <f t="shared" si="5"/>
        <v>757.43118612560602</v>
      </c>
      <c r="AN24" s="59">
        <f ca="1">AVERAGE(OFFSET($AM$3,0,0,'Données projet'!$E$10+1,1))-AVERAGE(OFFSET($H$3,0,0,'Données projet'!$E$10+1,1))</f>
        <v>482.28841373508675</v>
      </c>
      <c r="AO24" s="59">
        <f t="shared" si="36"/>
        <v>746.97309214631684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138.4</v>
      </c>
      <c r="BE24" s="13">
        <f>BD24*VLOOKUP('Données projet'!$B$11,Paramètres!$A$1:$I$89,3,0)*VLOOKUP('Données projet'!$B$11,Paramètres!$A$1:$I$89,5,0)</f>
        <v>82.763200000000012</v>
      </c>
      <c r="BF24" s="13">
        <f t="shared" si="37"/>
        <v>22.811459894537176</v>
      </c>
      <c r="BG24" s="20">
        <f t="shared" si="7"/>
        <v>183.8758659829856</v>
      </c>
      <c r="BH24" s="59">
        <f t="shared" si="8"/>
        <v>477.20919931631892</v>
      </c>
      <c r="BI24" s="59">
        <f ca="1">AVERAGE(OFFSET($BH$3,0,0,'Données projet'!$E$11+1,1))-AVERAGE(OFFSET($H$3,0,0,'Données projet'!$E$11+1,1))</f>
        <v>284.42619963941019</v>
      </c>
      <c r="BJ24" s="59">
        <f t="shared" si="38"/>
        <v>301.41905904220812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3.6747728262842201</v>
      </c>
      <c r="BQ24" s="21">
        <f>EXP(-LN(2)/25)*BQ23+(1-EXP(-LN(2)/25))/(LN(2)/25)*Calculateur!BL24*Calculateur!BN24*VLOOKUP('Données projet'!$B$11,Paramètres!$A$1:$I$89,3,0)*0.475*44/12</f>
        <v>3.5448136350256414</v>
      </c>
      <c r="BR24" s="21">
        <f>EXP(-LN(2)/2)*BR23+(1-EXP(-LN(2)/2))/(LN(2)/2)*BL24*BO24*VLOOKUP('Données projet'!$B$11,Paramètres!$A$1:$I$89,3,0)*0.475*44/12</f>
        <v>2.0651268487186987</v>
      </c>
      <c r="BS24" s="22">
        <f t="shared" si="9"/>
        <v>9.2847133100285593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31.8</v>
      </c>
      <c r="N25" s="13">
        <f>IF('Données projet'!$A$36&gt;35,N24+M25-V24,IF(A25&lt;'Données projet'!$A$36,$K$205^A25,IF(A25='Données projet'!$A$36,'Données projet'!$B$36,N24+M25-V24)))</f>
        <v>323.59999999999997</v>
      </c>
      <c r="O25" s="13">
        <f>N25*VLOOKUP('Données projet'!$B$9,Paramètres!$A$1:$I$89,3,0)*VLOOKUP('Données projet'!$B$9,Paramètres!$A$1:$I$89,5,0)</f>
        <v>180.89240000000001</v>
      </c>
      <c r="P25" s="13">
        <f t="shared" si="33"/>
        <v>45.520671542487669</v>
      </c>
      <c r="Q25" s="20">
        <f t="shared" si="2"/>
        <v>394.33609960316602</v>
      </c>
      <c r="R25" s="59">
        <f t="shared" si="0"/>
        <v>687.66943293649933</v>
      </c>
      <c r="S25" s="59">
        <f ca="1">AVERAGE(OFFSET($R$3,0,0,'Données projet'!$E$9+1,1))-AVERAGE(OFFSET($H$3,0,0,'Données projet'!$E$9+1,1))</f>
        <v>490.96084572840579</v>
      </c>
      <c r="T25" s="59">
        <f t="shared" si="34"/>
        <v>597.91658789908263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9.2547262826797159</v>
      </c>
      <c r="AB25" s="21">
        <f>EXP(-LN(2)/2)*AB24+(1-EXP(-LN(2)/2))/(LN(2)/2)*V25*Y25*VLOOKUP('Données projet'!$B$9,Paramètres!$A$1:$I$89,3,0)*0.475*44/12</f>
        <v>5.9874029018416062</v>
      </c>
      <c r="AC25" s="22">
        <f t="shared" si="3"/>
        <v>15.242129184521321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26.833333333333332</v>
      </c>
      <c r="AI25" s="13">
        <f>IF('Données projet'!$A$62&gt;35,AI24+AH25-AQ24,IF(A25&lt;'Données projet'!$A$62,$AF$205^A25,IF(A25='Données projet'!$A$62,'Données projet'!$B$62,AI24+AH25-AQ24)))</f>
        <v>369.33333333333326</v>
      </c>
      <c r="AJ25" s="13">
        <f>AI25*VLOOKUP('Données projet'!$B$10,Paramètres!$A$1:$I$89,3,0)*VLOOKUP('Données projet'!$B$10,Paramètres!$A$1:$I$89,5,0)</f>
        <v>230.46399999999994</v>
      </c>
      <c r="AK25" s="13">
        <f t="shared" si="35"/>
        <v>56.382997408609569</v>
      </c>
      <c r="AL25" s="20">
        <f t="shared" si="4"/>
        <v>499.59185381999487</v>
      </c>
      <c r="AM25" s="59">
        <f t="shared" si="5"/>
        <v>792.92518715332812</v>
      </c>
      <c r="AN25" s="59">
        <f ca="1">AVERAGE(OFFSET($AM$3,0,0,'Données projet'!$E$10+1,1))-AVERAGE(OFFSET($H$3,0,0,'Données projet'!$E$10+1,1))</f>
        <v>482.28841373508675</v>
      </c>
      <c r="AO25" s="59">
        <f t="shared" si="36"/>
        <v>746.97309214631684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154.80000000000001</v>
      </c>
      <c r="BE25" s="13">
        <f>BD25*VLOOKUP('Données projet'!$B$11,Paramètres!$A$1:$I$89,3,0)*VLOOKUP('Données projet'!$B$11,Paramètres!$A$1:$I$89,5,0)</f>
        <v>92.570400000000021</v>
      </c>
      <c r="BF25" s="13">
        <f t="shared" si="37"/>
        <v>25.184123943972491</v>
      </c>
      <c r="BG25" s="20">
        <f t="shared" si="7"/>
        <v>205.0891292024188</v>
      </c>
      <c r="BH25" s="59">
        <f t="shared" si="8"/>
        <v>498.42246253575212</v>
      </c>
      <c r="BI25" s="59">
        <f ca="1">AVERAGE(OFFSET($BH$3,0,0,'Données projet'!$E$11+1,1))-AVERAGE(OFFSET($H$3,0,0,'Données projet'!$E$11+1,1))</f>
        <v>284.42619963941019</v>
      </c>
      <c r="BJ25" s="59">
        <f t="shared" si="38"/>
        <v>301.41905904220812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3.6027127725508916</v>
      </c>
      <c r="BQ25" s="21">
        <f>EXP(-LN(2)/25)*BQ24+(1-EXP(-LN(2)/25))/(LN(2)/25)*Calculateur!BL25*Calculateur!BN25*VLOOKUP('Données projet'!$B$11,Paramètres!$A$1:$I$89,3,0)*0.475*44/12</f>
        <v>3.4478805197622178</v>
      </c>
      <c r="BR25" s="21">
        <f>EXP(-LN(2)/2)*BR24+(1-EXP(-LN(2)/2))/(LN(2)/2)*BL25*BO25*VLOOKUP('Données projet'!$B$11,Paramètres!$A$1:$I$89,3,0)*0.475*44/12</f>
        <v>1.4602651987393973</v>
      </c>
      <c r="BS25" s="22">
        <f t="shared" si="9"/>
        <v>8.5108584910525078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31.8</v>
      </c>
      <c r="N26" s="13">
        <f>IF('Données projet'!$A$36&gt;35,N25+M26-V25,IF(A26&lt;'Données projet'!$A$36,$K$205^A26,IF(A26='Données projet'!$A$36,'Données projet'!$B$36,N25+M26-V25)))</f>
        <v>355.4</v>
      </c>
      <c r="O26" s="13">
        <f>N26*VLOOKUP('Données projet'!$B$9,Paramètres!$A$1:$I$89,3,0)*VLOOKUP('Données projet'!$B$9,Paramètres!$A$1:$I$89,5,0)</f>
        <v>198.66859999999997</v>
      </c>
      <c r="P26" s="13">
        <f t="shared" si="33"/>
        <v>49.451452656287465</v>
      </c>
      <c r="Q26" s="20">
        <f t="shared" si="2"/>
        <v>432.14242504303394</v>
      </c>
      <c r="R26" s="59">
        <f t="shared" si="0"/>
        <v>725.47575837636725</v>
      </c>
      <c r="S26" s="59">
        <f ca="1">AVERAGE(OFFSET($R$3,0,0,'Données projet'!$E$9+1,1))-AVERAGE(OFFSET($H$3,0,0,'Données projet'!$E$9+1,1))</f>
        <v>490.96084572840579</v>
      </c>
      <c r="T26" s="59">
        <f t="shared" si="34"/>
        <v>597.91658789908263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9.0016553057949356</v>
      </c>
      <c r="AB26" s="21">
        <f>EXP(-LN(2)/2)*AB25+(1-EXP(-LN(2)/2))/(LN(2)/2)*V26*Y26*VLOOKUP('Données projet'!$B$9,Paramètres!$A$1:$I$89,3,0)*0.475*44/12</f>
        <v>4.233733193588213</v>
      </c>
      <c r="AC26" s="22">
        <f t="shared" si="3"/>
        <v>13.235388499383149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26.833333333333332</v>
      </c>
      <c r="AI26" s="13">
        <f>IF('Données projet'!$A$62&gt;35,AI25+AH26-AQ25,IF(A26&lt;'Données projet'!$A$62,$AF$205^A26,IF(A26='Données projet'!$A$62,'Données projet'!$B$62,AI25+AH26-AQ25)))</f>
        <v>396.16666666666657</v>
      </c>
      <c r="AJ26" s="13">
        <f>AI26*VLOOKUP('Données projet'!$B$10,Paramètres!$A$1:$I$89,3,0)*VLOOKUP('Données projet'!$B$10,Paramètres!$A$1:$I$89,5,0)</f>
        <v>247.20799999999994</v>
      </c>
      <c r="AK26" s="13">
        <f t="shared" si="35"/>
        <v>59.98768585042928</v>
      </c>
      <c r="AL26" s="20">
        <f t="shared" si="4"/>
        <v>535.0324861894976</v>
      </c>
      <c r="AM26" s="59">
        <f t="shared" si="5"/>
        <v>828.36581952283086</v>
      </c>
      <c r="AN26" s="59">
        <f ca="1">AVERAGE(OFFSET($AM$3,0,0,'Données projet'!$E$10+1,1))-AVERAGE(OFFSET($H$3,0,0,'Données projet'!$E$10+1,1))</f>
        <v>482.28841373508675</v>
      </c>
      <c r="AO26" s="59">
        <f t="shared" si="36"/>
        <v>746.97309214631684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171.20000000000002</v>
      </c>
      <c r="BE26" s="13">
        <f>BD26*VLOOKUP('Données projet'!$B$11,Paramètres!$A$1:$I$89,3,0)*VLOOKUP('Données projet'!$B$11,Paramètres!$A$1:$I$89,5,0)</f>
        <v>102.37760000000002</v>
      </c>
      <c r="BF26" s="13">
        <f t="shared" si="37"/>
        <v>27.527651005505614</v>
      </c>
      <c r="BG26" s="20">
        <f t="shared" si="7"/>
        <v>226.25164550125564</v>
      </c>
      <c r="BH26" s="59">
        <f t="shared" si="8"/>
        <v>519.58497883458892</v>
      </c>
      <c r="BI26" s="59">
        <f ca="1">AVERAGE(OFFSET($BH$3,0,0,'Données projet'!$E$11+1,1))-AVERAGE(OFFSET($H$3,0,0,'Données projet'!$E$11+1,1))</f>
        <v>284.42619963941019</v>
      </c>
      <c r="BJ26" s="59">
        <f t="shared" si="38"/>
        <v>301.41905904220812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3.532065772518981</v>
      </c>
      <c r="BQ26" s="21">
        <f>EXP(-LN(2)/25)*BQ25+(1-EXP(-LN(2)/25))/(LN(2)/25)*Calculateur!BL26*Calculateur!BN26*VLOOKUP('Données projet'!$B$11,Paramètres!$A$1:$I$89,3,0)*0.475*44/12</f>
        <v>3.3535980456331638</v>
      </c>
      <c r="BR26" s="21">
        <f>EXP(-LN(2)/2)*BR25+(1-EXP(-LN(2)/2))/(LN(2)/2)*BL26*BO26*VLOOKUP('Données projet'!$B$11,Paramètres!$A$1:$I$89,3,0)*0.475*44/12</f>
        <v>1.0325634243593493</v>
      </c>
      <c r="BS26" s="22">
        <f t="shared" si="9"/>
        <v>7.9182272425114935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31.8</v>
      </c>
      <c r="N27" s="13">
        <f>IF('Données projet'!$A$36&gt;35,N26+M27-V26,IF(A27&lt;'Données projet'!$A$36,$K$205^A27,IF(A27='Données projet'!$A$36,'Données projet'!$B$36,N26+M27-V26)))</f>
        <v>387.2</v>
      </c>
      <c r="O27" s="13">
        <f>N27*VLOOKUP('Données projet'!$B$9,Paramètres!$A$1:$I$89,3,0)*VLOOKUP('Données projet'!$B$9,Paramètres!$A$1:$I$89,5,0)</f>
        <v>216.44479999999999</v>
      </c>
      <c r="P27" s="13">
        <f t="shared" si="33"/>
        <v>53.341449419561528</v>
      </c>
      <c r="Q27" s="20">
        <f t="shared" si="2"/>
        <v>469.87771773906962</v>
      </c>
      <c r="R27" s="59">
        <f t="shared" si="0"/>
        <v>763.21105107240294</v>
      </c>
      <c r="S27" s="59">
        <f ca="1">AVERAGE(OFFSET($R$3,0,0,'Données projet'!$E$9+1,1))-AVERAGE(OFFSET($H$3,0,0,'Données projet'!$E$9+1,1))</f>
        <v>490.96084572840579</v>
      </c>
      <c r="T27" s="59">
        <f t="shared" si="34"/>
        <v>597.91658789908263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8.7555045680814949</v>
      </c>
      <c r="AB27" s="21">
        <f>EXP(-LN(2)/2)*AB26+(1-EXP(-LN(2)/2))/(LN(2)/2)*V27*Y27*VLOOKUP('Données projet'!$B$9,Paramètres!$A$1:$I$89,3,0)*0.475*44/12</f>
        <v>2.993701450920804</v>
      </c>
      <c r="AC27" s="22">
        <f t="shared" si="3"/>
        <v>11.749206019002299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423</v>
      </c>
      <c r="AG27" s="12">
        <f>VLOOKUP(A27,'Données projet'!$A$61:$I$81,9,0)</f>
        <v>26.833333333333332</v>
      </c>
      <c r="AH27" s="12">
        <f t="array" ref="AH27">INDEX(AG:AG,MIN(IF(ISNUMBER(AG27:AG223),ROW(AG27:AG223),"")))</f>
        <v>26.833333333333332</v>
      </c>
      <c r="AI27" s="13">
        <f>IF('Données projet'!$A$62&gt;35,AI26+AH27-AQ26,IF(A27&lt;'Données projet'!$A$62,$AF$205^A27,IF(A27='Données projet'!$A$62,'Données projet'!$B$62,AI26+AH27-AQ26)))</f>
        <v>422.99999999999989</v>
      </c>
      <c r="AJ27" s="13">
        <f>AI27*VLOOKUP('Données projet'!$B$10,Paramètres!$A$1:$I$89,3,0)*VLOOKUP('Données projet'!$B$10,Paramètres!$A$1:$I$89,5,0)</f>
        <v>263.95199999999994</v>
      </c>
      <c r="AK27" s="13">
        <f t="shared" si="35"/>
        <v>63.564043607303319</v>
      </c>
      <c r="AL27" s="20">
        <f t="shared" si="4"/>
        <v>570.42377594938648</v>
      </c>
      <c r="AM27" s="59">
        <f t="shared" si="5"/>
        <v>863.75710928271974</v>
      </c>
      <c r="AN27" s="59">
        <f ca="1">AVERAGE(OFFSET($AM$3,0,0,'Données projet'!$E$10+1,1))-AVERAGE(OFFSET($H$3,0,0,'Données projet'!$E$10+1,1))</f>
        <v>482.28841373508675</v>
      </c>
      <c r="AO27" s="59">
        <f t="shared" si="36"/>
        <v>746.97309214631684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0.42</v>
      </c>
      <c r="AS27" s="16">
        <f>IF(ISNA(VLOOKUP(A27,'Données projet'!$A$61:$I$81,6,0)),0%,VLOOKUP(A27,'Données projet'!$A$61:$I$81,6,0)*VLOOKUP('Données projet'!$B$10,Paramètres!$A$1:$I$89,7,0))</f>
        <v>0.1008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187.60000000000002</v>
      </c>
      <c r="BE27" s="13">
        <f>BD27*VLOOKUP('Données projet'!$B$11,Paramètres!$A$1:$I$89,3,0)*VLOOKUP('Données projet'!$B$11,Paramètres!$A$1:$I$89,5,0)</f>
        <v>112.18480000000002</v>
      </c>
      <c r="BF27" s="13">
        <f t="shared" si="37"/>
        <v>29.845149809641946</v>
      </c>
      <c r="BG27" s="20">
        <f t="shared" si="7"/>
        <v>247.36882925179307</v>
      </c>
      <c r="BH27" s="59">
        <f t="shared" si="8"/>
        <v>540.70216258512642</v>
      </c>
      <c r="BI27" s="59">
        <f ca="1">AVERAGE(OFFSET($BH$3,0,0,'Données projet'!$E$11+1,1))-AVERAGE(OFFSET($H$3,0,0,'Données projet'!$E$11+1,1))</f>
        <v>284.42619963941019</v>
      </c>
      <c r="BJ27" s="59">
        <f t="shared" si="38"/>
        <v>301.41905904220812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3.462804117067281</v>
      </c>
      <c r="BQ27" s="21">
        <f>EXP(-LN(2)/25)*BQ26+(1-EXP(-LN(2)/25))/(LN(2)/25)*Calculateur!BL27*Calculateur!BN27*VLOOKUP('Données projet'!$B$11,Paramètres!$A$1:$I$89,3,0)*0.475*44/12</f>
        <v>3.2618937307172686</v>
      </c>
      <c r="BR27" s="21">
        <f>EXP(-LN(2)/2)*BR26+(1-EXP(-LN(2)/2))/(LN(2)/2)*BL27*BO27*VLOOKUP('Données projet'!$B$11,Paramètres!$A$1:$I$89,3,0)*0.475*44/12</f>
        <v>0.73013259936969865</v>
      </c>
      <c r="BS27" s="22">
        <f t="shared" si="9"/>
        <v>7.4548304471542481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419</v>
      </c>
      <c r="L28" s="12">
        <f>VLOOKUP(A28,'Données projet'!$A$35:$I$55,9,0)</f>
        <v>31.8</v>
      </c>
      <c r="M28" s="12">
        <f t="array" ref="M28">INDEX(L:L,MIN(IF(ISNUMBER(L28:L224),ROW(L28:L224),"")))</f>
        <v>31.8</v>
      </c>
      <c r="N28" s="13">
        <f>IF('Données projet'!$A$36&gt;35,N27+M28-V27,IF(A28&lt;'Données projet'!$A$36,$K$205^A28,IF(A28='Données projet'!$A$36,'Données projet'!$B$36,N27+M28-V27)))</f>
        <v>419</v>
      </c>
      <c r="O28" s="13">
        <f>N28*VLOOKUP('Données projet'!$B$9,Paramètres!$A$1:$I$89,3,0)*VLOOKUP('Données projet'!$B$9,Paramètres!$A$1:$I$89,5,0)</f>
        <v>234.221</v>
      </c>
      <c r="P28" s="13">
        <f t="shared" si="33"/>
        <v>57.194392182630075</v>
      </c>
      <c r="Q28" s="20">
        <f t="shared" si="2"/>
        <v>507.54847471808063</v>
      </c>
      <c r="R28" s="59">
        <f t="shared" si="0"/>
        <v>800.88180805141394</v>
      </c>
      <c r="S28" s="59">
        <f ca="1">AVERAGE(OFFSET($R$3,0,0,'Données projet'!$E$9+1,1))-AVERAGE(OFFSET($H$3,0,0,'Données projet'!$E$9+1,1))</f>
        <v>490.96084572840579</v>
      </c>
      <c r="T28" s="59">
        <f t="shared" si="34"/>
        <v>597.91658789908263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60</v>
      </c>
      <c r="W28" s="16">
        <f>IF(ISNA(VLOOKUP(A28,'Données projet'!$A$35:$I$55,5,0)),0%,VLOOKUP(A28,'Données projet'!$A$35:$I$55,5,0)*VLOOKUP('Données projet'!$B$9,Paramètres!$A$1:$I$89,7,0))</f>
        <v>0.38500000000000001</v>
      </c>
      <c r="X28" s="16">
        <f>IF(ISNA(VLOOKUP(A28,'Données projet'!$A$35:$I$55,6,0)),0%,VLOOKUP(A28,'Données projet'!$A$35:$I$55,6,0)*VLOOKUP('Données projet'!$B$9,Paramètres!$A$1:$I$89,7,0))</f>
        <v>9.3500000000000014E-2</v>
      </c>
      <c r="Y28" s="16">
        <f>IF(ISNA(VLOOKUP(A28,'Données projet'!$A$35:$I$55,7,0)),0%,VLOOKUP(A28,'Données projet'!$A$35:$I$55,7,0))</f>
        <v>0.13</v>
      </c>
      <c r="Z28" s="21">
        <f>EXP(-LN(2)/35)*Z27+(1-EXP(-LN(2)/35))/(LN(2)/35)*V28*W28*VLOOKUP('Données projet'!$B$9,Paramètres!$A$1:$I$89,3,0)*0.475*44/12</f>
        <v>17.129794156645243</v>
      </c>
      <c r="AA28" s="21">
        <f>EXP(-LN(2)/25)*AA27+(1-EXP(-LN(2)/25))/(LN(2)/25)*Calculateur!V28*Calculateur!X28*VLOOKUP('Données projet'!$B$9,Paramètres!$A$1:$I$89,3,0)*0.475*44/12</f>
        <v>12.659797831113664</v>
      </c>
      <c r="AB28" s="21">
        <f>EXP(-LN(2)/2)*AB27+(1-EXP(-LN(2)/2))/(LN(2)/2)*V28*Y28*VLOOKUP('Données projet'!$B$9,Paramètres!$A$1:$I$89,3,0)*0.475*44/12</f>
        <v>7.053625860469003</v>
      </c>
      <c r="AC28" s="22">
        <f t="shared" si="3"/>
        <v>36.843217848227908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26.666666666666668</v>
      </c>
      <c r="AI28" s="13">
        <f>IF('Données projet'!$A$62&gt;35,AI27+AH28-AQ27,IF(A28&lt;'Données projet'!$A$62,$AF$205^A28,IF(A28='Données projet'!$A$62,'Données projet'!$B$62,AI27+AH28-AQ27)))</f>
        <v>449.66666666666657</v>
      </c>
      <c r="AJ28" s="13">
        <f>AI28*VLOOKUP('Données projet'!$B$10,Paramètres!$A$1:$I$89,3,0)*VLOOKUP('Données projet'!$B$10,Paramètres!$A$1:$I$89,5,0)</f>
        <v>280.59199999999993</v>
      </c>
      <c r="AK28" s="13">
        <f t="shared" si="35"/>
        <v>67.092100116644588</v>
      </c>
      <c r="AL28" s="20">
        <f t="shared" si="4"/>
        <v>605.54980770315581</v>
      </c>
      <c r="AM28" s="59">
        <f t="shared" si="5"/>
        <v>898.88314103648918</v>
      </c>
      <c r="AN28" s="59">
        <f ca="1">AVERAGE(OFFSET($AM$3,0,0,'Données projet'!$E$10+1,1))-AVERAGE(OFFSET($H$3,0,0,'Données projet'!$E$10+1,1))</f>
        <v>482.28841373508675</v>
      </c>
      <c r="AO28" s="59">
        <f t="shared" si="36"/>
        <v>746.97309214631684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204</v>
      </c>
      <c r="BB28" s="12">
        <f>VLOOKUP(A28,'Données projet'!$A$87:$I$107,9,0)</f>
        <v>16.399999999999999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204.00000000000003</v>
      </c>
      <c r="BE28" s="13">
        <f>BD28*VLOOKUP('Données projet'!$B$11,Paramètres!$A$1:$I$89,3,0)*VLOOKUP('Données projet'!$B$11,Paramètres!$A$1:$I$89,5,0)</f>
        <v>121.99200000000003</v>
      </c>
      <c r="BF28" s="13">
        <f t="shared" si="37"/>
        <v>32.139154469866327</v>
      </c>
      <c r="BG28" s="20">
        <f t="shared" si="7"/>
        <v>268.44509403501723</v>
      </c>
      <c r="BH28" s="59">
        <f t="shared" si="8"/>
        <v>561.77842736835055</v>
      </c>
      <c r="BI28" s="59">
        <f ca="1">AVERAGE(OFFSET($BH$3,0,0,'Données projet'!$E$11+1,1))-AVERAGE(OFFSET($H$3,0,0,'Données projet'!$E$11+1,1))</f>
        <v>284.42619963941019</v>
      </c>
      <c r="BJ28" s="59">
        <f t="shared" si="38"/>
        <v>301.41905904220812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36</v>
      </c>
      <c r="BM28" s="16">
        <f>IF(ISNA(VLOOKUP(A28,'Données projet'!$A$87:$I$107,5,0)),0%,VLOOKUP(A28,'Données projet'!$A$87:$I$107,5,0)*VLOOKUP('Données projet'!$B$11,Paramètres!$A$1:$I$89,7,0))</f>
        <v>0.315</v>
      </c>
      <c r="BN28" s="16">
        <f>IF(ISNA(VLOOKUP(A28,'Données projet'!$A$87:$I$107,6,0)),0%,VLOOKUP(A28,'Données projet'!$A$87:$I$107,6,0)*VLOOKUP('Données projet'!$B$11,Paramètres!$A$1:$I$89,7,0))</f>
        <v>7.5600000000000001E-2</v>
      </c>
      <c r="BO28" s="16">
        <f>IF(ISNA(VLOOKUP(A28,'Données projet'!$A$87:$I$107,7,0)),0%,VLOOKUP(A28,'Données projet'!$A$87:$I$107,7,0))</f>
        <v>0.13200000000000001</v>
      </c>
      <c r="BP28" s="21">
        <f>EXP(-LN(2)/35)*BP27+(1-EXP(-LN(2)/35))/(LN(2)/35)*BL28*BM28*VLOOKUP('Données projet'!$B$11,Paramètres!$A$1:$I$89,3,0)*0.475*44/12</f>
        <v>12.390758713394813</v>
      </c>
      <c r="BQ28" s="21">
        <f>EXP(-LN(2)/25)*BQ27+(1-EXP(-LN(2)/25))/(LN(2)/25)*Calculateur!BL28*Calculateur!BN28*VLOOKUP('Données projet'!$B$11,Paramètres!$A$1:$I$89,3,0)*0.475*44/12</f>
        <v>5.323202183604236</v>
      </c>
      <c r="BR28" s="21">
        <f>EXP(-LN(2)/2)*BR27+(1-EXP(-LN(2)/2))/(LN(2)/2)*BL28*BO28*VLOOKUP('Données projet'!$B$11,Paramètres!$A$1:$I$89,3,0)*0.475*44/12</f>
        <v>3.7337417031314426</v>
      </c>
      <c r="BS28" s="22">
        <f t="shared" si="9"/>
        <v>21.447702600130491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33</v>
      </c>
      <c r="N29" s="13">
        <f>IF('Données projet'!$A$36&gt;35,N28+M29-V28,IF(A29&lt;'Données projet'!$A$36,$K$205^A29,IF(A29='Données projet'!$A$36,'Données projet'!$B$36,N28+M29-V28)))</f>
        <v>392</v>
      </c>
      <c r="O29" s="13">
        <f>N29*VLOOKUP('Données projet'!$B$9,Paramètres!$A$1:$I$89,3,0)*VLOOKUP('Données projet'!$B$9,Paramètres!$A$1:$I$89,5,0)</f>
        <v>219.12800000000001</v>
      </c>
      <c r="P29" s="13">
        <f t="shared" si="33"/>
        <v>53.925317044064428</v>
      </c>
      <c r="Q29" s="20">
        <f t="shared" si="2"/>
        <v>475.56786051841215</v>
      </c>
      <c r="R29" s="59">
        <f t="shared" si="0"/>
        <v>768.90119385174546</v>
      </c>
      <c r="S29" s="59">
        <f ca="1">AVERAGE(OFFSET($R$3,0,0,'Données projet'!$E$9+1,1))-AVERAGE(OFFSET($H$3,0,0,'Données projet'!$E$9+1,1))</f>
        <v>490.96084572840579</v>
      </c>
      <c r="T29" s="59">
        <f t="shared" si="34"/>
        <v>597.91658789908263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16.793889341376197</v>
      </c>
      <c r="AA29" s="21">
        <f>EXP(-LN(2)/25)*AA28+(1-EXP(-LN(2)/25))/(LN(2)/25)*Calculateur!V29*Calculateur!X29*VLOOKUP('Données projet'!$B$9,Paramètres!$A$1:$I$89,3,0)*0.475*44/12</f>
        <v>12.313614993672028</v>
      </c>
      <c r="AB29" s="21">
        <f>EXP(-LN(2)/2)*AB28+(1-EXP(-LN(2)/2))/(LN(2)/2)*V29*Y29*VLOOKUP('Données projet'!$B$9,Paramètres!$A$1:$I$89,3,0)*0.475*44/12</f>
        <v>4.9876666778904291</v>
      </c>
      <c r="AC29" s="22">
        <f t="shared" si="3"/>
        <v>34.095171012938657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26.666666666666668</v>
      </c>
      <c r="AI29" s="13">
        <f>IF('Données projet'!$A$62&gt;35,AI28+AH29-AQ28,IF(A29&lt;'Données projet'!$A$62,$AF$205^A29,IF(A29='Données projet'!$A$62,'Données projet'!$B$62,AI28+AH29-AQ28)))</f>
        <v>476.33333333333326</v>
      </c>
      <c r="AJ29" s="13">
        <f>AI29*VLOOKUP('Données projet'!$B$10,Paramètres!$A$1:$I$89,3,0)*VLOOKUP('Données projet'!$B$10,Paramètres!$A$1:$I$89,5,0)</f>
        <v>297.23199999999997</v>
      </c>
      <c r="AK29" s="13">
        <f t="shared" si="35"/>
        <v>70.595871675224544</v>
      </c>
      <c r="AL29" s="20">
        <f t="shared" si="4"/>
        <v>640.63354316768266</v>
      </c>
      <c r="AM29" s="59">
        <f t="shared" si="5"/>
        <v>933.96687650101603</v>
      </c>
      <c r="AN29" s="59">
        <f ca="1">AVERAGE(OFFSET($AM$3,0,0,'Données projet'!$E$10+1,1))-AVERAGE(OFFSET($H$3,0,0,'Données projet'!$E$10+1,1))</f>
        <v>482.28841373508675</v>
      </c>
      <c r="AO29" s="59">
        <f t="shared" si="36"/>
        <v>746.97309214631684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17.600000000000001</v>
      </c>
      <c r="BD29" s="12">
        <f>IF('Données projet'!$A$88&gt;35,BD28+BC29-BL28,IF(A29&lt;'Données projet'!$A$88,$BA$205^A29,IF(A29='Données projet'!$A$88,'Données projet'!$B$88,BD28+BC29-BL28)))</f>
        <v>185.60000000000002</v>
      </c>
      <c r="BE29" s="13">
        <f>BD29*VLOOKUP('Données projet'!$B$11,Paramètres!$A$1:$I$89,3,0)*VLOOKUP('Données projet'!$B$11,Paramètres!$A$1:$I$89,5,0)</f>
        <v>110.98880000000003</v>
      </c>
      <c r="BF29" s="13">
        <f t="shared" si="37"/>
        <v>29.56383208945169</v>
      </c>
      <c r="BG29" s="20">
        <f t="shared" si="7"/>
        <v>244.79583422246174</v>
      </c>
      <c r="BH29" s="59">
        <f t="shared" si="8"/>
        <v>538.12916755579499</v>
      </c>
      <c r="BI29" s="59">
        <f ca="1">AVERAGE(OFFSET($BH$3,0,0,'Données projet'!$E$11+1,1))-AVERAGE(OFFSET($H$3,0,0,'Données projet'!$E$11+1,1))</f>
        <v>284.42619963941019</v>
      </c>
      <c r="BJ29" s="59">
        <f t="shared" si="38"/>
        <v>301.41905904220812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12.147783492641704</v>
      </c>
      <c r="BQ29" s="21">
        <f>EXP(-LN(2)/25)*BQ28+(1-EXP(-LN(2)/25))/(LN(2)/25)*Calculateur!BL29*Calculateur!BN29*VLOOKUP('Données projet'!$B$11,Paramètres!$A$1:$I$89,3,0)*0.475*44/12</f>
        <v>5.1776389399585421</v>
      </c>
      <c r="BR29" s="21">
        <f>EXP(-LN(2)/2)*BR28+(1-EXP(-LN(2)/2))/(LN(2)/2)*BL29*BO29*VLOOKUP('Données projet'!$B$11,Paramètres!$A$1:$I$89,3,0)*0.475*44/12</f>
        <v>2.6401540774832526</v>
      </c>
      <c r="BS29" s="22">
        <f t="shared" si="9"/>
        <v>19.965576510083498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33</v>
      </c>
      <c r="N30" s="13">
        <f>IF('Données projet'!$A$36&gt;35,N29+M30-V29,IF(A30&lt;'Données projet'!$A$36,$K$205^A30,IF(A30='Données projet'!$A$36,'Données projet'!$B$36,N29+M30-V29)))</f>
        <v>425</v>
      </c>
      <c r="O30" s="13">
        <f>N30*VLOOKUP('Données projet'!$B$9,Paramètres!$A$1:$I$89,3,0)*VLOOKUP('Données projet'!$B$9,Paramètres!$A$1:$I$89,5,0)</f>
        <v>237.57500000000002</v>
      </c>
      <c r="P30" s="13">
        <f t="shared" si="33"/>
        <v>57.917471937261162</v>
      </c>
      <c r="Q30" s="20">
        <f t="shared" si="2"/>
        <v>514.64938862406325</v>
      </c>
      <c r="R30" s="59">
        <f t="shared" si="0"/>
        <v>807.98272195739651</v>
      </c>
      <c r="S30" s="59">
        <f ca="1">AVERAGE(OFFSET($R$3,0,0,'Données projet'!$E$9+1,1))-AVERAGE(OFFSET($H$3,0,0,'Données projet'!$E$9+1,1))</f>
        <v>490.96084572840579</v>
      </c>
      <c r="T30" s="59">
        <f t="shared" si="34"/>
        <v>597.91658789908263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16.46457141465287</v>
      </c>
      <c r="AA30" s="21">
        <f>EXP(-LN(2)/25)*AA29+(1-EXP(-LN(2)/25))/(LN(2)/25)*Calculateur!V30*Calculateur!X30*VLOOKUP('Données projet'!$B$9,Paramètres!$A$1:$I$89,3,0)*0.475*44/12</f>
        <v>11.976898544125197</v>
      </c>
      <c r="AB30" s="21">
        <f>EXP(-LN(2)/2)*AB29+(1-EXP(-LN(2)/2))/(LN(2)/2)*V30*Y30*VLOOKUP('Données projet'!$B$9,Paramètres!$A$1:$I$89,3,0)*0.475*44/12</f>
        <v>3.5268129302345024</v>
      </c>
      <c r="AC30" s="22">
        <f t="shared" si="3"/>
        <v>31.968282889012567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26.666666666666668</v>
      </c>
      <c r="AI30" s="13">
        <f>IF('Données projet'!$A$62&gt;35,AI29+AH30-AQ29,IF(A30&lt;'Données projet'!$A$62,$AF$205^A30,IF(A30='Données projet'!$A$62,'Données projet'!$B$62,AI29+AH30-AQ29)))</f>
        <v>502.99999999999994</v>
      </c>
      <c r="AJ30" s="13">
        <f>AI30*VLOOKUP('Données projet'!$B$10,Paramètres!$A$1:$I$89,3,0)*VLOOKUP('Données projet'!$B$10,Paramètres!$A$1:$I$89,5,0)</f>
        <v>313.87199999999996</v>
      </c>
      <c r="AK30" s="13">
        <f t="shared" si="35"/>
        <v>74.076872774720357</v>
      </c>
      <c r="AL30" s="20">
        <f t="shared" si="4"/>
        <v>675.67762008263787</v>
      </c>
      <c r="AM30" s="59">
        <f t="shared" si="5"/>
        <v>969.01095341597124</v>
      </c>
      <c r="AN30" s="59">
        <f ca="1">AVERAGE(OFFSET($AM$3,0,0,'Données projet'!$E$10+1,1))-AVERAGE(OFFSET($H$3,0,0,'Données projet'!$E$10+1,1))</f>
        <v>482.28841373508675</v>
      </c>
      <c r="AO30" s="59">
        <f t="shared" si="36"/>
        <v>746.97309214631684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17.600000000000001</v>
      </c>
      <c r="BD30" s="12">
        <f>IF('Données projet'!$A$88&gt;35,BD29+BC30-BL29,IF(A30&lt;'Données projet'!$A$88,$BA$205^A30,IF(A30='Données projet'!$A$88,'Données projet'!$B$88,BD29+BC30-BL29)))</f>
        <v>203.20000000000002</v>
      </c>
      <c r="BE30" s="13">
        <f>BD30*VLOOKUP('Données projet'!$B$11,Paramètres!$A$1:$I$89,3,0)*VLOOKUP('Données projet'!$B$11,Paramètres!$A$1:$I$89,5,0)</f>
        <v>121.51360000000001</v>
      </c>
      <c r="BF30" s="13">
        <f t="shared" si="37"/>
        <v>32.027763694063836</v>
      </c>
      <c r="BG30" s="20">
        <f t="shared" si="7"/>
        <v>267.41787510049454</v>
      </c>
      <c r="BH30" s="59">
        <f t="shared" si="8"/>
        <v>560.75120843382786</v>
      </c>
      <c r="BI30" s="59">
        <f ca="1">AVERAGE(OFFSET($BH$3,0,0,'Données projet'!$E$11+1,1))-AVERAGE(OFFSET($H$3,0,0,'Données projet'!$E$11+1,1))</f>
        <v>284.42619963941019</v>
      </c>
      <c r="BJ30" s="59">
        <f t="shared" si="38"/>
        <v>301.41905904220812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11.909572867767311</v>
      </c>
      <c r="BQ30" s="21">
        <f>EXP(-LN(2)/25)*BQ29+(1-EXP(-LN(2)/25))/(LN(2)/25)*Calculateur!BL30*Calculateur!BN30*VLOOKUP('Données projet'!$B$11,Paramètres!$A$1:$I$89,3,0)*0.475*44/12</f>
        <v>5.0360561308651777</v>
      </c>
      <c r="BR30" s="21">
        <f>EXP(-LN(2)/2)*BR29+(1-EXP(-LN(2)/2))/(LN(2)/2)*BL30*BO30*VLOOKUP('Données projet'!$B$11,Paramètres!$A$1:$I$89,3,0)*0.475*44/12</f>
        <v>1.8668708515657217</v>
      </c>
      <c r="BS30" s="22">
        <f t="shared" si="9"/>
        <v>18.812499850198211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33</v>
      </c>
      <c r="N31" s="13">
        <f>IF('Données projet'!$A$36&gt;35,N30+M31-V30,IF(A31&lt;'Données projet'!$A$36,$K$205^A31,IF(A31='Données projet'!$A$36,'Données projet'!$B$36,N30+M31-V30)))</f>
        <v>458</v>
      </c>
      <c r="O31" s="13">
        <f>N31*VLOOKUP('Données projet'!$B$9,Paramètres!$A$1:$I$89,3,0)*VLOOKUP('Données projet'!$B$9,Paramètres!$A$1:$I$89,5,0)</f>
        <v>256.02199999999999</v>
      </c>
      <c r="P31" s="13">
        <f t="shared" si="33"/>
        <v>61.873669712051253</v>
      </c>
      <c r="Q31" s="20">
        <f t="shared" si="2"/>
        <v>553.66829141515586</v>
      </c>
      <c r="R31" s="59">
        <f t="shared" si="0"/>
        <v>847.00162474848912</v>
      </c>
      <c r="S31" s="59">
        <f ca="1">AVERAGE(OFFSET($R$3,0,0,'Données projet'!$E$9+1,1))-AVERAGE(OFFSET($H$3,0,0,'Données projet'!$E$9+1,1))</f>
        <v>490.96084572840579</v>
      </c>
      <c r="T31" s="59">
        <f t="shared" si="34"/>
        <v>597.91658789908263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16.141711211608484</v>
      </c>
      <c r="AA31" s="21">
        <f>EXP(-LN(2)/25)*AA30+(1-EXP(-LN(2)/25))/(LN(2)/25)*Calculateur!V31*Calculateur!X31*VLOOKUP('Données projet'!$B$9,Paramètres!$A$1:$I$89,3,0)*0.475*44/12</f>
        <v>11.649389623598372</v>
      </c>
      <c r="AB31" s="21">
        <f>EXP(-LN(2)/2)*AB30+(1-EXP(-LN(2)/2))/(LN(2)/2)*V31*Y31*VLOOKUP('Données projet'!$B$9,Paramètres!$A$1:$I$89,3,0)*0.475*44/12</f>
        <v>2.493833338945215</v>
      </c>
      <c r="AC31" s="22">
        <f t="shared" si="3"/>
        <v>30.28493417415207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26.666666666666668</v>
      </c>
      <c r="AI31" s="13">
        <f>IF('Données projet'!$A$62&gt;35,AI30+AH31-AQ30,IF(A31&lt;'Données projet'!$A$62,$AF$205^A31,IF(A31='Données projet'!$A$62,'Données projet'!$B$62,AI30+AH31-AQ30)))</f>
        <v>529.66666666666663</v>
      </c>
      <c r="AJ31" s="13">
        <f>AI31*VLOOKUP('Données projet'!$B$10,Paramètres!$A$1:$I$89,3,0)*VLOOKUP('Données projet'!$B$10,Paramètres!$A$1:$I$89,5,0)</f>
        <v>330.512</v>
      </c>
      <c r="AK31" s="13">
        <f t="shared" si="35"/>
        <v>77.536448254992777</v>
      </c>
      <c r="AL31" s="20">
        <f t="shared" si="4"/>
        <v>710.68438071077901</v>
      </c>
      <c r="AM31" s="59">
        <f t="shared" si="5"/>
        <v>1004.0177140441124</v>
      </c>
      <c r="AN31" s="59">
        <f ca="1">AVERAGE(OFFSET($AM$3,0,0,'Données projet'!$E$10+1,1))-AVERAGE(OFFSET($H$3,0,0,'Données projet'!$E$10+1,1))</f>
        <v>482.28841373508675</v>
      </c>
      <c r="AO31" s="59">
        <f t="shared" si="36"/>
        <v>746.97309214631684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17.600000000000001</v>
      </c>
      <c r="BD31" s="12">
        <f>IF('Données projet'!$A$88&gt;35,BD30+BC31-BL30,IF(A31&lt;'Données projet'!$A$88,$BA$205^A31,IF(A31='Données projet'!$A$88,'Données projet'!$B$88,BD30+BC31-BL30)))</f>
        <v>220.8</v>
      </c>
      <c r="BE31" s="13">
        <f>BD31*VLOOKUP('Données projet'!$B$11,Paramètres!$A$1:$I$89,3,0)*VLOOKUP('Données projet'!$B$11,Paramètres!$A$1:$I$89,5,0)</f>
        <v>132.03840000000002</v>
      </c>
      <c r="BF31" s="13">
        <f t="shared" si="37"/>
        <v>34.466946374534373</v>
      </c>
      <c r="BG31" s="20">
        <f t="shared" si="7"/>
        <v>289.99681160231404</v>
      </c>
      <c r="BH31" s="59">
        <f t="shared" si="8"/>
        <v>583.33014493564735</v>
      </c>
      <c r="BI31" s="59">
        <f ca="1">AVERAGE(OFFSET($BH$3,0,0,'Données projet'!$E$11+1,1))-AVERAGE(OFFSET($H$3,0,0,'Données projet'!$E$11+1,1))</f>
        <v>284.42619963941019</v>
      </c>
      <c r="BJ31" s="59">
        <f t="shared" si="38"/>
        <v>301.41905904220812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11.676033407952572</v>
      </c>
      <c r="BQ31" s="21">
        <f>EXP(-LN(2)/25)*BQ30+(1-EXP(-LN(2)/25))/(LN(2)/25)*Calculateur!BL31*Calculateur!BN31*VLOOKUP('Données projet'!$B$11,Paramètres!$A$1:$I$89,3,0)*0.475*44/12</f>
        <v>4.8983449111319874</v>
      </c>
      <c r="BR31" s="21">
        <f>EXP(-LN(2)/2)*BR30+(1-EXP(-LN(2)/2))/(LN(2)/2)*BL31*BO31*VLOOKUP('Données projet'!$B$11,Paramètres!$A$1:$I$89,3,0)*0.475*44/12</f>
        <v>1.3200770387416265</v>
      </c>
      <c r="BS31" s="22">
        <f t="shared" si="9"/>
        <v>17.894455357826185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33</v>
      </c>
      <c r="N32" s="13">
        <f>IF('Données projet'!$A$36&gt;35,N31+M32-V31,IF(A32&lt;'Données projet'!$A$36,$K$205^A32,IF(A32='Données projet'!$A$36,'Données projet'!$B$36,N31+M32-V31)))</f>
        <v>491</v>
      </c>
      <c r="O32" s="13">
        <f>N32*VLOOKUP('Données projet'!$B$9,Paramètres!$A$1:$I$89,3,0)*VLOOKUP('Données projet'!$B$9,Paramètres!$A$1:$I$89,5,0)</f>
        <v>274.46899999999999</v>
      </c>
      <c r="P32" s="13">
        <f t="shared" si="33"/>
        <v>65.796795812732981</v>
      </c>
      <c r="Q32" s="20">
        <f t="shared" si="2"/>
        <v>592.62959437384313</v>
      </c>
      <c r="R32" s="59">
        <f t="shared" si="0"/>
        <v>885.9629277071765</v>
      </c>
      <c r="S32" s="59">
        <f ca="1">AVERAGE(OFFSET($R$3,0,0,'Données projet'!$E$9+1,1))-AVERAGE(OFFSET($H$3,0,0,'Données projet'!$E$9+1,1))</f>
        <v>490.96084572840579</v>
      </c>
      <c r="T32" s="59">
        <f t="shared" si="34"/>
        <v>597.91658789908263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15.825182100220522</v>
      </c>
      <c r="AA32" s="21">
        <f>EXP(-LN(2)/25)*AA31+(1-EXP(-LN(2)/25))/(LN(2)/25)*Calculateur!V32*Calculateur!X32*VLOOKUP('Données projet'!$B$9,Paramètres!$A$1:$I$89,3,0)*0.475*44/12</f>
        <v>11.330836451726299</v>
      </c>
      <c r="AB32" s="21">
        <f>EXP(-LN(2)/2)*AB31+(1-EXP(-LN(2)/2))/(LN(2)/2)*V32*Y32*VLOOKUP('Données projet'!$B$9,Paramètres!$A$1:$I$89,3,0)*0.475*44/12</f>
        <v>1.7634064651172514</v>
      </c>
      <c r="AC32" s="22">
        <f t="shared" si="3"/>
        <v>28.919425017064075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26.666666666666668</v>
      </c>
      <c r="AI32" s="13">
        <f>IF('Données projet'!$A$62&gt;35,AI31+AH32-AQ31,IF(A32&lt;'Données projet'!$A$62,$AF$205^A32,IF(A32='Données projet'!$A$62,'Données projet'!$B$62,AI31+AH32-AQ31)))</f>
        <v>556.33333333333326</v>
      </c>
      <c r="AJ32" s="13">
        <f>AI32*VLOOKUP('Données projet'!$B$10,Paramètres!$A$1:$I$89,3,0)*VLOOKUP('Données projet'!$B$10,Paramètres!$A$1:$I$89,5,0)</f>
        <v>347.15199999999999</v>
      </c>
      <c r="AK32" s="13">
        <f t="shared" si="35"/>
        <v>80.975799891655086</v>
      </c>
      <c r="AL32" s="20">
        <f t="shared" si="4"/>
        <v>745.65591814463266</v>
      </c>
      <c r="AM32" s="59">
        <f t="shared" si="5"/>
        <v>1038.989251477966</v>
      </c>
      <c r="AN32" s="59">
        <f ca="1">AVERAGE(OFFSET($AM$3,0,0,'Données projet'!$E$10+1,1))-AVERAGE(OFFSET($H$3,0,0,'Données projet'!$E$10+1,1))</f>
        <v>482.28841373508675</v>
      </c>
      <c r="AO32" s="59">
        <f t="shared" si="36"/>
        <v>746.97309214631684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17.600000000000001</v>
      </c>
      <c r="BD32" s="12">
        <f>IF('Données projet'!$A$88&gt;35,BD31+BC32-BL31,IF(A32&lt;'Données projet'!$A$88,$BA$205^A32,IF(A32='Données projet'!$A$88,'Données projet'!$B$88,BD31+BC32-BL31)))</f>
        <v>238.4</v>
      </c>
      <c r="BE32" s="13">
        <f>BD32*VLOOKUP('Données projet'!$B$11,Paramètres!$A$1:$I$89,3,0)*VLOOKUP('Données projet'!$B$11,Paramètres!$A$1:$I$89,5,0)</f>
        <v>142.56319999999999</v>
      </c>
      <c r="BF32" s="13">
        <f t="shared" si="37"/>
        <v>36.883577154665602</v>
      </c>
      <c r="BG32" s="20">
        <f t="shared" si="7"/>
        <v>312.53647021104257</v>
      </c>
      <c r="BH32" s="59">
        <f t="shared" si="8"/>
        <v>605.86980354437583</v>
      </c>
      <c r="BI32" s="59">
        <f ca="1">AVERAGE(OFFSET($BH$3,0,0,'Données projet'!$E$11+1,1))-AVERAGE(OFFSET($H$3,0,0,'Données projet'!$E$11+1,1))</f>
        <v>284.42619963941019</v>
      </c>
      <c r="BJ32" s="59">
        <f t="shared" si="38"/>
        <v>301.41905904220812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11.447073514499793</v>
      </c>
      <c r="BQ32" s="21">
        <f>EXP(-LN(2)/25)*BQ31+(1-EXP(-LN(2)/25))/(LN(2)/25)*Calculateur!BL32*Calculateur!BN32*VLOOKUP('Données projet'!$B$11,Paramètres!$A$1:$I$89,3,0)*0.475*44/12</f>
        <v>4.7643994119443196</v>
      </c>
      <c r="BR32" s="21">
        <f>EXP(-LN(2)/2)*BR31+(1-EXP(-LN(2)/2))/(LN(2)/2)*BL32*BO32*VLOOKUP('Données projet'!$B$11,Paramètres!$A$1:$I$89,3,0)*0.475*44/12</f>
        <v>0.93343542578286098</v>
      </c>
      <c r="BS32" s="22">
        <f t="shared" si="9"/>
        <v>17.144908352226974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524</v>
      </c>
      <c r="L33" s="12">
        <f>VLOOKUP(A33,'Données projet'!$A$35:$I$55,9,0)</f>
        <v>33</v>
      </c>
      <c r="M33" s="12">
        <f t="array" ref="M33">INDEX(L:L,MIN(IF(ISNUMBER(L33:L229),ROW(L33:L229),"")))</f>
        <v>33</v>
      </c>
      <c r="N33" s="13">
        <f>IF('Données projet'!$A$36&gt;35,N32+M33-V32,IF(A33&lt;'Données projet'!$A$36,$K$205^A33,IF(A33='Données projet'!$A$36,'Données projet'!$B$36,N32+M33-V32)))</f>
        <v>524</v>
      </c>
      <c r="O33" s="13">
        <f>N33*VLOOKUP('Données projet'!$B$9,Paramètres!$A$1:$I$89,3,0)*VLOOKUP('Données projet'!$B$9,Paramètres!$A$1:$I$89,5,0)</f>
        <v>292.916</v>
      </c>
      <c r="P33" s="13">
        <f t="shared" si="33"/>
        <v>69.68932587703776</v>
      </c>
      <c r="Q33" s="20">
        <f t="shared" si="2"/>
        <v>631.53760923584082</v>
      </c>
      <c r="R33" s="59">
        <f t="shared" si="0"/>
        <v>924.87094256917408</v>
      </c>
      <c r="S33" s="59">
        <f ca="1">AVERAGE(OFFSET($R$3,0,0,'Données projet'!$E$9+1,1))-AVERAGE(OFFSET($H$3,0,0,'Données projet'!$E$9+1,1))</f>
        <v>490.96084572840579</v>
      </c>
      <c r="T33" s="59">
        <f t="shared" si="34"/>
        <v>597.91658789908263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90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9.3500000000000014E-2</v>
      </c>
      <c r="Y33" s="16">
        <f>IF(ISNA(VLOOKUP(A33,'Données projet'!$A$35:$I$55,7,0)),0%,VLOOKUP(A33,'Données projet'!$A$35:$I$55,7,0))</f>
        <v>0.13</v>
      </c>
      <c r="Z33" s="21">
        <f>EXP(-LN(2)/35)*Z32+(1-EXP(-LN(2)/35))/(LN(2)/35)*V33*W33*VLOOKUP('Données projet'!$B$9,Paramètres!$A$1:$I$89,3,0)*0.475*44/12</f>
        <v>41.209551166611043</v>
      </c>
      <c r="AA33" s="21">
        <f>EXP(-LN(2)/25)*AA32+(1-EXP(-LN(2)/25))/(LN(2)/25)*Calculateur!V33*Calculateur!X33*VLOOKUP('Données projet'!$B$9,Paramètres!$A$1:$I$89,3,0)*0.475*44/12</f>
        <v>17.236563626908548</v>
      </c>
      <c r="AB33" s="21">
        <f>EXP(-LN(2)/2)*AB32+(1-EXP(-LN(2)/2))/(LN(2)/2)*V33*Y33*VLOOKUP('Données projet'!$B$9,Paramètres!$A$1:$I$89,3,0)*0.475*44/12</f>
        <v>8.652055564984952</v>
      </c>
      <c r="AC33" s="22">
        <f t="shared" si="3"/>
        <v>67.098170358504547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583</v>
      </c>
      <c r="AG33" s="12">
        <f>VLOOKUP(A33,'Données projet'!$A$61:$I$81,9,0)</f>
        <v>26.666666666666668</v>
      </c>
      <c r="AH33" s="12">
        <f t="array" ref="AH33">INDEX(AG:AG,MIN(IF(ISNUMBER(AG33:AG229),ROW(AG33:AG229),"")))</f>
        <v>26.666666666666668</v>
      </c>
      <c r="AI33" s="13">
        <f>IF('Données projet'!$A$62&gt;35,AI32+AH33-AQ32,IF(A33&lt;'Données projet'!$A$62,$AF$205^A33,IF(A33='Données projet'!$A$62,'Données projet'!$B$62,AI32+AH33-AQ32)))</f>
        <v>582.99999999999989</v>
      </c>
      <c r="AJ33" s="13">
        <f>AI33*VLOOKUP('Données projet'!$B$10,Paramètres!$A$1:$I$89,3,0)*VLOOKUP('Données projet'!$B$10,Paramètres!$A$1:$I$89,5,0)</f>
        <v>363.79199999999992</v>
      </c>
      <c r="AK33" s="13">
        <f t="shared" si="35"/>
        <v>84.396007741478613</v>
      </c>
      <c r="AL33" s="20">
        <f t="shared" si="4"/>
        <v>780.59411348307503</v>
      </c>
      <c r="AM33" s="59">
        <f t="shared" si="5"/>
        <v>1073.9274468164083</v>
      </c>
      <c r="AN33" s="59">
        <f ca="1">AVERAGE(OFFSET($AM$3,0,0,'Données projet'!$E$10+1,1))-AVERAGE(OFFSET($H$3,0,0,'Données projet'!$E$10+1,1))</f>
        <v>482.28841373508675</v>
      </c>
      <c r="AO33" s="59">
        <f t="shared" si="36"/>
        <v>746.97309214631684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107</v>
      </c>
      <c r="AR33" s="16">
        <f>IF(ISNA(VLOOKUP(A33,'Données projet'!$A$61:$I$81,5,0)),0%,VLOOKUP(A33,'Données projet'!$A$61:$I$81,5,0)*VLOOKUP('Données projet'!$B$10,Paramètres!$A$1:$I$89,7,0))</f>
        <v>0.42</v>
      </c>
      <c r="AS33" s="16">
        <f>IF(ISNA(VLOOKUP(A33,'Données projet'!$A$61:$I$81,6,0)),0%,VLOOKUP(A33,'Données projet'!$A$61:$I$81,6,0)*VLOOKUP('Données projet'!$B$10,Paramètres!$A$1:$I$89,7,0))</f>
        <v>0.1008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37.200263335530629</v>
      </c>
      <c r="AV33" s="21">
        <f>EXP(-LN(2)/25)*AV32+(1-EXP(-LN(2)/25))/(LN(2)/25)*Calculateur!AQ33*Calculateur!AS33*VLOOKUP('Données projet'!$B$10,Paramètres!$A$1:$I$89,3,0)*0.475*44/12</f>
        <v>8.8929100138480948</v>
      </c>
      <c r="AW33" s="21">
        <f>EXP(-LN(2)/2)*AW32+(1-EXP(-LN(2)/2))/(LN(2)/2)*AQ33*AT33*VLOOKUP('Données projet'!$B$10,Paramètres!$A$1:$I$89,3,0)*0.475*44/12</f>
        <v>9.978788957444614</v>
      </c>
      <c r="AX33" s="21">
        <f t="shared" si="6"/>
        <v>56.071962306823337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256</v>
      </c>
      <c r="BB33" s="12">
        <f>VLOOKUP(A33,'Données projet'!$A$87:$I$107,9,0)</f>
        <v>17.600000000000001</v>
      </c>
      <c r="BC33" s="12">
        <f t="array" ref="BC33">INDEX(BB:BB,MIN(IF(ISNUMBER(BB33:BB229),ROW(BB33:BB229),"")))</f>
        <v>17.600000000000001</v>
      </c>
      <c r="BD33" s="12">
        <f>IF('Données projet'!$A$88&gt;35,BD32+BC33-BL32,IF(A33&lt;'Données projet'!$A$88,$BA$205^A33,IF(A33='Données projet'!$A$88,'Données projet'!$B$88,BD32+BC33-BL32)))</f>
        <v>256</v>
      </c>
      <c r="BE33" s="13">
        <f>BD33*VLOOKUP('Données projet'!$B$11,Paramètres!$A$1:$I$89,3,0)*VLOOKUP('Données projet'!$B$11,Paramètres!$A$1:$I$89,5,0)</f>
        <v>153.08800000000002</v>
      </c>
      <c r="BF33" s="13">
        <f t="shared" si="37"/>
        <v>39.27951026543515</v>
      </c>
      <c r="BG33" s="20">
        <f t="shared" si="7"/>
        <v>335.04008037896625</v>
      </c>
      <c r="BH33" s="59">
        <f t="shared" si="8"/>
        <v>628.37341371229957</v>
      </c>
      <c r="BI33" s="59">
        <f ca="1">AVERAGE(OFFSET($BH$3,0,0,'Données projet'!$E$11+1,1))-AVERAGE(OFFSET($H$3,0,0,'Données projet'!$E$11+1,1))</f>
        <v>284.42619963941019</v>
      </c>
      <c r="BJ33" s="59">
        <f t="shared" si="38"/>
        <v>301.41905904220812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54</v>
      </c>
      <c r="BM33" s="16">
        <f>IF(ISNA(VLOOKUP(A33,'Données projet'!$A$87:$I$107,5,0)),0%,VLOOKUP(A33,'Données projet'!$A$87:$I$107,5,0)*VLOOKUP('Données projet'!$B$11,Paramètres!$A$1:$I$89,7,0))</f>
        <v>0.315</v>
      </c>
      <c r="BN33" s="16">
        <f>IF(ISNA(VLOOKUP(A33,'Données projet'!$A$87:$I$107,6,0)),0%,VLOOKUP(A33,'Données projet'!$A$87:$I$107,6,0)*VLOOKUP('Données projet'!$B$11,Paramètres!$A$1:$I$89,7,0))</f>
        <v>7.5600000000000001E-2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24.71639049434777</v>
      </c>
      <c r="BQ33" s="21">
        <f>EXP(-LN(2)/25)*BQ32+(1-EXP(-LN(2)/25))/(LN(2)/25)*Calculateur!BL33*Calculateur!BN33*VLOOKUP('Données projet'!$B$11,Paramètres!$A$1:$I$89,3,0)*0.475*44/12</f>
        <v>7.8598743222092766</v>
      </c>
      <c r="BR33" s="21">
        <f>EXP(-LN(2)/2)*BR32+(1-EXP(-LN(2)/2))/(LN(2)/2)*BL33*BO33*VLOOKUP('Données projet'!$B$11,Paramètres!$A$1:$I$89,3,0)*0.475*44/12</f>
        <v>5.4862285057984659</v>
      </c>
      <c r="BS33" s="22">
        <f t="shared" si="9"/>
        <v>38.062493322355515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28.4</v>
      </c>
      <c r="N34" s="13">
        <f>IF('Données projet'!$A$36&gt;35,N33+M34-V33,IF(A34&lt;'Données projet'!$A$36,$K$205^A34,IF(A34='Données projet'!$A$36,'Données projet'!$B$36,N33+M34-V33)))</f>
        <v>462.4</v>
      </c>
      <c r="O34" s="13">
        <f>N34*VLOOKUP('Données projet'!$B$9,Paramètres!$A$1:$I$89,3,0)*VLOOKUP('Données projet'!$B$9,Paramètres!$A$1:$I$89,5,0)</f>
        <v>258.48160000000001</v>
      </c>
      <c r="P34" s="13">
        <f t="shared" si="33"/>
        <v>62.398606187610767</v>
      </c>
      <c r="Q34" s="20">
        <f t="shared" si="2"/>
        <v>558.86635911008875</v>
      </c>
      <c r="R34" s="59">
        <f t="shared" si="0"/>
        <v>852.19969244342201</v>
      </c>
      <c r="S34" s="59">
        <f ca="1">AVERAGE(OFFSET($R$3,0,0,'Données projet'!$E$9+1,1))-AVERAGE(OFFSET($H$3,0,0,'Données projet'!$E$9+1,1))</f>
        <v>490.96084572840579</v>
      </c>
      <c r="T34" s="59">
        <f t="shared" si="34"/>
        <v>597.91658789908263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40.401457003578102</v>
      </c>
      <c r="AA34" s="21">
        <f>EXP(-LN(2)/25)*AA33+(1-EXP(-LN(2)/25))/(LN(2)/25)*Calculateur!V34*Calculateur!X34*VLOOKUP('Données projet'!$B$9,Paramètres!$A$1:$I$89,3,0)*0.475*44/12</f>
        <v>16.765228888099248</v>
      </c>
      <c r="AB34" s="21">
        <f>EXP(-LN(2)/2)*AB33+(1-EXP(-LN(2)/2))/(LN(2)/2)*V34*Y34*VLOOKUP('Données projet'!$B$9,Paramètres!$A$1:$I$89,3,0)*0.475*44/12</f>
        <v>6.1179271612036654</v>
      </c>
      <c r="AC34" s="22">
        <f t="shared" si="3"/>
        <v>63.284613052881014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24.166666666666668</v>
      </c>
      <c r="AI34" s="13">
        <f>IF('Données projet'!$A$62&gt;35,AI33+AH34-AQ33,IF(A34&lt;'Données projet'!$A$62,$AF$205^A34,IF(A34='Données projet'!$A$62,'Données projet'!$B$62,AI33+AH34-AQ33)))</f>
        <v>500.16666666666652</v>
      </c>
      <c r="AJ34" s="13">
        <f>AI34*VLOOKUP('Données projet'!$B$10,Paramètres!$A$1:$I$89,3,0)*VLOOKUP('Données projet'!$B$10,Paramètres!$A$1:$I$89,5,0)</f>
        <v>312.10399999999993</v>
      </c>
      <c r="AK34" s="13">
        <f t="shared" si="35"/>
        <v>73.708055983546572</v>
      </c>
      <c r="AL34" s="20">
        <f t="shared" si="4"/>
        <v>671.9559975046767</v>
      </c>
      <c r="AM34" s="59">
        <f t="shared" si="5"/>
        <v>965.28933083801007</v>
      </c>
      <c r="AN34" s="59">
        <f ca="1">AVERAGE(OFFSET($AM$3,0,0,'Données projet'!$E$10+1,1))-AVERAGE(OFFSET($H$3,0,0,'Données projet'!$E$10+1,1))</f>
        <v>482.28841373508675</v>
      </c>
      <c r="AO34" s="59">
        <f t="shared" si="36"/>
        <v>746.97309214631684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36.470788861441065</v>
      </c>
      <c r="AV34" s="21">
        <f>EXP(-LN(2)/25)*AV33+(1-EXP(-LN(2)/25))/(LN(2)/25)*Calculateur!AQ34*Calculateur!AS34*VLOOKUP('Données projet'!$B$10,Paramètres!$A$1:$I$89,3,0)*0.475*44/12</f>
        <v>8.6497329218616059</v>
      </c>
      <c r="AW34" s="21">
        <f>EXP(-LN(2)/2)*AW33+(1-EXP(-LN(2)/2))/(LN(2)/2)*AQ34*AT34*VLOOKUP('Données projet'!$B$10,Paramètres!$A$1:$I$89,3,0)*0.475*44/12</f>
        <v>7.0560693398385261</v>
      </c>
      <c r="AX34" s="21">
        <f t="shared" si="6"/>
        <v>52.176591123141193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18.8</v>
      </c>
      <c r="BD34" s="12">
        <f>IF('Données projet'!$A$88&gt;35,BD33+BC34-BL33,IF(A34&lt;'Données projet'!$A$88,$BA$205^A34,IF(A34='Données projet'!$A$88,'Données projet'!$B$88,BD33+BC34-BL33)))</f>
        <v>220.8</v>
      </c>
      <c r="BE34" s="13">
        <f>BD34*VLOOKUP('Données projet'!$B$11,Paramètres!$A$1:$I$89,3,0)*VLOOKUP('Données projet'!$B$11,Paramètres!$A$1:$I$89,5,0)</f>
        <v>132.03840000000002</v>
      </c>
      <c r="BF34" s="13">
        <f t="shared" si="37"/>
        <v>34.466946374534373</v>
      </c>
      <c r="BG34" s="20">
        <f t="shared" si="7"/>
        <v>289.99681160231404</v>
      </c>
      <c r="BH34" s="59">
        <f t="shared" si="8"/>
        <v>583.33014493564735</v>
      </c>
      <c r="BI34" s="59">
        <f ca="1">AVERAGE(OFFSET($BH$3,0,0,'Données projet'!$E$11+1,1))-AVERAGE(OFFSET($H$3,0,0,'Données projet'!$E$11+1,1))</f>
        <v>284.42619963941019</v>
      </c>
      <c r="BJ34" s="59">
        <f t="shared" si="38"/>
        <v>301.41905904220812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24.231717152263229</v>
      </c>
      <c r="BQ34" s="21">
        <f>EXP(-LN(2)/25)*BQ33+(1-EXP(-LN(2)/25))/(LN(2)/25)*Calculateur!BL34*Calculateur!BN34*VLOOKUP('Données projet'!$B$11,Paramètres!$A$1:$I$89,3,0)*0.475*44/12</f>
        <v>7.6449456455356373</v>
      </c>
      <c r="BR34" s="21">
        <f>EXP(-LN(2)/2)*BR33+(1-EXP(-LN(2)/2))/(LN(2)/2)*BL34*BO34*VLOOKUP('Données projet'!$B$11,Paramètres!$A$1:$I$89,3,0)*0.475*44/12</f>
        <v>3.8793493795890357</v>
      </c>
      <c r="BS34" s="22">
        <f t="shared" si="9"/>
        <v>35.756012177387902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28.4</v>
      </c>
      <c r="N35" s="13">
        <f>IF('Données projet'!$A$36&gt;35,N34+M35-V34,IF(A35&lt;'Données projet'!$A$36,$K$205^A35,IF(A35='Données projet'!$A$36,'Données projet'!$B$36,N34+M35-V34)))</f>
        <v>490.79999999999995</v>
      </c>
      <c r="O35" s="13">
        <f>N35*VLOOKUP('Données projet'!$B$9,Paramètres!$A$1:$I$89,3,0)*VLOOKUP('Données projet'!$B$9,Paramètres!$A$1:$I$89,5,0)</f>
        <v>274.35719999999998</v>
      </c>
      <c r="P35" s="13">
        <f t="shared" si="33"/>
        <v>65.773113764972635</v>
      </c>
      <c r="Q35" s="20">
        <f t="shared" ref="Q35:Q66" si="53">(O35+P35)*0.475*44/12</f>
        <v>592.39362980732722</v>
      </c>
      <c r="R35" s="59">
        <f t="shared" si="0"/>
        <v>885.72696314066047</v>
      </c>
      <c r="S35" s="59">
        <f ca="1">AVERAGE(OFFSET($R$3,0,0,'Données projet'!$E$9+1,1))-AVERAGE(OFFSET($H$3,0,0,'Données projet'!$E$9+1,1))</f>
        <v>490.96084572840579</v>
      </c>
      <c r="T35" s="59">
        <f t="shared" si="34"/>
        <v>597.91658789908263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39.609209074193465</v>
      </c>
      <c r="AA35" s="21">
        <f>EXP(-LN(2)/25)*AA34+(1-EXP(-LN(2)/25))/(LN(2)/25)*Calculateur!V35*Calculateur!X35*VLOOKUP('Données projet'!$B$9,Paramètres!$A$1:$I$89,3,0)*0.475*44/12</f>
        <v>16.306782822509103</v>
      </c>
      <c r="AB35" s="21">
        <f>EXP(-LN(2)/2)*AB34+(1-EXP(-LN(2)/2))/(LN(2)/2)*V35*Y35*VLOOKUP('Données projet'!$B$9,Paramètres!$A$1:$I$89,3,0)*0.475*44/12</f>
        <v>4.326027782492476</v>
      </c>
      <c r="AC35" s="22">
        <f t="shared" si="3"/>
        <v>60.242019679195039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24.166666666666668</v>
      </c>
      <c r="AI35" s="13">
        <f>IF('Données projet'!$A$62&gt;35,AI34+AH35-AQ34,IF(A35&lt;'Données projet'!$A$62,$AF$205^A35,IF(A35='Données projet'!$A$62,'Données projet'!$B$62,AI34+AH35-AQ34)))</f>
        <v>524.33333333333314</v>
      </c>
      <c r="AJ35" s="13">
        <f>AI35*VLOOKUP('Données projet'!$B$10,Paramètres!$A$1:$I$89,3,0)*VLOOKUP('Données projet'!$B$10,Paramètres!$A$1:$I$89,5,0)</f>
        <v>327.18399999999986</v>
      </c>
      <c r="AK35" s="13">
        <f t="shared" si="35"/>
        <v>76.846187648536301</v>
      </c>
      <c r="AL35" s="20">
        <f t="shared" si="4"/>
        <v>703.68591015453387</v>
      </c>
      <c r="AM35" s="59">
        <f t="shared" si="5"/>
        <v>997.01924348786724</v>
      </c>
      <c r="AN35" s="59">
        <f ca="1">AVERAGE(OFFSET($AM$3,0,0,'Données projet'!$E$10+1,1))-AVERAGE(OFFSET($H$3,0,0,'Données projet'!$E$10+1,1))</f>
        <v>482.28841373508675</v>
      </c>
      <c r="AO35" s="59">
        <f t="shared" si="36"/>
        <v>746.97309214631684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35.755618936852905</v>
      </c>
      <c r="AV35" s="21">
        <f>EXP(-LN(2)/25)*AV34+(1-EXP(-LN(2)/25))/(LN(2)/25)*Calculateur!AQ35*Calculateur!AS35*VLOOKUP('Données projet'!$B$10,Paramètres!$A$1:$I$89,3,0)*0.475*44/12</f>
        <v>8.4132055202436149</v>
      </c>
      <c r="AW35" s="21">
        <f>EXP(-LN(2)/2)*AW34+(1-EXP(-LN(2)/2))/(LN(2)/2)*AQ35*AT35*VLOOKUP('Données projet'!$B$10,Paramètres!$A$1:$I$89,3,0)*0.475*44/12</f>
        <v>4.9893944787223079</v>
      </c>
      <c r="AX35" s="21">
        <f t="shared" si="6"/>
        <v>49.15821893581883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18.8</v>
      </c>
      <c r="BD35" s="12">
        <f>IF('Données projet'!$A$88&gt;35,BD34+BC35-BL34,IF(A35&lt;'Données projet'!$A$88,$BA$205^A35,IF(A35='Données projet'!$A$88,'Données projet'!$B$88,BD34+BC35-BL34)))</f>
        <v>239.60000000000002</v>
      </c>
      <c r="BE35" s="13">
        <f>BD35*VLOOKUP('Données projet'!$B$11,Paramètres!$A$1:$I$89,3,0)*VLOOKUP('Données projet'!$B$11,Paramètres!$A$1:$I$89,5,0)</f>
        <v>143.28080000000003</v>
      </c>
      <c r="BF35" s="13">
        <f t="shared" si="37"/>
        <v>37.047574465948976</v>
      </c>
      <c r="BG35" s="20">
        <f t="shared" si="7"/>
        <v>314.07191886152782</v>
      </c>
      <c r="BH35" s="59">
        <f t="shared" si="8"/>
        <v>607.40525219486108</v>
      </c>
      <c r="BI35" s="59">
        <f ca="1">AVERAGE(OFFSET($BH$3,0,0,'Données projet'!$E$11+1,1))-AVERAGE(OFFSET($H$3,0,0,'Données projet'!$E$11+1,1))</f>
        <v>284.42619963941019</v>
      </c>
      <c r="BJ35" s="59">
        <f t="shared" si="38"/>
        <v>301.41905904220812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23.756547958795416</v>
      </c>
      <c r="BQ35" s="21">
        <f>EXP(-LN(2)/25)*BQ34+(1-EXP(-LN(2)/25))/(LN(2)/25)*Calculateur!BL35*Calculateur!BN35*VLOOKUP('Données projet'!$B$11,Paramètres!$A$1:$I$89,3,0)*0.475*44/12</f>
        <v>7.4358942048282461</v>
      </c>
      <c r="BR35" s="21">
        <f>EXP(-LN(2)/2)*BR34+(1-EXP(-LN(2)/2))/(LN(2)/2)*BL35*BO35*VLOOKUP('Données projet'!$B$11,Paramètres!$A$1:$I$89,3,0)*0.475*44/12</f>
        <v>2.7431142528992334</v>
      </c>
      <c r="BS35" s="22">
        <f t="shared" si="9"/>
        <v>33.935556416522893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28.4</v>
      </c>
      <c r="N36" s="13">
        <f>IF('Données projet'!$A$36&gt;35,N35+M36-V35,IF(A36&lt;'Données projet'!$A$36,$K$205^A36,IF(A36='Données projet'!$A$36,'Données projet'!$B$36,N35+M36-V35)))</f>
        <v>519.19999999999993</v>
      </c>
      <c r="O36" s="13">
        <f>N36*VLOOKUP('Données projet'!$B$9,Paramètres!$A$1:$I$89,3,0)*VLOOKUP('Données projet'!$B$9,Paramètres!$A$1:$I$89,5,0)</f>
        <v>290.2328</v>
      </c>
      <c r="P36" s="13">
        <f t="shared" si="33"/>
        <v>69.124955529636495</v>
      </c>
      <c r="Q36" s="20">
        <f t="shared" si="53"/>
        <v>625.88142421411692</v>
      </c>
      <c r="R36" s="59">
        <f t="shared" si="0"/>
        <v>919.21475754745029</v>
      </c>
      <c r="S36" s="59">
        <f ca="1">AVERAGE(OFFSET($R$3,0,0,'Données projet'!$E$9+1,1))-AVERAGE(OFFSET($H$3,0,0,'Données projet'!$E$9+1,1))</f>
        <v>490.96084572840579</v>
      </c>
      <c r="T36" s="59">
        <f t="shared" si="34"/>
        <v>597.91658789908263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38.832496643480539</v>
      </c>
      <c r="AA36" s="21">
        <f>EXP(-LN(2)/25)*AA35+(1-EXP(-LN(2)/25))/(LN(2)/25)*Calculateur!V36*Calculateur!X36*VLOOKUP('Données projet'!$B$9,Paramètres!$A$1:$I$89,3,0)*0.475*44/12</f>
        <v>15.860872988691153</v>
      </c>
      <c r="AB36" s="21">
        <f>EXP(-LN(2)/2)*AB35+(1-EXP(-LN(2)/2))/(LN(2)/2)*V36*Y36*VLOOKUP('Données projet'!$B$9,Paramètres!$A$1:$I$89,3,0)*0.475*44/12</f>
        <v>3.0589635806018327</v>
      </c>
      <c r="AC36" s="22">
        <f t="shared" si="3"/>
        <v>57.752333212773529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24.166666666666668</v>
      </c>
      <c r="AI36" s="13">
        <f>IF('Données projet'!$A$62&gt;35,AI35+AH36-AQ35,IF(A36&lt;'Données projet'!$A$62,$AF$205^A36,IF(A36='Données projet'!$A$62,'Données projet'!$B$62,AI35+AH36-AQ35)))</f>
        <v>548.49999999999977</v>
      </c>
      <c r="AJ36" s="13">
        <f>AI36*VLOOKUP('Données projet'!$B$10,Paramètres!$A$1:$I$89,3,0)*VLOOKUP('Données projet'!$B$10,Paramètres!$A$1:$I$89,5,0)</f>
        <v>342.26399999999984</v>
      </c>
      <c r="AK36" s="13">
        <f t="shared" si="35"/>
        <v>79.967522327492162</v>
      </c>
      <c r="AL36" s="20">
        <f t="shared" si="4"/>
        <v>735.38656805371522</v>
      </c>
      <c r="AM36" s="59">
        <f t="shared" si="5"/>
        <v>1028.7199013870486</v>
      </c>
      <c r="AN36" s="59">
        <f ca="1">AVERAGE(OFFSET($AM$3,0,0,'Données projet'!$E$10+1,1))-AVERAGE(OFFSET($H$3,0,0,'Données projet'!$E$10+1,1))</f>
        <v>482.28841373508675</v>
      </c>
      <c r="AO36" s="59">
        <f t="shared" si="36"/>
        <v>746.97309214631684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35.054473058275335</v>
      </c>
      <c r="AV36" s="21">
        <f>EXP(-LN(2)/25)*AV35+(1-EXP(-LN(2)/25))/(LN(2)/25)*Calculateur!AQ36*Calculateur!AS36*VLOOKUP('Données projet'!$B$10,Paramètres!$A$1:$I$89,3,0)*0.475*44/12</f>
        <v>8.1831459728613041</v>
      </c>
      <c r="AW36" s="21">
        <f>EXP(-LN(2)/2)*AW35+(1-EXP(-LN(2)/2))/(LN(2)/2)*AQ36*AT36*VLOOKUP('Données projet'!$B$10,Paramètres!$A$1:$I$89,3,0)*0.475*44/12</f>
        <v>3.5280346699192635</v>
      </c>
      <c r="AX36" s="21">
        <f t="shared" si="6"/>
        <v>46.765653701055903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18.8</v>
      </c>
      <c r="BD36" s="12">
        <f>IF('Données projet'!$A$88&gt;35,BD35+BC36-BL35,IF(A36&lt;'Données projet'!$A$88,$BA$205^A36,IF(A36='Données projet'!$A$88,'Données projet'!$B$88,BD35+BC36-BL35)))</f>
        <v>258.40000000000003</v>
      </c>
      <c r="BE36" s="13">
        <f>BD36*VLOOKUP('Données projet'!$B$11,Paramètres!$A$1:$I$89,3,0)*VLOOKUP('Données projet'!$B$11,Paramètres!$A$1:$I$89,5,0)</f>
        <v>154.52320000000003</v>
      </c>
      <c r="BF36" s="13">
        <f t="shared" si="37"/>
        <v>39.60471498856284</v>
      </c>
      <c r="BG36" s="20">
        <f t="shared" si="7"/>
        <v>338.10611860508033</v>
      </c>
      <c r="BH36" s="59">
        <f t="shared" si="8"/>
        <v>631.43945193841364</v>
      </c>
      <c r="BI36" s="59">
        <f ca="1">AVERAGE(OFFSET($BH$3,0,0,'Données projet'!$E$11+1,1))-AVERAGE(OFFSET($H$3,0,0,'Données projet'!$E$11+1,1))</f>
        <v>284.42619963941019</v>
      </c>
      <c r="BJ36" s="59">
        <f t="shared" si="38"/>
        <v>301.41905904220812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23.290696543386918</v>
      </c>
      <c r="BQ36" s="21">
        <f>EXP(-LN(2)/25)*BQ35+(1-EXP(-LN(2)/25))/(LN(2)/25)*Calculateur!BL36*Calculateur!BN36*VLOOKUP('Données projet'!$B$11,Paramètres!$A$1:$I$89,3,0)*0.475*44/12</f>
        <v>7.2325592867605364</v>
      </c>
      <c r="BR36" s="21">
        <f>EXP(-LN(2)/2)*BR35+(1-EXP(-LN(2)/2))/(LN(2)/2)*BL36*BO36*VLOOKUP('Données projet'!$B$11,Paramètres!$A$1:$I$89,3,0)*0.475*44/12</f>
        <v>1.9396746897945181</v>
      </c>
      <c r="BS36" s="22">
        <f t="shared" si="9"/>
        <v>32.46293051994197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28.4</v>
      </c>
      <c r="N37" s="13">
        <f>IF('Données projet'!$A$36&gt;35,N36+M37-V36,IF(A37&lt;'Données projet'!$A$36,$K$205^A37,IF(A37='Données projet'!$A$36,'Données projet'!$B$36,N36+M37-V36)))</f>
        <v>547.59999999999991</v>
      </c>
      <c r="O37" s="13">
        <f>N37*VLOOKUP('Données projet'!$B$9,Paramètres!$A$1:$I$89,3,0)*VLOOKUP('Données projet'!$B$9,Paramètres!$A$1:$I$89,5,0)</f>
        <v>306.10839999999996</v>
      </c>
      <c r="P37" s="13">
        <f t="shared" si="33"/>
        <v>72.455512621968097</v>
      </c>
      <c r="Q37" s="20">
        <f t="shared" si="53"/>
        <v>659.33214781659433</v>
      </c>
      <c r="R37" s="59">
        <f t="shared" si="0"/>
        <v>952.6654811499277</v>
      </c>
      <c r="S37" s="59">
        <f ca="1">AVERAGE(OFFSET($R$3,0,0,'Données projet'!$E$9+1,1))-AVERAGE(OFFSET($H$3,0,0,'Données projet'!$E$9+1,1))</f>
        <v>490.96084572840579</v>
      </c>
      <c r="T37" s="59">
        <f t="shared" si="34"/>
        <v>597.91658789908263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38.071015069786093</v>
      </c>
      <c r="AA37" s="21">
        <f>EXP(-LN(2)/25)*AA36+(1-EXP(-LN(2)/25))/(LN(2)/25)*Calculateur!V37*Calculateur!X37*VLOOKUP('Données projet'!$B$9,Paramètres!$A$1:$I$89,3,0)*0.475*44/12</f>
        <v>15.427156582728333</v>
      </c>
      <c r="AB37" s="21">
        <f>EXP(-LN(2)/2)*AB36+(1-EXP(-LN(2)/2))/(LN(2)/2)*V37*Y37*VLOOKUP('Données projet'!$B$9,Paramètres!$A$1:$I$89,3,0)*0.475*44/12</f>
        <v>2.163013891246238</v>
      </c>
      <c r="AC37" s="22">
        <f t="shared" si="3"/>
        <v>55.661185543760666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24.166666666666668</v>
      </c>
      <c r="AI37" s="13">
        <f>IF('Données projet'!$A$62&gt;35,AI36+AH37-AQ36,IF(A37&lt;'Données projet'!$A$62,$AF$205^A37,IF(A37='Données projet'!$A$62,'Données projet'!$B$62,AI36+AH37-AQ36)))</f>
        <v>572.6666666666664</v>
      </c>
      <c r="AJ37" s="13">
        <f>AI37*VLOOKUP('Données projet'!$B$10,Paramètres!$A$1:$I$89,3,0)*VLOOKUP('Données projet'!$B$10,Paramètres!$A$1:$I$89,5,0)</f>
        <v>357.34399999999988</v>
      </c>
      <c r="AK37" s="13">
        <f t="shared" si="35"/>
        <v>83.07288466186094</v>
      </c>
      <c r="AL37" s="20">
        <f t="shared" si="4"/>
        <v>767.05940745274086</v>
      </c>
      <c r="AM37" s="59">
        <f t="shared" si="5"/>
        <v>1060.3927407860742</v>
      </c>
      <c r="AN37" s="59">
        <f ca="1">AVERAGE(OFFSET($AM$3,0,0,'Données projet'!$E$10+1,1))-AVERAGE(OFFSET($H$3,0,0,'Données projet'!$E$10+1,1))</f>
        <v>482.28841373508675</v>
      </c>
      <c r="AO37" s="59">
        <f t="shared" si="36"/>
        <v>746.97309214631684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34.367076222719909</v>
      </c>
      <c r="AV37" s="21">
        <f>EXP(-LN(2)/25)*AV36+(1-EXP(-LN(2)/25))/(LN(2)/25)*Calculateur!AQ37*Calculateur!AS37*VLOOKUP('Données projet'!$B$10,Paramètres!$A$1:$I$89,3,0)*0.475*44/12</f>
        <v>7.9593774159004678</v>
      </c>
      <c r="AW37" s="21">
        <f>EXP(-LN(2)/2)*AW36+(1-EXP(-LN(2)/2))/(LN(2)/2)*AQ37*AT37*VLOOKUP('Données projet'!$B$10,Paramètres!$A$1:$I$89,3,0)*0.475*44/12</f>
        <v>2.4946972393611544</v>
      </c>
      <c r="AX37" s="21">
        <f t="shared" si="6"/>
        <v>44.82115087798153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18.8</v>
      </c>
      <c r="BD37" s="12">
        <f>IF('Données projet'!$A$88&gt;35,BD36+BC37-BL36,IF(A37&lt;'Données projet'!$A$88,$BA$205^A37,IF(A37='Données projet'!$A$88,'Données projet'!$B$88,BD36+BC37-BL36)))</f>
        <v>277.20000000000005</v>
      </c>
      <c r="BE37" s="13">
        <f>BD37*VLOOKUP('Données projet'!$B$11,Paramètres!$A$1:$I$89,3,0)*VLOOKUP('Données projet'!$B$11,Paramètres!$A$1:$I$89,5,0)</f>
        <v>165.76560000000003</v>
      </c>
      <c r="BF37" s="13">
        <f t="shared" si="37"/>
        <v>42.140271125684265</v>
      </c>
      <c r="BG37" s="20">
        <f t="shared" si="7"/>
        <v>362.10272554390014</v>
      </c>
      <c r="BH37" s="59">
        <f t="shared" si="8"/>
        <v>655.43605887723345</v>
      </c>
      <c r="BI37" s="59">
        <f ca="1">AVERAGE(OFFSET($BH$3,0,0,'Données projet'!$E$11+1,1))-AVERAGE(OFFSET($H$3,0,0,'Données projet'!$E$11+1,1))</f>
        <v>284.42619963941019</v>
      </c>
      <c r="BJ37" s="59">
        <f t="shared" si="38"/>
        <v>301.41905904220812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22.833980190093275</v>
      </c>
      <c r="BQ37" s="21">
        <f>EXP(-LN(2)/25)*BQ36+(1-EXP(-LN(2)/25))/(LN(2)/25)*Calculateur!BL37*Calculateur!BN37*VLOOKUP('Données projet'!$B$11,Paramètres!$A$1:$I$89,3,0)*0.475*44/12</f>
        <v>7.0347845727203069</v>
      </c>
      <c r="BR37" s="21">
        <f>EXP(-LN(2)/2)*BR36+(1-EXP(-LN(2)/2))/(LN(2)/2)*BL37*BO37*VLOOKUP('Données projet'!$B$11,Paramètres!$A$1:$I$89,3,0)*0.475*44/12</f>
        <v>1.3715571264496169</v>
      </c>
      <c r="BS37" s="22">
        <f t="shared" si="9"/>
        <v>31.2403218892632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576</v>
      </c>
      <c r="L38" s="12">
        <f>VLOOKUP(A38,'Données projet'!$A$35:$I$55,9,0)</f>
        <v>28.4</v>
      </c>
      <c r="M38" s="12">
        <f t="array" ref="M38">INDEX(L:L,MIN(IF(ISNUMBER(L38:L234),ROW(L38:L234),"")))</f>
        <v>28.4</v>
      </c>
      <c r="N38" s="13">
        <f>IF('Données projet'!$A$36&gt;35,N37+M38-V37,IF(A38&lt;'Données projet'!$A$36,$K$205^A38,IF(A38='Données projet'!$A$36,'Données projet'!$B$36,N37+M38-V37)))</f>
        <v>575.99999999999989</v>
      </c>
      <c r="O38" s="13">
        <f>N38*VLOOKUP('Données projet'!$B$9,Paramètres!$A$1:$I$89,3,0)*VLOOKUP('Données projet'!$B$9,Paramètres!$A$1:$I$89,5,0)</f>
        <v>321.98399999999992</v>
      </c>
      <c r="P38" s="13">
        <f t="shared" si="33"/>
        <v>75.76601483154208</v>
      </c>
      <c r="Q38" s="20">
        <f t="shared" si="53"/>
        <v>692.74794249826891</v>
      </c>
      <c r="R38" s="59">
        <f t="shared" si="0"/>
        <v>986.08127583160217</v>
      </c>
      <c r="S38" s="59">
        <f ca="1">AVERAGE(OFFSET($R$3,0,0,'Données projet'!$E$9+1,1))-AVERAGE(OFFSET($H$3,0,0,'Données projet'!$E$9+1,1))</f>
        <v>490.96084572840579</v>
      </c>
      <c r="T38" s="59">
        <f t="shared" si="34"/>
        <v>597.91658789908263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0.38500000000000001</v>
      </c>
      <c r="X38" s="16">
        <f>IF(ISNA(VLOOKUP(A38,'Données projet'!$A$35:$I$55,6,0)),0%,VLOOKUP(A38,'Données projet'!$A$35:$I$55,6,0)*VLOOKUP('Données projet'!$B$9,Paramètres!$A$1:$I$89,7,0))</f>
        <v>9.3500000000000014E-2</v>
      </c>
      <c r="Y38" s="16">
        <f>IF(ISNA(VLOOKUP(A38,'Données projet'!$A$35:$I$55,7,0)),0%,VLOOKUP(A38,'Données projet'!$A$35:$I$55,7,0))</f>
        <v>0.13</v>
      </c>
      <c r="Z38" s="21">
        <f>EXP(-LN(2)/35)*Z37+(1-EXP(-LN(2)/35))/(LN(2)/35)*V38*W38*VLOOKUP('Données projet'!$B$9,Paramètres!$A$1:$I$89,3,0)*0.475*44/12</f>
        <v>57.880218673268182</v>
      </c>
      <c r="AA38" s="21">
        <f>EXP(-LN(2)/25)*AA37+(1-EXP(-LN(2)/25))/(LN(2)/25)*Calculateur!V38*Calculateur!X38*VLOOKUP('Données projet'!$B$9,Paramètres!$A$1:$I$89,3,0)*0.475*44/12</f>
        <v>19.977755769748718</v>
      </c>
      <c r="AB38" s="21">
        <f>EXP(-LN(2)/2)*AB37+(1-EXP(-LN(2)/2))/(LN(2)/2)*V38*Y38*VLOOKUP('Données projet'!$B$9,Paramètres!$A$1:$I$89,3,0)*0.475*44/12</f>
        <v>7.4535929067107922</v>
      </c>
      <c r="AC38" s="22">
        <f t="shared" si="3"/>
        <v>85.311567349727696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24.166666666666668</v>
      </c>
      <c r="AI38" s="13">
        <f>IF('Données projet'!$A$62&gt;35,AI37+AH38-AQ37,IF(A38&lt;'Données projet'!$A$62,$AF$205^A38,IF(A38='Données projet'!$A$62,'Données projet'!$B$62,AI37+AH38-AQ37)))</f>
        <v>596.83333333333303</v>
      </c>
      <c r="AJ38" s="13">
        <f>AI38*VLOOKUP('Données projet'!$B$10,Paramètres!$A$1:$I$89,3,0)*VLOOKUP('Données projet'!$B$10,Paramètres!$A$1:$I$89,5,0)</f>
        <v>372.42399999999981</v>
      </c>
      <c r="AK38" s="13">
        <f t="shared" si="35"/>
        <v>86.163025755834283</v>
      </c>
      <c r="AL38" s="20">
        <f t="shared" si="4"/>
        <v>798.70573652474422</v>
      </c>
      <c r="AM38" s="59">
        <f t="shared" si="5"/>
        <v>1092.0390698580775</v>
      </c>
      <c r="AN38" s="59">
        <f ca="1">AVERAGE(OFFSET($AM$3,0,0,'Données projet'!$E$10+1,1))-AVERAGE(OFFSET($H$3,0,0,'Données projet'!$E$10+1,1))</f>
        <v>482.28841373508675</v>
      </c>
      <c r="AO38" s="59">
        <f t="shared" si="36"/>
        <v>746.97309214631684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33.693158819839056</v>
      </c>
      <c r="AV38" s="21">
        <f>EXP(-LN(2)/25)*AV37+(1-EXP(-LN(2)/25))/(LN(2)/25)*Calculateur!AQ38*Calculateur!AS38*VLOOKUP('Données projet'!$B$10,Paramètres!$A$1:$I$89,3,0)*0.475*44/12</f>
        <v>7.7417278218972028</v>
      </c>
      <c r="AW38" s="21">
        <f>EXP(-LN(2)/2)*AW37+(1-EXP(-LN(2)/2))/(LN(2)/2)*AQ38*AT38*VLOOKUP('Données projet'!$B$10,Paramètres!$A$1:$I$89,3,0)*0.475*44/12</f>
        <v>1.7640173349596322</v>
      </c>
      <c r="AX38" s="21">
        <f t="shared" si="6"/>
        <v>43.198903976695888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296</v>
      </c>
      <c r="BB38" s="12">
        <f>VLOOKUP(A38,'Données projet'!$A$87:$I$107,9,0)</f>
        <v>18.8</v>
      </c>
      <c r="BC38" s="12">
        <f t="array" ref="BC38">INDEX(BB:BB,MIN(IF(ISNUMBER(BB38:BB234),ROW(BB38:BB234),"")))</f>
        <v>18.8</v>
      </c>
      <c r="BD38" s="12">
        <f>IF('Données projet'!$A$88&gt;35,BD37+BC38-BL37,IF(A38&lt;'Données projet'!$A$88,$BA$205^A38,IF(A38='Données projet'!$A$88,'Données projet'!$B$88,BD37+BC38-BL37)))</f>
        <v>296.00000000000006</v>
      </c>
      <c r="BE38" s="13">
        <f>BD38*VLOOKUP('Données projet'!$B$11,Paramètres!$A$1:$I$89,3,0)*VLOOKUP('Données projet'!$B$11,Paramètres!$A$1:$I$89,5,0)</f>
        <v>177.00800000000004</v>
      </c>
      <c r="BF38" s="13">
        <f t="shared" si="37"/>
        <v>44.65587329900309</v>
      </c>
      <c r="BG38" s="20">
        <f t="shared" si="7"/>
        <v>386.06457932909711</v>
      </c>
      <c r="BH38" s="59">
        <f t="shared" si="8"/>
        <v>679.39791266243037</v>
      </c>
      <c r="BI38" s="59">
        <f ca="1">AVERAGE(OFFSET($BH$3,0,0,'Données projet'!$E$11+1,1))-AVERAGE(OFFSET($H$3,0,0,'Données projet'!$E$11+1,1))</f>
        <v>284.42619963941019</v>
      </c>
      <c r="BJ38" s="59">
        <f t="shared" si="38"/>
        <v>301.41905904220812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52</v>
      </c>
      <c r="BM38" s="16">
        <f>IF(ISNA(VLOOKUP(A38,'Données projet'!$A$87:$I$107,5,0)),0%,VLOOKUP(A38,'Données projet'!$A$87:$I$107,5,0)*VLOOKUP('Données projet'!$B$11,Paramètres!$A$1:$I$89,7,0))</f>
        <v>0.315</v>
      </c>
      <c r="BN38" s="16">
        <f>IF(ISNA(VLOOKUP(A38,'Données projet'!$A$87:$I$107,6,0)),0%,VLOOKUP(A38,'Données projet'!$A$87:$I$107,6,0)*VLOOKUP('Données projet'!$B$11,Paramètres!$A$1:$I$89,7,0))</f>
        <v>7.5600000000000001E-2</v>
      </c>
      <c r="BO38" s="16">
        <f>IF(ISNA(VLOOKUP(A38,'Données projet'!$A$87:$I$107,7,0)),0%,VLOOKUP(A38,'Données projet'!$A$87:$I$107,7,0))</f>
        <v>0.13200000000000001</v>
      </c>
      <c r="BP38" s="21">
        <f>EXP(-LN(2)/35)*BP37+(1-EXP(-LN(2)/35))/(LN(2)/35)*BL38*BM38*VLOOKUP('Données projet'!$B$11,Paramètres!$A$1:$I$89,3,0)*0.475*44/12</f>
        <v>35.380236982417856</v>
      </c>
      <c r="BQ38" s="21">
        <f>EXP(-LN(2)/25)*BQ37+(1-EXP(-LN(2)/25))/(LN(2)/25)*Calculateur!BL38*Calculateur!BN38*VLOOKUP('Données projet'!$B$11,Paramètres!$A$1:$I$89,3,0)*0.475*44/12</f>
        <v>9.9487031753423132</v>
      </c>
      <c r="BR38" s="21">
        <f>EXP(-LN(2)/2)*BR37+(1-EXP(-LN(2)/2))/(LN(2)/2)*BL38*BO38*VLOOKUP('Données projet'!$B$11,Paramètres!$A$1:$I$89,3,0)*0.475*44/12</f>
        <v>5.6172795540498131</v>
      </c>
      <c r="BS38" s="22">
        <f t="shared" si="9"/>
        <v>50.946219711809988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27</v>
      </c>
      <c r="N39" s="13">
        <f>IF('Données projet'!$A$36&gt;35,N38+M39-V38,IF(A39&lt;'Données projet'!$A$36,$K$205^A39,IF(A39='Données projet'!$A$36,'Données projet'!$B$36,N38+M39-V38)))</f>
        <v>530.99999999999989</v>
      </c>
      <c r="O39" s="13">
        <f>N39*VLOOKUP('Données projet'!$B$9,Paramètres!$A$1:$I$89,3,0)*VLOOKUP('Données projet'!$B$9,Paramètres!$A$1:$I$89,5,0)</f>
        <v>296.82899999999995</v>
      </c>
      <c r="P39" s="13">
        <f t="shared" si="33"/>
        <v>70.511289513454344</v>
      </c>
      <c r="Q39" s="20">
        <f t="shared" si="53"/>
        <v>639.78433756926631</v>
      </c>
      <c r="R39" s="59">
        <f t="shared" si="0"/>
        <v>933.11767090259968</v>
      </c>
      <c r="S39" s="59">
        <f ca="1">AVERAGE(OFFSET($R$3,0,0,'Données projet'!$E$9+1,1))-AVERAGE(OFFSET($H$3,0,0,'Données projet'!$E$9+1,1))</f>
        <v>490.96084572840579</v>
      </c>
      <c r="T39" s="59">
        <f t="shared" si="34"/>
        <v>597.91658789908263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56.745222888532858</v>
      </c>
      <c r="AA39" s="21">
        <f>EXP(-LN(2)/25)*AA38+(1-EXP(-LN(2)/25))/(LN(2)/25)*Calculateur!V39*Calculateur!X39*VLOOKUP('Données projet'!$B$9,Paramètres!$A$1:$I$89,3,0)*0.475*44/12</f>
        <v>19.431462987640423</v>
      </c>
      <c r="AB39" s="21">
        <f>EXP(-LN(2)/2)*AB38+(1-EXP(-LN(2)/2))/(LN(2)/2)*V39*Y39*VLOOKUP('Données projet'!$B$9,Paramètres!$A$1:$I$89,3,0)*0.475*44/12</f>
        <v>5.2704860885391511</v>
      </c>
      <c r="AC39" s="22">
        <f t="shared" si="3"/>
        <v>81.447171964712425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621</v>
      </c>
      <c r="AG39" s="12">
        <f>VLOOKUP(A39,'Données projet'!$A$61:$I$81,9,0)</f>
        <v>24.166666666666668</v>
      </c>
      <c r="AH39" s="12">
        <f t="array" ref="AH39">INDEX(AG:AG,MIN(IF(ISNUMBER(AG39:AG235),ROW(AG39:AG235),"")))</f>
        <v>24.166666666666668</v>
      </c>
      <c r="AI39" s="13">
        <f>IF('Données projet'!$A$62&gt;35,AI38+AH39-AQ38,IF(A39&lt;'Données projet'!$A$62,$AF$205^A39,IF(A39='Données projet'!$A$62,'Données projet'!$B$62,AI38+AH39-AQ38)))</f>
        <v>620.99999999999966</v>
      </c>
      <c r="AJ39" s="13">
        <f>AI39*VLOOKUP('Données projet'!$B$10,Paramètres!$A$1:$I$89,3,0)*VLOOKUP('Données projet'!$B$10,Paramètres!$A$1:$I$89,5,0)</f>
        <v>387.50399999999979</v>
      </c>
      <c r="AK39" s="13">
        <f t="shared" si="35"/>
        <v>89.238632444486413</v>
      </c>
      <c r="AL39" s="20">
        <f t="shared" si="4"/>
        <v>830.32675150748025</v>
      </c>
      <c r="AM39" s="59">
        <f t="shared" si="5"/>
        <v>1123.6600848408136</v>
      </c>
      <c r="AN39" s="59">
        <f ca="1">AVERAGE(OFFSET($AM$3,0,0,'Données projet'!$E$10+1,1))-AVERAGE(OFFSET($H$3,0,0,'Données projet'!$E$10+1,1))</f>
        <v>482.28841373508675</v>
      </c>
      <c r="AO39" s="59">
        <f t="shared" si="36"/>
        <v>746.97309214631684</v>
      </c>
      <c r="AP39" s="15">
        <f>IF(ISNA(VLOOKUP(A39,'Données projet'!$A$61:$I$81,3,0)),0,VLOOKUP(A39,'Données projet'!$A$61:$I$81,3,0))</f>
        <v>2</v>
      </c>
      <c r="AQ39" s="15">
        <f>IF(ISNA(VLOOKUP(A39,'Données projet'!$A$61:$I$81,4,0)),0,VLOOKUP(A39,'Données projet'!$A$61:$I$81,4,0))</f>
        <v>119</v>
      </c>
      <c r="AR39" s="16">
        <f>IF(ISNA(VLOOKUP(A39,'Données projet'!$A$61:$I$81,5,0)),0%,VLOOKUP(A39,'Données projet'!$A$61:$I$81,5,0)*VLOOKUP('Données projet'!$B$10,Paramètres!$A$1:$I$89,7,0))</f>
        <v>0.42</v>
      </c>
      <c r="AS39" s="16">
        <f>IF(ISNA(VLOOKUP(A39,'Données projet'!$A$61:$I$81,6,0)),0%,VLOOKUP(A39,'Données projet'!$A$61:$I$81,6,0)*VLOOKUP('Données projet'!$B$10,Paramètres!$A$1:$I$89,7,0))</f>
        <v>0.1008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74.404712011489437</v>
      </c>
      <c r="AV39" s="21">
        <f>EXP(-LN(2)/25)*AV38+(1-EXP(-LN(2)/25))/(LN(2)/25)*Calculateur!AQ39*Calculateur!AS39*VLOOKUP('Données projet'!$B$10,Paramètres!$A$1:$I$89,3,0)*0.475*44/12</f>
        <v>17.420275583823383</v>
      </c>
      <c r="AW39" s="21">
        <f>EXP(-LN(2)/2)*AW38+(1-EXP(-LN(2)/2))/(LN(2)/2)*AQ39*AT39*VLOOKUP('Données projet'!$B$10,Paramètres!$A$1:$I$89,3,0)*0.475*44/12</f>
        <v>12.34525409571711</v>
      </c>
      <c r="AX39" s="21">
        <f t="shared" si="6"/>
        <v>104.17024169102993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17.600000000000001</v>
      </c>
      <c r="BD39" s="12">
        <f>IF('Données projet'!$A$88&gt;35,BD38+BC39-BL38,IF(A39&lt;'Données projet'!$A$88,$BA$205^A39,IF(A39='Données projet'!$A$88,'Données projet'!$B$88,BD38+BC39-BL38)))</f>
        <v>261.60000000000008</v>
      </c>
      <c r="BE39" s="13">
        <f>BD39*VLOOKUP('Données projet'!$B$11,Paramètres!$A$1:$I$89,3,0)*VLOOKUP('Données projet'!$B$11,Paramètres!$A$1:$I$89,5,0)</f>
        <v>156.43680000000006</v>
      </c>
      <c r="BF39" s="13">
        <f t="shared" si="37"/>
        <v>40.037775291207829</v>
      </c>
      <c r="BG39" s="20">
        <f t="shared" si="7"/>
        <v>342.1932186321871</v>
      </c>
      <c r="BH39" s="59">
        <f t="shared" si="8"/>
        <v>635.52655196552041</v>
      </c>
      <c r="BI39" s="59">
        <f ca="1">AVERAGE(OFFSET($BH$3,0,0,'Données projet'!$E$11+1,1))-AVERAGE(OFFSET($H$3,0,0,'Données projet'!$E$11+1,1))</f>
        <v>284.42619963941019</v>
      </c>
      <c r="BJ39" s="59">
        <f t="shared" si="38"/>
        <v>301.41905904220812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34.686452115006368</v>
      </c>
      <c r="BQ39" s="21">
        <f>EXP(-LN(2)/25)*BQ38+(1-EXP(-LN(2)/25))/(LN(2)/25)*Calculateur!BL39*Calculateur!BN39*VLOOKUP('Données projet'!$B$11,Paramètres!$A$1:$I$89,3,0)*0.475*44/12</f>
        <v>9.6766553638330155</v>
      </c>
      <c r="BR39" s="21">
        <f>EXP(-LN(2)/2)*BR38+(1-EXP(-LN(2)/2))/(LN(2)/2)*BL39*BO39*VLOOKUP('Données projet'!$B$11,Paramètres!$A$1:$I$89,3,0)*0.475*44/12</f>
        <v>3.9720164644891689</v>
      </c>
      <c r="BS39" s="22">
        <f t="shared" si="9"/>
        <v>48.335123943328554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</v>
      </c>
      <c r="N40" s="13">
        <f>IF('Données projet'!$A$36&gt;35,N39+M40-V39,IF(A40&lt;'Données projet'!$A$36,$K$205^A40,IF(A40='Données projet'!$A$36,'Données projet'!$B$36,N39+M40-V39)))</f>
        <v>557.99999999999989</v>
      </c>
      <c r="O40" s="13">
        <f>N40*VLOOKUP('Données projet'!$B$9,Paramètres!$A$1:$I$89,3,0)*VLOOKUP('Données projet'!$B$9,Paramètres!$A$1:$I$89,5,0)</f>
        <v>311.92199999999991</v>
      </c>
      <c r="P40" s="13">
        <f t="shared" si="33"/>
        <v>73.670075764965745</v>
      </c>
      <c r="Q40" s="20">
        <f t="shared" si="53"/>
        <v>671.57286529064845</v>
      </c>
      <c r="R40" s="59">
        <f t="shared" si="0"/>
        <v>964.90619862398171</v>
      </c>
      <c r="S40" s="59">
        <f ca="1">AVERAGE(OFFSET($R$3,0,0,'Données projet'!$E$9+1,1))-AVERAGE(OFFSET($H$3,0,0,'Données projet'!$E$9+1,1))</f>
        <v>490.96084572840579</v>
      </c>
      <c r="T40" s="59">
        <f t="shared" si="34"/>
        <v>597.91658789908263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55.63248367885712</v>
      </c>
      <c r="AA40" s="21">
        <f>EXP(-LN(2)/25)*AA39+(1-EXP(-LN(2)/25))/(LN(2)/25)*Calculateur!V40*Calculateur!X40*VLOOKUP('Données projet'!$B$9,Paramètres!$A$1:$I$89,3,0)*0.475*44/12</f>
        <v>18.900108610387168</v>
      </c>
      <c r="AB40" s="21">
        <f>EXP(-LN(2)/2)*AB39+(1-EXP(-LN(2)/2))/(LN(2)/2)*V40*Y40*VLOOKUP('Données projet'!$B$9,Paramètres!$A$1:$I$89,3,0)*0.475*44/12</f>
        <v>3.7267964533553966</v>
      </c>
      <c r="AC40" s="22">
        <f t="shared" si="3"/>
        <v>78.259388742599683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18.833333333333332</v>
      </c>
      <c r="AI40" s="13">
        <f>IF('Données projet'!$A$62&gt;35,AI39+AH40-AQ39,IF(A40&lt;'Données projet'!$A$62,$AF$205^A40,IF(A40='Données projet'!$A$62,'Données projet'!$B$62,AI39+AH40-AQ39)))</f>
        <v>520.83333333333303</v>
      </c>
      <c r="AJ40" s="13">
        <f>AI40*VLOOKUP('Données projet'!$B$10,Paramètres!$A$1:$I$89,3,0)*VLOOKUP('Données projet'!$B$10,Paramètres!$A$1:$I$89,5,0)</f>
        <v>324.99999999999983</v>
      </c>
      <c r="AK40" s="13">
        <f t="shared" si="35"/>
        <v>76.392760292004922</v>
      </c>
      <c r="AL40" s="20">
        <f t="shared" si="4"/>
        <v>699.09239084190824</v>
      </c>
      <c r="AM40" s="59">
        <f t="shared" si="5"/>
        <v>992.42572417524161</v>
      </c>
      <c r="AN40" s="59">
        <f ca="1">AVERAGE(OFFSET($AM$3,0,0,'Données projet'!$E$10+1,1))-AVERAGE(OFFSET($H$3,0,0,'Données projet'!$E$10+1,1))</f>
        <v>482.28841373508675</v>
      </c>
      <c r="AO40" s="59">
        <f t="shared" si="36"/>
        <v>746.97309214631684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72.945680991337312</v>
      </c>
      <c r="AV40" s="21">
        <f>EXP(-LN(2)/25)*AV39+(1-EXP(-LN(2)/25))/(LN(2)/25)*Calculateur!AQ40*Calculateur!AS40*VLOOKUP('Données projet'!$B$10,Paramètres!$A$1:$I$89,3,0)*0.475*44/12</f>
        <v>16.943917231891255</v>
      </c>
      <c r="AW40" s="21">
        <f>EXP(-LN(2)/2)*AW39+(1-EXP(-LN(2)/2))/(LN(2)/2)*AQ40*AT40*VLOOKUP('Données projet'!$B$10,Paramètres!$A$1:$I$89,3,0)*0.475*44/12</f>
        <v>8.7294128865525682</v>
      </c>
      <c r="AX40" s="21">
        <f t="shared" si="6"/>
        <v>98.619011109781141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17.600000000000001</v>
      </c>
      <c r="BD40" s="12">
        <f>IF('Données projet'!$A$88&gt;35,BD39+BC40-BL39,IF(A40&lt;'Données projet'!$A$88,$BA$205^A40,IF(A40='Données projet'!$A$88,'Données projet'!$B$88,BD39+BC40-BL39)))</f>
        <v>279.2000000000001</v>
      </c>
      <c r="BE40" s="13">
        <f>BD40*VLOOKUP('Données projet'!$B$11,Paramètres!$A$1:$I$89,3,0)*VLOOKUP('Données projet'!$B$11,Paramètres!$A$1:$I$89,5,0)</f>
        <v>166.96160000000006</v>
      </c>
      <c r="BF40" s="13">
        <f t="shared" si="37"/>
        <v>42.408810446399933</v>
      </c>
      <c r="BG40" s="20">
        <f t="shared" si="7"/>
        <v>364.6534648608133</v>
      </c>
      <c r="BH40" s="59">
        <f t="shared" si="8"/>
        <v>657.98679819414656</v>
      </c>
      <c r="BI40" s="59">
        <f ca="1">AVERAGE(OFFSET($BH$3,0,0,'Données projet'!$E$11+1,1))-AVERAGE(OFFSET($H$3,0,0,'Données projet'!$E$11+1,1))</f>
        <v>284.42619963941019</v>
      </c>
      <c r="BJ40" s="59">
        <f t="shared" si="38"/>
        <v>301.41905904220812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34.006271945677838</v>
      </c>
      <c r="BQ40" s="21">
        <f>EXP(-LN(2)/25)*BQ39+(1-EXP(-LN(2)/25))/(LN(2)/25)*Calculateur!BL40*Calculateur!BN40*VLOOKUP('Données projet'!$B$11,Paramètres!$A$1:$I$89,3,0)*0.475*44/12</f>
        <v>9.4120467140358119</v>
      </c>
      <c r="BR40" s="21">
        <f>EXP(-LN(2)/2)*BR39+(1-EXP(-LN(2)/2))/(LN(2)/2)*BL40*BO40*VLOOKUP('Données projet'!$B$11,Paramètres!$A$1:$I$89,3,0)*0.475*44/12</f>
        <v>2.808639777024907</v>
      </c>
      <c r="BS40" s="22">
        <f t="shared" si="9"/>
        <v>46.226958436738556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</v>
      </c>
      <c r="N41" s="13">
        <f>IF('Données projet'!$A$36&gt;35,N40+M41-V40,IF(A41&lt;'Données projet'!$A$36,$K$205^A41,IF(A41='Données projet'!$A$36,'Données projet'!$B$36,N40+M41-V40)))</f>
        <v>584.99999999999989</v>
      </c>
      <c r="O41" s="13">
        <f>N41*VLOOKUP('Données projet'!$B$9,Paramètres!$A$1:$I$89,3,0)*VLOOKUP('Données projet'!$B$9,Paramètres!$A$1:$I$89,5,0)</f>
        <v>327.01499999999993</v>
      </c>
      <c r="P41" s="13">
        <f t="shared" si="33"/>
        <v>76.811113612871907</v>
      </c>
      <c r="Q41" s="20">
        <f t="shared" si="53"/>
        <v>703.33048120908506</v>
      </c>
      <c r="R41" s="59">
        <f t="shared" si="0"/>
        <v>996.66381454241832</v>
      </c>
      <c r="S41" s="59">
        <f ca="1">AVERAGE(OFFSET($R$3,0,0,'Données projet'!$E$9+1,1))-AVERAGE(OFFSET($H$3,0,0,'Données projet'!$E$9+1,1))</f>
        <v>490.96084572840579</v>
      </c>
      <c r="T41" s="59">
        <f t="shared" si="34"/>
        <v>597.91658789908263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54.541564606379225</v>
      </c>
      <c r="AA41" s="21">
        <f>EXP(-LN(2)/25)*AA40+(1-EXP(-LN(2)/25))/(LN(2)/25)*Calculateur!V41*Calculateur!X41*VLOOKUP('Données projet'!$B$9,Paramètres!$A$1:$I$89,3,0)*0.475*44/12</f>
        <v>18.383284146522616</v>
      </c>
      <c r="AB41" s="21">
        <f>EXP(-LN(2)/2)*AB40+(1-EXP(-LN(2)/2))/(LN(2)/2)*V41*Y41*VLOOKUP('Données projet'!$B$9,Paramètres!$A$1:$I$89,3,0)*0.475*44/12</f>
        <v>2.635243044269576</v>
      </c>
      <c r="AC41" s="22">
        <f t="shared" si="3"/>
        <v>75.56009179717141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18.833333333333332</v>
      </c>
      <c r="AI41" s="13">
        <f>IF('Données projet'!$A$62&gt;35,AI40+AH41-AQ40,IF(A41&lt;'Données projet'!$A$62,$AF$205^A41,IF(A41='Données projet'!$A$62,'Données projet'!$B$62,AI40+AH41-AQ40)))</f>
        <v>539.6666666666664</v>
      </c>
      <c r="AJ41" s="13">
        <f>AI41*VLOOKUP('Données projet'!$B$10,Paramètres!$A$1:$I$89,3,0)*VLOOKUP('Données projet'!$B$10,Paramètres!$A$1:$I$89,5,0)</f>
        <v>336.75199999999984</v>
      </c>
      <c r="AK41" s="13">
        <f t="shared" si="35"/>
        <v>78.828514629228664</v>
      </c>
      <c r="AL41" s="20">
        <f t="shared" si="4"/>
        <v>723.80272964590631</v>
      </c>
      <c r="AM41" s="59">
        <f t="shared" si="5"/>
        <v>1017.1360629792396</v>
      </c>
      <c r="AN41" s="59">
        <f ca="1">AVERAGE(OFFSET($AM$3,0,0,'Données projet'!$E$10+1,1))-AVERAGE(OFFSET($H$3,0,0,'Données projet'!$E$10+1,1))</f>
        <v>482.28841373508675</v>
      </c>
      <c r="AO41" s="59">
        <f t="shared" si="36"/>
        <v>746.97309214631684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71.515260679569323</v>
      </c>
      <c r="AV41" s="21">
        <f>EXP(-LN(2)/25)*AV40+(1-EXP(-LN(2)/25))/(LN(2)/25)*Calculateur!AQ41*Calculateur!AS41*VLOOKUP('Données projet'!$B$10,Paramètres!$A$1:$I$89,3,0)*0.475*44/12</f>
        <v>16.480584924143308</v>
      </c>
      <c r="AW41" s="21">
        <f>EXP(-LN(2)/2)*AW40+(1-EXP(-LN(2)/2))/(LN(2)/2)*AQ41*AT41*VLOOKUP('Données projet'!$B$10,Paramètres!$A$1:$I$89,3,0)*0.475*44/12</f>
        <v>6.1726270478585556</v>
      </c>
      <c r="AX41" s="21">
        <f t="shared" si="6"/>
        <v>94.168472651571193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17.600000000000001</v>
      </c>
      <c r="BD41" s="12">
        <f>IF('Données projet'!$A$88&gt;35,BD40+BC41-BL40,IF(A41&lt;'Données projet'!$A$88,$BA$205^A41,IF(A41='Données projet'!$A$88,'Données projet'!$B$88,BD40+BC41-BL40)))</f>
        <v>296.80000000000013</v>
      </c>
      <c r="BE41" s="13">
        <f>BD41*VLOOKUP('Données projet'!$B$11,Paramètres!$A$1:$I$89,3,0)*VLOOKUP('Données projet'!$B$11,Paramètres!$A$1:$I$89,5,0)</f>
        <v>177.48640000000012</v>
      </c>
      <c r="BF41" s="13">
        <f t="shared" si="37"/>
        <v>44.762499594286361</v>
      </c>
      <c r="BG41" s="20">
        <f t="shared" si="7"/>
        <v>387.08350012671559</v>
      </c>
      <c r="BH41" s="59">
        <f t="shared" si="8"/>
        <v>680.41683346004891</v>
      </c>
      <c r="BI41" s="59">
        <f ca="1">AVERAGE(OFFSET($BH$3,0,0,'Données projet'!$E$11+1,1))-AVERAGE(OFFSET($H$3,0,0,'Données projet'!$E$11+1,1))</f>
        <v>284.42619963941019</v>
      </c>
      <c r="BJ41" s="59">
        <f t="shared" si="38"/>
        <v>301.41905904220812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33.339429694600902</v>
      </c>
      <c r="BQ41" s="21">
        <f>EXP(-LN(2)/25)*BQ40+(1-EXP(-LN(2)/25))/(LN(2)/25)*Calculateur!BL41*Calculateur!BN41*VLOOKUP('Données projet'!$B$11,Paramètres!$A$1:$I$89,3,0)*0.475*44/12</f>
        <v>9.1546738016824776</v>
      </c>
      <c r="BR41" s="21">
        <f>EXP(-LN(2)/2)*BR40+(1-EXP(-LN(2)/2))/(LN(2)/2)*BL41*BO41*VLOOKUP('Données projet'!$B$11,Paramètres!$A$1:$I$89,3,0)*0.475*44/12</f>
        <v>1.9860082322445847</v>
      </c>
      <c r="BS41" s="22">
        <f t="shared" si="9"/>
        <v>44.480111728527966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27</v>
      </c>
      <c r="N42" s="13">
        <f>IF('Données projet'!$A$36&gt;35,N41+M42-V41,IF(A42&lt;'Données projet'!$A$36,$K$205^A42,IF(A42='Données projet'!$A$36,'Données projet'!$B$36,N41+M42-V41)))</f>
        <v>611.99999999999989</v>
      </c>
      <c r="O42" s="13">
        <f>N42*VLOOKUP('Données projet'!$B$9,Paramètres!$A$1:$I$89,3,0)*VLOOKUP('Données projet'!$B$9,Paramètres!$A$1:$I$89,5,0)</f>
        <v>342.10799999999995</v>
      </c>
      <c r="P42" s="13">
        <f t="shared" si="33"/>
        <v>79.935315774430151</v>
      </c>
      <c r="Q42" s="20">
        <f t="shared" si="53"/>
        <v>735.0587749737989</v>
      </c>
      <c r="R42" s="59">
        <f t="shared" si="0"/>
        <v>1028.3921083071323</v>
      </c>
      <c r="S42" s="59">
        <f ca="1">AVERAGE(OFFSET($R$3,0,0,'Données projet'!$E$9+1,1))-AVERAGE(OFFSET($H$3,0,0,'Données projet'!$E$9+1,1))</f>
        <v>490.96084572840579</v>
      </c>
      <c r="T42" s="59">
        <f t="shared" si="34"/>
        <v>597.91658789908263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53.472037791517685</v>
      </c>
      <c r="AA42" s="21">
        <f>EXP(-LN(2)/25)*AA41+(1-EXP(-LN(2)/25))/(LN(2)/25)*Calculateur!V42*Calculateur!X42*VLOOKUP('Données projet'!$B$9,Paramètres!$A$1:$I$89,3,0)*0.475*44/12</f>
        <v>17.880592274801057</v>
      </c>
      <c r="AB42" s="21">
        <f>EXP(-LN(2)/2)*AB41+(1-EXP(-LN(2)/2))/(LN(2)/2)*V42*Y42*VLOOKUP('Données projet'!$B$9,Paramètres!$A$1:$I$89,3,0)*0.475*44/12</f>
        <v>1.8633982266776985</v>
      </c>
      <c r="AC42" s="22">
        <f t="shared" si="3"/>
        <v>73.216028292996441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18.833333333333332</v>
      </c>
      <c r="AI42" s="13">
        <f>IF('Données projet'!$A$62&gt;35,AI41+AH42-AQ41,IF(A42&lt;'Données projet'!$A$62,$AF$205^A42,IF(A42='Données projet'!$A$62,'Données projet'!$B$62,AI41+AH42-AQ41)))</f>
        <v>558.49999999999977</v>
      </c>
      <c r="AJ42" s="13">
        <f>AI42*VLOOKUP('Données projet'!$B$10,Paramètres!$A$1:$I$89,3,0)*VLOOKUP('Données projet'!$B$10,Paramètres!$A$1:$I$89,5,0)</f>
        <v>348.50399999999985</v>
      </c>
      <c r="AK42" s="13">
        <f t="shared" si="35"/>
        <v>81.254392549593788</v>
      </c>
      <c r="AL42" s="20">
        <f t="shared" si="4"/>
        <v>748.49586702387558</v>
      </c>
      <c r="AM42" s="59">
        <f t="shared" si="5"/>
        <v>1041.8292003572089</v>
      </c>
      <c r="AN42" s="59">
        <f ca="1">AVERAGE(OFFSET($AM$3,0,0,'Données projet'!$E$10+1,1))-AVERAGE(OFFSET($H$3,0,0,'Données projet'!$E$10+1,1))</f>
        <v>482.28841373508675</v>
      </c>
      <c r="AO42" s="59">
        <f t="shared" si="36"/>
        <v>746.97309214631684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70.11289003764486</v>
      </c>
      <c r="AV42" s="21">
        <f>EXP(-LN(2)/25)*AV41+(1-EXP(-LN(2)/25))/(LN(2)/25)*Calculateur!AQ42*Calculateur!AS42*VLOOKUP('Données projet'!$B$10,Paramètres!$A$1:$I$89,3,0)*0.475*44/12</f>
        <v>16.029922462716314</v>
      </c>
      <c r="AW42" s="21">
        <f>EXP(-LN(2)/2)*AW41+(1-EXP(-LN(2)/2))/(LN(2)/2)*AQ42*AT42*VLOOKUP('Données projet'!$B$10,Paramètres!$A$1:$I$89,3,0)*0.475*44/12</f>
        <v>4.364706443276285</v>
      </c>
      <c r="AX42" s="21">
        <f t="shared" si="6"/>
        <v>90.507518943637464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17.600000000000001</v>
      </c>
      <c r="BD42" s="12">
        <f>IF('Données projet'!$A$88&gt;35,BD41+BC42-BL41,IF(A42&lt;'Données projet'!$A$88,$BA$205^A42,IF(A42='Données projet'!$A$88,'Données projet'!$B$88,BD41+BC42-BL41)))</f>
        <v>314.40000000000015</v>
      </c>
      <c r="BE42" s="13">
        <f>BD42*VLOOKUP('Données projet'!$B$11,Paramètres!$A$1:$I$89,3,0)*VLOOKUP('Données projet'!$B$11,Paramètres!$A$1:$I$89,5,0)</f>
        <v>188.01120000000012</v>
      </c>
      <c r="BF42" s="13">
        <f t="shared" si="37"/>
        <v>47.099988496591031</v>
      </c>
      <c r="BG42" s="20">
        <f t="shared" si="7"/>
        <v>409.48531996489623</v>
      </c>
      <c r="BH42" s="59">
        <f t="shared" si="8"/>
        <v>702.81865329822949</v>
      </c>
      <c r="BI42" s="59">
        <f ca="1">AVERAGE(OFFSET($BH$3,0,0,'Données projet'!$E$11+1,1))-AVERAGE(OFFSET($H$3,0,0,'Données projet'!$E$11+1,1))</f>
        <v>284.42619963941019</v>
      </c>
      <c r="BJ42" s="59">
        <f t="shared" si="38"/>
        <v>301.41905904220812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32.685663813333974</v>
      </c>
      <c r="BQ42" s="21">
        <f>EXP(-LN(2)/25)*BQ41+(1-EXP(-LN(2)/25))/(LN(2)/25)*Calculateur!BL42*Calculateur!BN42*VLOOKUP('Données projet'!$B$11,Paramètres!$A$1:$I$89,3,0)*0.475*44/12</f>
        <v>8.9043387651520991</v>
      </c>
      <c r="BR42" s="21">
        <f>EXP(-LN(2)/2)*BR41+(1-EXP(-LN(2)/2))/(LN(2)/2)*BL42*BO42*VLOOKUP('Données projet'!$B$11,Paramètres!$A$1:$I$89,3,0)*0.475*44/12</f>
        <v>1.4043198885124537</v>
      </c>
      <c r="BS42" s="22">
        <f t="shared" si="9"/>
        <v>42.994322466998526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639</v>
      </c>
      <c r="L43" s="12">
        <f>VLOOKUP(A43,'Données projet'!$A$35:$I$55,9,0)</f>
        <v>27</v>
      </c>
      <c r="M43" s="12">
        <f t="array" ref="M43">INDEX(L:L,MIN(IF(ISNUMBER(L43:L239),ROW(L43:L239),"")))</f>
        <v>27</v>
      </c>
      <c r="N43" s="13">
        <f>IF('Données projet'!$A$36&gt;35,N42+M43-V42,IF(A43&lt;'Données projet'!$A$36,$K$205^A43,IF(A43='Données projet'!$A$36,'Données projet'!$B$36,N42+M43-V42)))</f>
        <v>638.99999999999989</v>
      </c>
      <c r="O43" s="13">
        <f>N43*VLOOKUP('Données projet'!$B$9,Paramètres!$A$1:$I$89,3,0)*VLOOKUP('Données projet'!$B$9,Paramètres!$A$1:$I$89,5,0)</f>
        <v>357.20099999999991</v>
      </c>
      <c r="P43" s="13">
        <f t="shared" si="33"/>
        <v>83.043509879488369</v>
      </c>
      <c r="Q43" s="20">
        <f t="shared" si="53"/>
        <v>766.75918804010871</v>
      </c>
      <c r="R43" s="59">
        <f t="shared" si="0"/>
        <v>1060.092521373442</v>
      </c>
      <c r="S43" s="59">
        <f ca="1">AVERAGE(OFFSET($R$3,0,0,'Données projet'!$E$9+1,1))-AVERAGE(OFFSET($H$3,0,0,'Données projet'!$E$9+1,1))</f>
        <v>490.96084572840579</v>
      </c>
      <c r="T43" s="59">
        <f t="shared" si="34"/>
        <v>597.91658789908263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0.38500000000000001</v>
      </c>
      <c r="X43" s="16">
        <f>IF(ISNA(VLOOKUP(A43,'Données projet'!$A$35:$I$55,6,0)),0%,VLOOKUP(A43,'Données projet'!$A$35:$I$55,6,0)*VLOOKUP('Données projet'!$B$9,Paramètres!$A$1:$I$89,7,0))</f>
        <v>9.3500000000000014E-2</v>
      </c>
      <c r="Y43" s="16">
        <f>IF(ISNA(VLOOKUP(A43,'Données projet'!$A$35:$I$55,7,0)),0%,VLOOKUP(A43,'Données projet'!$A$35:$I$55,7,0))</f>
        <v>0.13</v>
      </c>
      <c r="Z43" s="21">
        <f>EXP(-LN(2)/35)*Z42+(1-EXP(-LN(2)/35))/(LN(2)/35)*V43*W43*VLOOKUP('Données projet'!$B$9,Paramètres!$A$1:$I$89,3,0)*0.475*44/12</f>
        <v>74.406719579510025</v>
      </c>
      <c r="AA43" s="21">
        <f>EXP(-LN(2)/25)*AA42+(1-EXP(-LN(2)/25))/(LN(2)/25)*Calculateur!V43*Calculateur!X43*VLOOKUP('Données projet'!$B$9,Paramètres!$A$1:$I$89,3,0)*0.475*44/12</f>
        <v>22.709411550124333</v>
      </c>
      <c r="AB43" s="21">
        <f>EXP(-LN(2)/2)*AB42+(1-EXP(-LN(2)/2))/(LN(2)/2)*V43*Y43*VLOOKUP('Données projet'!$B$9,Paramètres!$A$1:$I$89,3,0)*0.475*44/12</f>
        <v>7.6531292438509055</v>
      </c>
      <c r="AC43" s="22">
        <f t="shared" si="3"/>
        <v>104.76926037348525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18.833333333333332</v>
      </c>
      <c r="AI43" s="13">
        <f>IF('Données projet'!$A$62&gt;35,AI42+AH43-AQ42,IF(A43&lt;'Données projet'!$A$62,$AF$205^A43,IF(A43='Données projet'!$A$62,'Données projet'!$B$62,AI42+AH43-AQ42)))</f>
        <v>577.33333333333314</v>
      </c>
      <c r="AJ43" s="13">
        <f>AI43*VLOOKUP('Données projet'!$B$10,Paramètres!$A$1:$I$89,3,0)*VLOOKUP('Données projet'!$B$10,Paramètres!$A$1:$I$89,5,0)</f>
        <v>360.25599999999986</v>
      </c>
      <c r="AK43" s="13">
        <f t="shared" si="35"/>
        <v>83.670765279147787</v>
      </c>
      <c r="AL43" s="20">
        <f t="shared" si="4"/>
        <v>773.1724495278487</v>
      </c>
      <c r="AM43" s="59">
        <f t="shared" si="5"/>
        <v>1066.5057828611821</v>
      </c>
      <c r="AN43" s="59">
        <f ca="1">AVERAGE(OFFSET($AM$3,0,0,'Données projet'!$E$10+1,1))-AVERAGE(OFFSET($H$3,0,0,'Données projet'!$E$10+1,1))</f>
        <v>482.28841373508675</v>
      </c>
      <c r="AO43" s="59">
        <f t="shared" si="36"/>
        <v>746.97309214631684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68.738019028646903</v>
      </c>
      <c r="AV43" s="21">
        <f>EXP(-LN(2)/25)*AV42+(1-EXP(-LN(2)/25))/(LN(2)/25)*Calculateur!AQ43*Calculateur!AS43*VLOOKUP('Données projet'!$B$10,Paramètres!$A$1:$I$89,3,0)*0.475*44/12</f>
        <v>15.591583389996352</v>
      </c>
      <c r="AW43" s="21">
        <f>EXP(-LN(2)/2)*AW42+(1-EXP(-LN(2)/2))/(LN(2)/2)*AQ43*AT43*VLOOKUP('Données projet'!$B$10,Paramètres!$A$1:$I$89,3,0)*0.475*44/12</f>
        <v>3.0863135239292783</v>
      </c>
      <c r="AX43" s="21">
        <f t="shared" si="6"/>
        <v>87.415915942572525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332</v>
      </c>
      <c r="BB43" s="12">
        <f>VLOOKUP(A43,'Données projet'!$A$87:$I$107,9,0)</f>
        <v>17.600000000000001</v>
      </c>
      <c r="BC43" s="12">
        <f t="array" ref="BC43">INDEX(BB:BB,MIN(IF(ISNUMBER(BB43:BB239),ROW(BB43:BB239),"")))</f>
        <v>17.600000000000001</v>
      </c>
      <c r="BD43" s="12">
        <f>IF('Données projet'!$A$88&gt;35,BD42+BC43-BL42,IF(A43&lt;'Données projet'!$A$88,$BA$205^A43,IF(A43='Données projet'!$A$88,'Données projet'!$B$88,BD42+BC43-BL42)))</f>
        <v>332.00000000000017</v>
      </c>
      <c r="BE43" s="13">
        <f>BD43*VLOOKUP('Données projet'!$B$11,Paramètres!$A$1:$I$89,3,0)*VLOOKUP('Données projet'!$B$11,Paramètres!$A$1:$I$89,5,0)</f>
        <v>198.53600000000012</v>
      </c>
      <c r="BF43" s="13">
        <f t="shared" si="37"/>
        <v>49.42228739122875</v>
      </c>
      <c r="BG43" s="20">
        <f t="shared" si="7"/>
        <v>431.86068387305687</v>
      </c>
      <c r="BH43" s="59">
        <f t="shared" si="8"/>
        <v>725.19401720639019</v>
      </c>
      <c r="BI43" s="59">
        <f ca="1">AVERAGE(OFFSET($BH$3,0,0,'Données projet'!$E$11+1,1))-AVERAGE(OFFSET($H$3,0,0,'Données projet'!$E$11+1,1))</f>
        <v>284.42619963941019</v>
      </c>
      <c r="BJ43" s="59">
        <f t="shared" si="38"/>
        <v>301.41905904220812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48</v>
      </c>
      <c r="BM43" s="16">
        <f>IF(ISNA(VLOOKUP(A43,'Données projet'!$A$87:$I$107,5,0)),0%,VLOOKUP(A43,'Données projet'!$A$87:$I$107,5,0)*VLOOKUP('Données projet'!$B$11,Paramètres!$A$1:$I$89,7,0))</f>
        <v>0.315</v>
      </c>
      <c r="BN43" s="16">
        <f>IF(ISNA(VLOOKUP(A43,'Données projet'!$A$87:$I$107,6,0)),0%,VLOOKUP(A43,'Données projet'!$A$87:$I$107,6,0)*VLOOKUP('Données projet'!$B$11,Paramètres!$A$1:$I$89,7,0))</f>
        <v>7.5600000000000001E-2</v>
      </c>
      <c r="BO43" s="16">
        <f>IF(ISNA(VLOOKUP(A43,'Données projet'!$A$87:$I$107,7,0)),0%,VLOOKUP(A43,'Données projet'!$A$87:$I$107,7,0))</f>
        <v>0.13200000000000001</v>
      </c>
      <c r="BP43" s="21">
        <f>EXP(-LN(2)/35)*BP42+(1-EXP(-LN(2)/35))/(LN(2)/35)*BL43*BM43*VLOOKUP('Données projet'!$B$11,Paramètres!$A$1:$I$89,3,0)*0.475*44/12</f>
        <v>44.039195312855895</v>
      </c>
      <c r="BQ43" s="21">
        <f>EXP(-LN(2)/25)*BQ42+(1-EXP(-LN(2)/25))/(LN(2)/25)*Calculateur!BL43*Calculateur!BN43*VLOOKUP('Données projet'!$B$11,Paramètres!$A$1:$I$89,3,0)*0.475*44/12</f>
        <v>11.528189298012148</v>
      </c>
      <c r="BR43" s="21">
        <f>EXP(-LN(2)/2)*BR42+(1-EXP(-LN(2)/2))/(LN(2)/2)*BL43*BO43*VLOOKUP('Données projet'!$B$11,Paramètres!$A$1:$I$89,3,0)*0.475*44/12</f>
        <v>5.282950770724649</v>
      </c>
      <c r="BS43" s="22">
        <f t="shared" si="9"/>
        <v>60.850335381592693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24.8</v>
      </c>
      <c r="N44" s="13">
        <f>IF('Données projet'!$A$36&gt;35,N43+M44-V43,IF(A44&lt;'Données projet'!$A$36,$K$205^A44,IF(A44='Données projet'!$A$36,'Données projet'!$B$36,N43+M44-V43)))</f>
        <v>586.79999999999984</v>
      </c>
      <c r="O44" s="13">
        <f>N44*VLOOKUP('Données projet'!$B$9,Paramètres!$A$1:$I$89,3,0)*VLOOKUP('Données projet'!$B$9,Paramètres!$A$1:$I$89,5,0)</f>
        <v>328.02119999999991</v>
      </c>
      <c r="P44" s="13">
        <f t="shared" si="33"/>
        <v>77.019907950957702</v>
      </c>
      <c r="Q44" s="20">
        <f t="shared" si="53"/>
        <v>705.44659634791776</v>
      </c>
      <c r="R44" s="59">
        <f t="shared" si="0"/>
        <v>998.77992968125113</v>
      </c>
      <c r="S44" s="59">
        <f ca="1">AVERAGE(OFFSET($R$3,0,0,'Données projet'!$E$9+1,1))-AVERAGE(OFFSET($H$3,0,0,'Données projet'!$E$9+1,1))</f>
        <v>490.96084572840579</v>
      </c>
      <c r="T44" s="59">
        <f t="shared" si="34"/>
        <v>597.91658789908263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72.947649192173515</v>
      </c>
      <c r="AA44" s="21">
        <f>EXP(-LN(2)/25)*AA43+(1-EXP(-LN(2)/25))/(LN(2)/25)*Calculateur!V44*Calculateur!X44*VLOOKUP('Données projet'!$B$9,Paramètres!$A$1:$I$89,3,0)*0.475*44/12</f>
        <v>22.088421497050131</v>
      </c>
      <c r="AB44" s="21">
        <f>EXP(-LN(2)/2)*AB43+(1-EXP(-LN(2)/2))/(LN(2)/2)*V44*Y44*VLOOKUP('Données projet'!$B$9,Paramètres!$A$1:$I$89,3,0)*0.475*44/12</f>
        <v>5.4115795856240503</v>
      </c>
      <c r="AC44" s="22">
        <f t="shared" si="3"/>
        <v>100.4476502748477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18.833333333333332</v>
      </c>
      <c r="AI44" s="13">
        <f>IF('Données projet'!$A$62&gt;35,AI43+AH44-AQ43,IF(A44&lt;'Données projet'!$A$62,$AF$205^A44,IF(A44='Données projet'!$A$62,'Données projet'!$B$62,AI43+AH44-AQ43)))</f>
        <v>596.16666666666652</v>
      </c>
      <c r="AJ44" s="13">
        <f>AI44*VLOOKUP('Données projet'!$B$10,Paramètres!$A$1:$I$89,3,0)*VLOOKUP('Données projet'!$B$10,Paramètres!$A$1:$I$89,5,0)</f>
        <v>372.00799999999992</v>
      </c>
      <c r="AK44" s="13">
        <f t="shared" si="35"/>
        <v>86.077978449442</v>
      </c>
      <c r="AL44" s="20">
        <f t="shared" si="4"/>
        <v>797.83307913277804</v>
      </c>
      <c r="AM44" s="59">
        <f t="shared" si="5"/>
        <v>1091.1664124661113</v>
      </c>
      <c r="AN44" s="59">
        <f ca="1">AVERAGE(OFFSET($AM$3,0,0,'Données projet'!$E$10+1,1))-AVERAGE(OFFSET($H$3,0,0,'Données projet'!$E$10+1,1))</f>
        <v>482.28841373508675</v>
      </c>
      <c r="AO44" s="59">
        <f t="shared" si="36"/>
        <v>746.97309214631684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67.390108401546897</v>
      </c>
      <c r="AV44" s="21">
        <f>EXP(-LN(2)/25)*AV43+(1-EXP(-LN(2)/25))/(LN(2)/25)*Calculateur!AQ44*Calculateur!AS44*VLOOKUP('Données projet'!$B$10,Paramètres!$A$1:$I$89,3,0)*0.475*44/12</f>
        <v>15.165230722271167</v>
      </c>
      <c r="AW44" s="21">
        <f>EXP(-LN(2)/2)*AW43+(1-EXP(-LN(2)/2))/(LN(2)/2)*AQ44*AT44*VLOOKUP('Données projet'!$B$10,Paramètres!$A$1:$I$89,3,0)*0.475*44/12</f>
        <v>2.1823532216381429</v>
      </c>
      <c r="AX44" s="21">
        <f t="shared" si="6"/>
        <v>84.737692345456196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</v>
      </c>
      <c r="BD44" s="12">
        <f>IF('Données projet'!$A$88&gt;35,BD43+BC44-BL43,IF(A44&lt;'Données projet'!$A$88,$BA$205^A44,IF(A44='Données projet'!$A$88,'Données projet'!$B$88,BD43+BC44-BL43)))</f>
        <v>304.00000000000017</v>
      </c>
      <c r="BE44" s="13">
        <f>BD44*VLOOKUP('Données projet'!$B$11,Paramètres!$A$1:$I$89,3,0)*VLOOKUP('Données projet'!$B$11,Paramètres!$A$1:$I$89,5,0)</f>
        <v>181.79200000000012</v>
      </c>
      <c r="BF44" s="13">
        <f t="shared" si="37"/>
        <v>45.720642997712574</v>
      </c>
      <c r="BG44" s="20">
        <f t="shared" si="7"/>
        <v>396.25118655434966</v>
      </c>
      <c r="BH44" s="59">
        <f t="shared" si="8"/>
        <v>689.58451988768297</v>
      </c>
      <c r="BI44" s="59">
        <f ca="1">AVERAGE(OFFSET($BH$3,0,0,'Données projet'!$E$11+1,1))-AVERAGE(OFFSET($H$3,0,0,'Données projet'!$E$11+1,1))</f>
        <v>284.42619963941019</v>
      </c>
      <c r="BJ44" s="59">
        <f t="shared" si="38"/>
        <v>301.41905904220812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43.175613554027606</v>
      </c>
      <c r="BQ44" s="21">
        <f>EXP(-LN(2)/25)*BQ43+(1-EXP(-LN(2)/25))/(LN(2)/25)*Calculateur!BL44*Calculateur!BN44*VLOOKUP('Données projet'!$B$11,Paramètres!$A$1:$I$89,3,0)*0.475*44/12</f>
        <v>11.212950355416877</v>
      </c>
      <c r="BR44" s="21">
        <f>EXP(-LN(2)/2)*BR43+(1-EXP(-LN(2)/2))/(LN(2)/2)*BL44*BO44*VLOOKUP('Données projet'!$B$11,Paramètres!$A$1:$I$89,3,0)*0.475*44/12</f>
        <v>3.7356103146540973</v>
      </c>
      <c r="BS44" s="22">
        <f t="shared" si="9"/>
        <v>58.124174224098581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24.8</v>
      </c>
      <c r="N45" s="13">
        <f>IF('Données projet'!$A$36&gt;35,N44+M45-V44,IF(A45&lt;'Données projet'!$A$36,$K$205^A45,IF(A45='Données projet'!$A$36,'Données projet'!$B$36,N44+M45-V44)))</f>
        <v>611.5999999999998</v>
      </c>
      <c r="O45" s="13">
        <f>N45*VLOOKUP('Données projet'!$B$9,Paramètres!$A$1:$I$89,3,0)*VLOOKUP('Données projet'!$B$9,Paramètres!$A$1:$I$89,5,0)</f>
        <v>341.88439999999986</v>
      </c>
      <c r="P45" s="13">
        <f t="shared" si="33"/>
        <v>79.889150066970018</v>
      </c>
      <c r="Q45" s="20">
        <f t="shared" si="53"/>
        <v>734.58893303330581</v>
      </c>
      <c r="R45" s="59">
        <f t="shared" si="0"/>
        <v>1027.9222663666392</v>
      </c>
      <c r="S45" s="59">
        <f ca="1">AVERAGE(OFFSET($R$3,0,0,'Données projet'!$E$9+1,1))-AVERAGE(OFFSET($H$3,0,0,'Données projet'!$E$9+1,1))</f>
        <v>490.96084572840579</v>
      </c>
      <c r="T45" s="59">
        <f t="shared" si="34"/>
        <v>597.91658789908263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71.51719028518761</v>
      </c>
      <c r="AA45" s="21">
        <f>EXP(-LN(2)/25)*AA44+(1-EXP(-LN(2)/25))/(LN(2)/25)*Calculateur!V45*Calculateur!X45*VLOOKUP('Données projet'!$B$9,Paramètres!$A$1:$I$89,3,0)*0.475*44/12</f>
        <v>21.484412449633691</v>
      </c>
      <c r="AB45" s="21">
        <f>EXP(-LN(2)/2)*AB44+(1-EXP(-LN(2)/2))/(LN(2)/2)*V45*Y45*VLOOKUP('Données projet'!$B$9,Paramètres!$A$1:$I$89,3,0)*0.475*44/12</f>
        <v>3.8265646219254532</v>
      </c>
      <c r="AC45" s="22">
        <f t="shared" si="3"/>
        <v>96.828167356746761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615</v>
      </c>
      <c r="AG45" s="12">
        <f>VLOOKUP(A45,'Données projet'!$A$61:$I$81,9,0)</f>
        <v>18.833333333333332</v>
      </c>
      <c r="AH45" s="12">
        <f t="array" ref="AH45">INDEX(AG:AG,MIN(IF(ISNUMBER(AG45:AG241),ROW(AG45:AG241),"")))</f>
        <v>18.833333333333332</v>
      </c>
      <c r="AI45" s="13">
        <f>IF('Données projet'!$A$62&gt;35,AI44+AH45-AQ44,IF(A45&lt;'Données projet'!$A$62,$AF$205^A45,IF(A45='Données projet'!$A$62,'Données projet'!$B$62,AI44+AH45-AQ44)))</f>
        <v>614.99999999999989</v>
      </c>
      <c r="AJ45" s="13">
        <f>AI45*VLOOKUP('Données projet'!$B$10,Paramètres!$A$1:$I$89,3,0)*VLOOKUP('Données projet'!$B$10,Paramètres!$A$1:$I$89,5,0)</f>
        <v>383.75999999999993</v>
      </c>
      <c r="AK45" s="13">
        <f t="shared" si="35"/>
        <v>88.476354614370933</v>
      </c>
      <c r="AL45" s="20">
        <f t="shared" si="4"/>
        <v>822.47831762002932</v>
      </c>
      <c r="AM45" s="59">
        <f t="shared" si="5"/>
        <v>1115.8116509533627</v>
      </c>
      <c r="AN45" s="59">
        <f ca="1">AVERAGE(OFFSET($AM$3,0,0,'Données projet'!$E$10+1,1))-AVERAGE(OFFSET($H$3,0,0,'Données projet'!$E$10+1,1))</f>
        <v>482.28841373508675</v>
      </c>
      <c r="AO45" s="59">
        <f t="shared" si="36"/>
        <v>746.97309214631684</v>
      </c>
      <c r="AP45" s="15">
        <f>IF(ISNA(VLOOKUP(A45,'Données projet'!$A$61:$I$81,3,0)),0,VLOOKUP(A45,'Données projet'!$A$61:$I$81,3,0))</f>
        <v>3</v>
      </c>
      <c r="AQ45" s="15">
        <f>IF(ISNA(VLOOKUP(A45,'Données projet'!$A$61:$I$81,4,0)),0,VLOOKUP(A45,'Données projet'!$A$61:$I$81,4,0))</f>
        <v>121</v>
      </c>
      <c r="AR45" s="16">
        <f>IF(ISNA(VLOOKUP(A45,'Données projet'!$A$61:$I$81,5,0)),0%,VLOOKUP(A45,'Données projet'!$A$61:$I$81,5,0)*VLOOKUP('Données projet'!$B$10,Paramètres!$A$1:$I$89,7,0))</f>
        <v>0.42</v>
      </c>
      <c r="AS45" s="16">
        <f>IF(ISNA(VLOOKUP(A45,'Données projet'!$A$61:$I$81,6,0)),0%,VLOOKUP(A45,'Données projet'!$A$61:$I$81,6,0)*VLOOKUP('Données projet'!$B$10,Paramètres!$A$1:$I$89,7,0))</f>
        <v>0.1008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108.13621698997297</v>
      </c>
      <c r="AV45" s="21">
        <f>EXP(-LN(2)/25)*AV44+(1-EXP(-LN(2)/25))/(LN(2)/25)*Calculateur!AQ45*Calculateur!AS45*VLOOKUP('Données projet'!$B$10,Paramètres!$A$1:$I$89,3,0)*0.475*44/12</f>
        <v>24.807005024082841</v>
      </c>
      <c r="AW45" s="21">
        <f>EXP(-LN(2)/2)*AW44+(1-EXP(-LN(2)/2))/(LN(2)/2)*AQ45*AT45*VLOOKUP('Données projet'!$B$10,Paramètres!$A$1:$I$89,3,0)*0.475*44/12</f>
        <v>12.827581657766494</v>
      </c>
      <c r="AX45" s="21">
        <f t="shared" si="6"/>
        <v>145.77080367182231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</v>
      </c>
      <c r="BD45" s="12">
        <f>IF('Données projet'!$A$88&gt;35,BD44+BC45-BL44,IF(A45&lt;'Données projet'!$A$88,$BA$205^A45,IF(A45='Données projet'!$A$88,'Données projet'!$B$88,BD44+BC45-BL44)))</f>
        <v>324.00000000000017</v>
      </c>
      <c r="BE45" s="13">
        <f>BD45*VLOOKUP('Données projet'!$B$11,Paramètres!$A$1:$I$89,3,0)*VLOOKUP('Données projet'!$B$11,Paramètres!$A$1:$I$89,5,0)</f>
        <v>193.75200000000009</v>
      </c>
      <c r="BF45" s="13">
        <f t="shared" si="37"/>
        <v>48.368520355376113</v>
      </c>
      <c r="BG45" s="20">
        <f t="shared" si="7"/>
        <v>421.69323961894696</v>
      </c>
      <c r="BH45" s="59">
        <f t="shared" si="8"/>
        <v>715.02657295228028</v>
      </c>
      <c r="BI45" s="59">
        <f ca="1">AVERAGE(OFFSET($BH$3,0,0,'Données projet'!$E$11+1,1))-AVERAGE(OFFSET($H$3,0,0,'Données projet'!$E$11+1,1))</f>
        <v>284.42619963941019</v>
      </c>
      <c r="BJ45" s="59">
        <f t="shared" si="38"/>
        <v>301.41905904220812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42.328966106757072</v>
      </c>
      <c r="BQ45" s="21">
        <f>EXP(-LN(2)/25)*BQ44+(1-EXP(-LN(2)/25))/(LN(2)/25)*Calculateur!BL45*Calculateur!BN45*VLOOKUP('Données projet'!$B$11,Paramètres!$A$1:$I$89,3,0)*0.475*44/12</f>
        <v>10.906331638284572</v>
      </c>
      <c r="BR45" s="21">
        <f>EXP(-LN(2)/2)*BR44+(1-EXP(-LN(2)/2))/(LN(2)/2)*BL45*BO45*VLOOKUP('Données projet'!$B$11,Paramètres!$A$1:$I$89,3,0)*0.475*44/12</f>
        <v>2.641475385362325</v>
      </c>
      <c r="BS45" s="22">
        <f t="shared" si="9"/>
        <v>55.876773130403969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24.8</v>
      </c>
      <c r="N46" s="13">
        <f>IF('Données projet'!$A$36&gt;35,N45+M46-V45,IF(A46&lt;'Données projet'!$A$36,$K$205^A46,IF(A46='Données projet'!$A$36,'Données projet'!$B$36,N45+M46-V45)))</f>
        <v>636.39999999999975</v>
      </c>
      <c r="O46" s="13">
        <f>N46*VLOOKUP('Données projet'!$B$9,Paramètres!$A$1:$I$89,3,0)*VLOOKUP('Données projet'!$B$9,Paramètres!$A$1:$I$89,5,0)</f>
        <v>355.74759999999986</v>
      </c>
      <c r="P46" s="13">
        <f t="shared" si="33"/>
        <v>82.744877508992289</v>
      </c>
      <c r="Q46" s="20">
        <f t="shared" si="53"/>
        <v>763.70773166149456</v>
      </c>
      <c r="R46" s="59">
        <f t="shared" si="0"/>
        <v>1057.0410649948278</v>
      </c>
      <c r="S46" s="59">
        <f ca="1">AVERAGE(OFFSET($R$3,0,0,'Données projet'!$E$9+1,1))-AVERAGE(OFFSET($H$3,0,0,'Données projet'!$E$9+1,1))</f>
        <v>490.96084572840579</v>
      </c>
      <c r="T46" s="59">
        <f t="shared" si="34"/>
        <v>597.91658789908263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70.114781804873914</v>
      </c>
      <c r="AA46" s="21">
        <f>EXP(-LN(2)/25)*AA45+(1-EXP(-LN(2)/25))/(LN(2)/25)*Calculateur!V46*Calculateur!X46*VLOOKUP('Données projet'!$B$9,Paramètres!$A$1:$I$89,3,0)*0.475*44/12</f>
        <v>20.896920061382311</v>
      </c>
      <c r="AB46" s="21">
        <f>EXP(-LN(2)/2)*AB45+(1-EXP(-LN(2)/2))/(LN(2)/2)*V46*Y46*VLOOKUP('Données projet'!$B$9,Paramètres!$A$1:$I$89,3,0)*0.475*44/12</f>
        <v>2.7057897928120256</v>
      </c>
      <c r="AC46" s="22">
        <f t="shared" si="3"/>
        <v>93.717491659068259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17.666666666666668</v>
      </c>
      <c r="AI46" s="13">
        <f>IF('Données projet'!$A$62&gt;35,AI45+AH46-AQ45,IF(A46&lt;'Données projet'!$A$62,$AF$205^A46,IF(A46='Données projet'!$A$62,'Données projet'!$B$62,AI45+AH46-AQ45)))</f>
        <v>511.66666666666652</v>
      </c>
      <c r="AJ46" s="13">
        <f>AI46*VLOOKUP('Données projet'!$B$10,Paramètres!$A$1:$I$89,3,0)*VLOOKUP('Données projet'!$B$10,Paramètres!$A$1:$I$89,5,0)</f>
        <v>319.27999999999992</v>
      </c>
      <c r="AK46" s="13">
        <f t="shared" si="35"/>
        <v>75.203524026346827</v>
      </c>
      <c r="AL46" s="20">
        <f t="shared" si="4"/>
        <v>687.05880434588732</v>
      </c>
      <c r="AM46" s="59">
        <f t="shared" si="5"/>
        <v>980.3921376792207</v>
      </c>
      <c r="AN46" s="59">
        <f ca="1">AVERAGE(OFFSET($AM$3,0,0,'Données projet'!$E$10+1,1))-AVERAGE(OFFSET($H$3,0,0,'Données projet'!$E$10+1,1))</f>
        <v>482.28841373508675</v>
      </c>
      <c r="AO46" s="59">
        <f t="shared" si="36"/>
        <v>746.97309214631684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106.01573173137929</v>
      </c>
      <c r="AV46" s="21">
        <f>EXP(-LN(2)/25)*AV45+(1-EXP(-LN(2)/25))/(LN(2)/25)*Calculateur!AQ46*Calculateur!AS46*VLOOKUP('Données projet'!$B$10,Paramètres!$A$1:$I$89,3,0)*0.475*44/12</f>
        <v>24.128656167155597</v>
      </c>
      <c r="AW46" s="21">
        <f>EXP(-LN(2)/2)*AW45+(1-EXP(-LN(2)/2))/(LN(2)/2)*AQ46*AT46*VLOOKUP('Données projet'!$B$10,Paramètres!$A$1:$I$89,3,0)*0.475*44/12</f>
        <v>9.0704699764308643</v>
      </c>
      <c r="AX46" s="21">
        <f t="shared" si="6"/>
        <v>139.21485787496576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</v>
      </c>
      <c r="BD46" s="12">
        <f>IF('Données projet'!$A$88&gt;35,BD45+BC46-BL45,IF(A46&lt;'Données projet'!$A$88,$BA$205^A46,IF(A46='Données projet'!$A$88,'Données projet'!$B$88,BD45+BC46-BL45)))</f>
        <v>344.00000000000017</v>
      </c>
      <c r="BE46" s="13">
        <f>BD46*VLOOKUP('Données projet'!$B$11,Paramètres!$A$1:$I$89,3,0)*VLOOKUP('Données projet'!$B$11,Paramètres!$A$1:$I$89,5,0)</f>
        <v>205.71200000000013</v>
      </c>
      <c r="BF46" s="13">
        <f t="shared" si="37"/>
        <v>50.997427696933762</v>
      </c>
      <c r="BG46" s="20">
        <f t="shared" si="7"/>
        <v>447.10225323882656</v>
      </c>
      <c r="BH46" s="59">
        <f t="shared" si="8"/>
        <v>740.43558657215988</v>
      </c>
      <c r="BI46" s="59">
        <f ca="1">AVERAGE(OFFSET($BH$3,0,0,'Données projet'!$E$11+1,1))-AVERAGE(OFFSET($H$3,0,0,'Données projet'!$E$11+1,1))</f>
        <v>284.42619963941019</v>
      </c>
      <c r="BJ46" s="59">
        <f t="shared" si="38"/>
        <v>301.41905904220812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41.498920899523561</v>
      </c>
      <c r="BQ46" s="21">
        <f>EXP(-LN(2)/25)*BQ45+(1-EXP(-LN(2)/25))/(LN(2)/25)*Calculateur!BL46*Calculateur!BN46*VLOOKUP('Données projet'!$B$11,Paramètres!$A$1:$I$89,3,0)*0.475*44/12</f>
        <v>10.608097426096625</v>
      </c>
      <c r="BR46" s="21">
        <f>EXP(-LN(2)/2)*BR45+(1-EXP(-LN(2)/2))/(LN(2)/2)*BL46*BO46*VLOOKUP('Données projet'!$B$11,Paramètres!$A$1:$I$89,3,0)*0.475*44/12</f>
        <v>1.8678051573270489</v>
      </c>
      <c r="BS46" s="22">
        <f t="shared" si="9"/>
        <v>53.974823482947237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24.8</v>
      </c>
      <c r="N47" s="13">
        <f>IF('Données projet'!$A$36&gt;35,N46+M47-V46,IF(A47&lt;'Données projet'!$A$36,$K$205^A47,IF(A47='Données projet'!$A$36,'Données projet'!$B$36,N46+M47-V46)))</f>
        <v>661.1999999999997</v>
      </c>
      <c r="O47" s="13">
        <f>N47*VLOOKUP('Données projet'!$B$9,Paramètres!$A$1:$I$89,3,0)*VLOOKUP('Données projet'!$B$9,Paramètres!$A$1:$I$89,5,0)</f>
        <v>369.61079999999981</v>
      </c>
      <c r="P47" s="13">
        <f t="shared" si="33"/>
        <v>85.587677206936931</v>
      </c>
      <c r="Q47" s="20">
        <f t="shared" si="53"/>
        <v>792.80401446874805</v>
      </c>
      <c r="R47" s="59">
        <f t="shared" si="0"/>
        <v>1086.1373478020814</v>
      </c>
      <c r="S47" s="59">
        <f ca="1">AVERAGE(OFFSET($R$3,0,0,'Données projet'!$E$9+1,1))-AVERAGE(OFFSET($H$3,0,0,'Données projet'!$E$9+1,1))</f>
        <v>490.96084572840579</v>
      </c>
      <c r="T47" s="59">
        <f t="shared" si="34"/>
        <v>597.91658789908263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68.739873699474472</v>
      </c>
      <c r="AA47" s="21">
        <f>EXP(-LN(2)/25)*AA46+(1-EXP(-LN(2)/25))/(LN(2)/25)*Calculateur!V47*Calculateur!X47*VLOOKUP('Données projet'!$B$9,Paramètres!$A$1:$I$89,3,0)*0.475*44/12</f>
        <v>20.325492683382546</v>
      </c>
      <c r="AB47" s="21">
        <f>EXP(-LN(2)/2)*AB46+(1-EXP(-LN(2)/2))/(LN(2)/2)*V47*Y47*VLOOKUP('Données projet'!$B$9,Paramètres!$A$1:$I$89,3,0)*0.475*44/12</f>
        <v>1.9132823109627268</v>
      </c>
      <c r="AC47" s="22">
        <f t="shared" si="3"/>
        <v>90.97864869381975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17.666666666666668</v>
      </c>
      <c r="AI47" s="13">
        <f>IF('Données projet'!$A$62&gt;35,AI46+AH47-AQ46,IF(A47&lt;'Données projet'!$A$62,$AF$205^A47,IF(A47='Données projet'!$A$62,'Données projet'!$B$62,AI46+AH47-AQ46)))</f>
        <v>529.33333333333314</v>
      </c>
      <c r="AJ47" s="13">
        <f>AI47*VLOOKUP('Données projet'!$B$10,Paramètres!$A$1:$I$89,3,0)*VLOOKUP('Données projet'!$B$10,Paramètres!$A$1:$I$89,5,0)</f>
        <v>330.30399999999986</v>
      </c>
      <c r="AK47" s="13">
        <f t="shared" si="35"/>
        <v>77.493330749887136</v>
      </c>
      <c r="AL47" s="20">
        <f t="shared" si="4"/>
        <v>710.24701772271976</v>
      </c>
      <c r="AM47" s="59">
        <f t="shared" si="5"/>
        <v>1003.5803510560531</v>
      </c>
      <c r="AN47" s="59">
        <f ca="1">AVERAGE(OFFSET($AM$3,0,0,'Données projet'!$E$10+1,1))-AVERAGE(OFFSET($H$3,0,0,'Données projet'!$E$10+1,1))</f>
        <v>482.28841373508675</v>
      </c>
      <c r="AO47" s="59">
        <f t="shared" si="36"/>
        <v>746.97309214631684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103.93682789533834</v>
      </c>
      <c r="AV47" s="21">
        <f>EXP(-LN(2)/25)*AV46+(1-EXP(-LN(2)/25))/(LN(2)/25)*Calculateur!AQ47*Calculateur!AS47*VLOOKUP('Données projet'!$B$10,Paramètres!$A$1:$I$89,3,0)*0.475*44/12</f>
        <v>23.468856795393847</v>
      </c>
      <c r="AW47" s="21">
        <f>EXP(-LN(2)/2)*AW46+(1-EXP(-LN(2)/2))/(LN(2)/2)*AQ47*AT47*VLOOKUP('Données projet'!$B$10,Paramètres!$A$1:$I$89,3,0)*0.475*44/12</f>
        <v>6.4137908288832488</v>
      </c>
      <c r="AX47" s="21">
        <f t="shared" si="6"/>
        <v>133.81947551961542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</v>
      </c>
      <c r="BD47" s="12">
        <f>IF('Données projet'!$A$88&gt;35,BD46+BC47-BL46,IF(A47&lt;'Données projet'!$A$88,$BA$205^A47,IF(A47='Données projet'!$A$88,'Données projet'!$B$88,BD46+BC47-BL46)))</f>
        <v>364.00000000000017</v>
      </c>
      <c r="BE47" s="13">
        <f>BD47*VLOOKUP('Données projet'!$B$11,Paramètres!$A$1:$I$89,3,0)*VLOOKUP('Données projet'!$B$11,Paramètres!$A$1:$I$89,5,0)</f>
        <v>217.67200000000011</v>
      </c>
      <c r="BF47" s="13">
        <f t="shared" si="37"/>
        <v>53.60859357546007</v>
      </c>
      <c r="BG47" s="20">
        <f t="shared" si="7"/>
        <v>472.48036714392646</v>
      </c>
      <c r="BH47" s="59">
        <f t="shared" si="8"/>
        <v>765.81370047725977</v>
      </c>
      <c r="BI47" s="59">
        <f ca="1">AVERAGE(OFFSET($BH$3,0,0,'Données projet'!$E$11+1,1))-AVERAGE(OFFSET($H$3,0,0,'Données projet'!$E$11+1,1))</f>
        <v>284.42619963941019</v>
      </c>
      <c r="BJ47" s="59">
        <f t="shared" si="38"/>
        <v>301.41905904220812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40.685152372526318</v>
      </c>
      <c r="BQ47" s="21">
        <f>EXP(-LN(2)/25)*BQ46+(1-EXP(-LN(2)/25))/(LN(2)/25)*Calculateur!BL47*Calculateur!BN47*VLOOKUP('Données projet'!$B$11,Paramètres!$A$1:$I$89,3,0)*0.475*44/12</f>
        <v>10.318018444124414</v>
      </c>
      <c r="BR47" s="21">
        <f>EXP(-LN(2)/2)*BR46+(1-EXP(-LN(2)/2))/(LN(2)/2)*BL47*BO47*VLOOKUP('Données projet'!$B$11,Paramètres!$A$1:$I$89,3,0)*0.475*44/12</f>
        <v>1.3207376926811627</v>
      </c>
      <c r="BS47" s="22">
        <f t="shared" si="9"/>
        <v>52.323908509331893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686</v>
      </c>
      <c r="L48" s="12">
        <f>VLOOKUP(A48,'Données projet'!$A$35:$I$55,9,0)</f>
        <v>24.8</v>
      </c>
      <c r="M48" s="12">
        <f t="array" ref="M48">INDEX(L:L,MIN(IF(ISNUMBER(L48:L244),ROW(L48:L244),"")))</f>
        <v>24.8</v>
      </c>
      <c r="N48" s="13">
        <f>IF('Données projet'!$A$36&gt;35,N47+M48-V47,IF(A48&lt;'Données projet'!$A$36,$K$205^A48,IF(A48='Données projet'!$A$36,'Données projet'!$B$36,N47+M48-V47)))</f>
        <v>685.99999999999966</v>
      </c>
      <c r="O48" s="13">
        <f>N48*VLOOKUP('Données projet'!$B$9,Paramètres!$A$1:$I$89,3,0)*VLOOKUP('Données projet'!$B$9,Paramètres!$A$1:$I$89,5,0)</f>
        <v>383.47399999999982</v>
      </c>
      <c r="P48" s="13">
        <f t="shared" si="33"/>
        <v>88.418089567872116</v>
      </c>
      <c r="Q48" s="20">
        <f t="shared" si="53"/>
        <v>821.87872266404372</v>
      </c>
      <c r="R48" s="59">
        <f t="shared" si="0"/>
        <v>1115.2120559973771</v>
      </c>
      <c r="S48" s="59">
        <f ca="1">AVERAGE(OFFSET($R$3,0,0,'Données projet'!$E$9+1,1))-AVERAGE(OFFSET($H$3,0,0,'Données projet'!$E$9+1,1))</f>
        <v>490.96084572840579</v>
      </c>
      <c r="T48" s="59">
        <f t="shared" si="34"/>
        <v>597.91658789908263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64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9.3500000000000014E-2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85.663707137165687</v>
      </c>
      <c r="AA48" s="21">
        <f>EXP(-LN(2)/25)*AA47+(1-EXP(-LN(2)/25))/(LN(2)/25)*Calculateur!V48*Calculateur!X48*VLOOKUP('Données projet'!$B$9,Paramètres!$A$1:$I$89,3,0)*0.475*44/12</f>
        <v>24.189651546021132</v>
      </c>
      <c r="AB48" s="21">
        <f>EXP(-LN(2)/2)*AB47+(1-EXP(-LN(2)/2))/(LN(2)/2)*V48*Y48*VLOOKUP('Données projet'!$B$9,Paramètres!$A$1:$I$89,3,0)*0.475*44/12</f>
        <v>6.6187714443259029</v>
      </c>
      <c r="AC48" s="22">
        <f t="shared" si="3"/>
        <v>116.47213012751273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17.666666666666668</v>
      </c>
      <c r="AI48" s="13">
        <f>IF('Données projet'!$A$62&gt;35,AI47+AH48-AQ47,IF(A48&lt;'Données projet'!$A$62,$AF$205^A48,IF(A48='Données projet'!$A$62,'Données projet'!$B$62,AI47+AH48-AQ47)))</f>
        <v>546.99999999999977</v>
      </c>
      <c r="AJ48" s="13">
        <f>AI48*VLOOKUP('Données projet'!$B$10,Paramètres!$A$1:$I$89,3,0)*VLOOKUP('Données projet'!$B$10,Paramètres!$A$1:$I$89,5,0)</f>
        <v>341.32799999999986</v>
      </c>
      <c r="AK48" s="13">
        <f t="shared" si="35"/>
        <v>79.774257349132355</v>
      </c>
      <c r="AL48" s="20">
        <f t="shared" si="4"/>
        <v>733.41976488307193</v>
      </c>
      <c r="AM48" s="59">
        <f t="shared" si="5"/>
        <v>1026.7530982164053</v>
      </c>
      <c r="AN48" s="59">
        <f ca="1">AVERAGE(OFFSET($AM$3,0,0,'Données projet'!$E$10+1,1))-AVERAGE(OFFSET($H$3,0,0,'Données projet'!$E$10+1,1))</f>
        <v>482.28841373508675</v>
      </c>
      <c r="AO48" s="59">
        <f t="shared" si="36"/>
        <v>746.97309214631684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101.89869009551602</v>
      </c>
      <c r="AV48" s="21">
        <f>EXP(-LN(2)/25)*AV47+(1-EXP(-LN(2)/25))/(LN(2)/25)*Calculateur!AQ48*Calculateur!AS48*VLOOKUP('Données projet'!$B$10,Paramètres!$A$1:$I$89,3,0)*0.475*44/12</f>
        <v>22.827099672150261</v>
      </c>
      <c r="AW48" s="21">
        <f>EXP(-LN(2)/2)*AW47+(1-EXP(-LN(2)/2))/(LN(2)/2)*AQ48*AT48*VLOOKUP('Données projet'!$B$10,Paramètres!$A$1:$I$89,3,0)*0.475*44/12</f>
        <v>4.535234988215433</v>
      </c>
      <c r="AX48" s="21">
        <f t="shared" si="6"/>
        <v>129.26102475588169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384</v>
      </c>
      <c r="BB48" s="12">
        <f>VLOOKUP(A48,'Données projet'!$A$87:$I$107,9,0)</f>
        <v>20</v>
      </c>
      <c r="BC48" s="12">
        <f t="array" ref="BC48">INDEX(BB:BB,MIN(IF(ISNUMBER(BB48:BB244),ROW(BB48:BB244),"")))</f>
        <v>20</v>
      </c>
      <c r="BD48" s="12">
        <f>IF('Données projet'!$A$88&gt;35,BD47+BC48-BL47,IF(A48&lt;'Données projet'!$A$88,$BA$205^A48,IF(A48='Données projet'!$A$88,'Données projet'!$B$88,BD47+BC48-BL47)))</f>
        <v>384.00000000000017</v>
      </c>
      <c r="BE48" s="13">
        <f>BD48*VLOOKUP('Données projet'!$B$11,Paramètres!$A$1:$I$89,3,0)*VLOOKUP('Données projet'!$B$11,Paramètres!$A$1:$I$89,5,0)</f>
        <v>229.63200000000015</v>
      </c>
      <c r="BF48" s="13">
        <f t="shared" si="37"/>
        <v>56.20310391330672</v>
      </c>
      <c r="BG48" s="20">
        <f t="shared" si="7"/>
        <v>497.8294726490094</v>
      </c>
      <c r="BH48" s="59">
        <f t="shared" si="8"/>
        <v>791.16280598234266</v>
      </c>
      <c r="BI48" s="59">
        <f ca="1">AVERAGE(OFFSET($BH$3,0,0,'Données projet'!$E$11+1,1))-AVERAGE(OFFSET($H$3,0,0,'Données projet'!$E$11+1,1))</f>
        <v>284.42619963941019</v>
      </c>
      <c r="BJ48" s="59">
        <f t="shared" si="38"/>
        <v>301.41905904220812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57</v>
      </c>
      <c r="BM48" s="16">
        <f>IF(ISNA(VLOOKUP(A48,'Données projet'!$A$87:$I$107,5,0)),0%,VLOOKUP(A48,'Données projet'!$A$87:$I$107,5,0)*VLOOKUP('Données projet'!$B$11,Paramètres!$A$1:$I$89,7,0))</f>
        <v>0.315</v>
      </c>
      <c r="BN48" s="16">
        <f>IF(ISNA(VLOOKUP(A48,'Données projet'!$A$87:$I$107,6,0)),0%,VLOOKUP(A48,'Données projet'!$A$87:$I$107,6,0)*VLOOKUP('Données projet'!$B$11,Paramètres!$A$1:$I$89,7,0))</f>
        <v>7.5600000000000001E-2</v>
      </c>
      <c r="BO48" s="16">
        <f>IF(ISNA(VLOOKUP(A48,'Données projet'!$A$87:$I$107,7,0)),0%,VLOOKUP(A48,'Données projet'!$A$87:$I$107,7,0))</f>
        <v>0.13200000000000001</v>
      </c>
      <c r="BP48" s="21">
        <f>EXP(-LN(2)/35)*BP47+(1-EXP(-LN(2)/35))/(LN(2)/35)*BL48*BM48*VLOOKUP('Données projet'!$B$11,Paramètres!$A$1:$I$89,3,0)*0.475*44/12</f>
        <v>54.130783298849032</v>
      </c>
      <c r="BQ48" s="21">
        <f>EXP(-LN(2)/25)*BQ47+(1-EXP(-LN(2)/25))/(LN(2)/25)*Calculateur!BL48*Calculateur!BN48*VLOOKUP('Données projet'!$B$11,Paramètres!$A$1:$I$89,3,0)*0.475*44/12</f>
        <v>13.440838108943021</v>
      </c>
      <c r="BR48" s="21">
        <f>EXP(-LN(2)/2)*BR47+(1-EXP(-LN(2)/2))/(LN(2)/2)*BL48*BO48*VLOOKUP('Données projet'!$B$11,Paramètres!$A$1:$I$89,3,0)*0.475*44/12</f>
        <v>6.0282142310038243</v>
      </c>
      <c r="BS48" s="22">
        <f t="shared" si="9"/>
        <v>73.599835638795881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20.399999999999999</v>
      </c>
      <c r="N49" s="13">
        <f>IF('Données projet'!$A$36&gt;35,N48+M49-V48,IF(A49&lt;'Données projet'!$A$36,$K$205^A49,IF(A49='Données projet'!$A$36,'Données projet'!$B$36,N48+M49-V48)))</f>
        <v>642.39999999999964</v>
      </c>
      <c r="O49" s="13">
        <f>N49*VLOOKUP('Données projet'!$B$9,Paramètres!$A$1:$I$89,3,0)*VLOOKUP('Données projet'!$B$9,Paramètres!$A$1:$I$89,5,0)</f>
        <v>359.10159999999985</v>
      </c>
      <c r="P49" s="13">
        <f t="shared" si="33"/>
        <v>83.433815871723468</v>
      </c>
      <c r="Q49" s="20">
        <f t="shared" si="53"/>
        <v>770.74918264325152</v>
      </c>
      <c r="R49" s="59">
        <f t="shared" si="0"/>
        <v>1064.0825159765848</v>
      </c>
      <c r="S49" s="59">
        <f ca="1">AVERAGE(OFFSET($R$3,0,0,'Données projet'!$E$9+1,1))-AVERAGE(OFFSET($H$3,0,0,'Données projet'!$E$9+1,1))</f>
        <v>490.96084572840579</v>
      </c>
      <c r="T49" s="59">
        <f t="shared" si="34"/>
        <v>597.91658789908263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83.983894089907992</v>
      </c>
      <c r="AA49" s="21">
        <f>EXP(-LN(2)/25)*AA48+(1-EXP(-LN(2)/25))/(LN(2)/25)*Calculateur!V49*Calculateur!X49*VLOOKUP('Données projet'!$B$9,Paramètres!$A$1:$I$89,3,0)*0.475*44/12</f>
        <v>23.528184252416697</v>
      </c>
      <c r="AB49" s="21">
        <f>EXP(-LN(2)/2)*AB48+(1-EXP(-LN(2)/2))/(LN(2)/2)*V49*Y49*VLOOKUP('Données projet'!$B$9,Paramètres!$A$1:$I$89,3,0)*0.475*44/12</f>
        <v>4.6801781714067259</v>
      </c>
      <c r="AC49" s="22">
        <f t="shared" si="3"/>
        <v>112.19225651373141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17.666666666666668</v>
      </c>
      <c r="AI49" s="13">
        <f>IF('Données projet'!$A$62&gt;35,AI48+AH49-AQ48,IF(A49&lt;'Données projet'!$A$62,$AF$205^A49,IF(A49='Données projet'!$A$62,'Données projet'!$B$62,AI48+AH49-AQ48)))</f>
        <v>564.6666666666664</v>
      </c>
      <c r="AJ49" s="13">
        <f>AI49*VLOOKUP('Données projet'!$B$10,Paramètres!$A$1:$I$89,3,0)*VLOOKUP('Données projet'!$B$10,Paramètres!$A$1:$I$89,5,0)</f>
        <v>352.3519999999998</v>
      </c>
      <c r="AK49" s="13">
        <f t="shared" si="35"/>
        <v>82.046623524629794</v>
      </c>
      <c r="AL49" s="20">
        <f t="shared" si="4"/>
        <v>756.57760263872979</v>
      </c>
      <c r="AM49" s="59">
        <f t="shared" si="5"/>
        <v>1049.910935972063</v>
      </c>
      <c r="AN49" s="59">
        <f ca="1">AVERAGE(OFFSET($AM$3,0,0,'Données projet'!$E$10+1,1))-AVERAGE(OFFSET($H$3,0,0,'Données projet'!$E$10+1,1))</f>
        <v>482.28841373508675</v>
      </c>
      <c r="AO49" s="59">
        <f t="shared" si="36"/>
        <v>746.97309214631684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99.900518934806897</v>
      </c>
      <c r="AV49" s="21">
        <f>EXP(-LN(2)/25)*AV48+(1-EXP(-LN(2)/25))/(LN(2)/25)*Calculateur!AQ49*Calculateur!AS49*VLOOKUP('Données projet'!$B$10,Paramètres!$A$1:$I$89,3,0)*0.475*44/12</f>
        <v>22.202891431190313</v>
      </c>
      <c r="AW49" s="21">
        <f>EXP(-LN(2)/2)*AW48+(1-EXP(-LN(2)/2))/(LN(2)/2)*AQ49*AT49*VLOOKUP('Données projet'!$B$10,Paramètres!$A$1:$I$89,3,0)*0.475*44/12</f>
        <v>3.2068954144416248</v>
      </c>
      <c r="AX49" s="21">
        <f t="shared" si="6"/>
        <v>125.31030578043882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344.40000000000015</v>
      </c>
      <c r="BE49" s="13">
        <f>BD49*VLOOKUP('Données projet'!$B$11,Paramètres!$A$1:$I$89,3,0)*VLOOKUP('Données projet'!$B$11,Paramètres!$A$1:$I$89,5,0)</f>
        <v>205.95120000000009</v>
      </c>
      <c r="BF49" s="13">
        <f t="shared" si="37"/>
        <v>51.049821044529857</v>
      </c>
      <c r="BG49" s="20">
        <f t="shared" si="7"/>
        <v>447.61011165255627</v>
      </c>
      <c r="BH49" s="59">
        <f t="shared" si="8"/>
        <v>740.94344498588953</v>
      </c>
      <c r="BI49" s="59">
        <f ca="1">AVERAGE(OFFSET($BH$3,0,0,'Données projet'!$E$11+1,1))-AVERAGE(OFFSET($H$3,0,0,'Données projet'!$E$11+1,1))</f>
        <v>284.42619963941019</v>
      </c>
      <c r="BJ49" s="59">
        <f t="shared" si="38"/>
        <v>301.41905904220812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53.069311654876302</v>
      </c>
      <c r="BQ49" s="21">
        <f>EXP(-LN(2)/25)*BQ48+(1-EXP(-LN(2)/25))/(LN(2)/25)*Calculateur!BL49*Calculateur!BN49*VLOOKUP('Données projet'!$B$11,Paramètres!$A$1:$I$89,3,0)*0.475*44/12</f>
        <v>13.073297684031017</v>
      </c>
      <c r="BR49" s="21">
        <f>EXP(-LN(2)/2)*BR48+(1-EXP(-LN(2)/2))/(LN(2)/2)*BL49*BO49*VLOOKUP('Données projet'!$B$11,Paramètres!$A$1:$I$89,3,0)*0.475*44/12</f>
        <v>4.2625911611880536</v>
      </c>
      <c r="BS49" s="22">
        <f t="shared" si="9"/>
        <v>70.405200500095376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20.399999999999999</v>
      </c>
      <c r="N50" s="13">
        <f>IF('Données projet'!$A$36&gt;35,N49+M50-V49,IF(A50&lt;'Données projet'!$A$36,$K$205^A50,IF(A50='Données projet'!$A$36,'Données projet'!$B$36,N49+M50-V49)))</f>
        <v>662.79999999999961</v>
      </c>
      <c r="O50" s="13">
        <f>N50*VLOOKUP('Données projet'!$B$9,Paramètres!$A$1:$I$89,3,0)*VLOOKUP('Données projet'!$B$9,Paramètres!$A$1:$I$89,5,0)</f>
        <v>370.50519999999983</v>
      </c>
      <c r="P50" s="13">
        <f t="shared" si="33"/>
        <v>85.770652719303072</v>
      </c>
      <c r="Q50" s="20">
        <f t="shared" si="53"/>
        <v>794.6804434861192</v>
      </c>
      <c r="R50" s="59">
        <f t="shared" si="0"/>
        <v>1088.0137768194525</v>
      </c>
      <c r="S50" s="59">
        <f ca="1">AVERAGE(OFFSET($R$3,0,0,'Données projet'!$E$9+1,1))-AVERAGE(OFFSET($H$3,0,0,'Données projet'!$E$9+1,1))</f>
        <v>490.96084572840579</v>
      </c>
      <c r="T50" s="59">
        <f t="shared" si="34"/>
        <v>597.91658789908263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82.337021151922229</v>
      </c>
      <c r="AA50" s="21">
        <f>EXP(-LN(2)/25)*AA49+(1-EXP(-LN(2)/25))/(LN(2)/25)*Calculateur!V50*Calculateur!X50*VLOOKUP('Données projet'!$B$9,Paramètres!$A$1:$I$89,3,0)*0.475*44/12</f>
        <v>22.884804816740928</v>
      </c>
      <c r="AB50" s="21">
        <f>EXP(-LN(2)/2)*AB49+(1-EXP(-LN(2)/2))/(LN(2)/2)*V50*Y50*VLOOKUP('Données projet'!$B$9,Paramètres!$A$1:$I$89,3,0)*0.475*44/12</f>
        <v>3.3093857221629519</v>
      </c>
      <c r="AC50" s="22">
        <f t="shared" si="3"/>
        <v>108.53121169082611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17.666666666666668</v>
      </c>
      <c r="AI50" s="13">
        <f>IF('Données projet'!$A$62&gt;35,AI49+AH50-AQ49,IF(A50&lt;'Données projet'!$A$62,$AF$205^A50,IF(A50='Données projet'!$A$62,'Données projet'!$B$62,AI49+AH50-AQ49)))</f>
        <v>582.33333333333303</v>
      </c>
      <c r="AJ50" s="13">
        <f>AI50*VLOOKUP('Données projet'!$B$10,Paramètres!$A$1:$I$89,3,0)*VLOOKUP('Données projet'!$B$10,Paramètres!$A$1:$I$89,5,0)</f>
        <v>363.37599999999986</v>
      </c>
      <c r="AK50" s="13">
        <f t="shared" si="35"/>
        <v>84.310727835802666</v>
      </c>
      <c r="AL50" s="20">
        <f t="shared" si="4"/>
        <v>779.72105098068926</v>
      </c>
      <c r="AM50" s="59">
        <f t="shared" si="5"/>
        <v>1073.0543843140226</v>
      </c>
      <c r="AN50" s="59">
        <f ca="1">AVERAGE(OFFSET($AM$3,0,0,'Données projet'!$E$10+1,1))-AVERAGE(OFFSET($H$3,0,0,'Données projet'!$E$10+1,1))</f>
        <v>482.28841373508675</v>
      </c>
      <c r="AO50" s="59">
        <f t="shared" si="36"/>
        <v>746.97309214631684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97.941530691795222</v>
      </c>
      <c r="AV50" s="21">
        <f>EXP(-LN(2)/25)*AV49+(1-EXP(-LN(2)/25))/(LN(2)/25)*Calculateur!AQ50*Calculateur!AS50*VLOOKUP('Données projet'!$B$10,Paramètres!$A$1:$I$89,3,0)*0.475*44/12</f>
        <v>21.595752197405098</v>
      </c>
      <c r="AW50" s="21">
        <f>EXP(-LN(2)/2)*AW49+(1-EXP(-LN(2)/2))/(LN(2)/2)*AQ50*AT50*VLOOKUP('Données projet'!$B$10,Paramètres!$A$1:$I$89,3,0)*0.475*44/12</f>
        <v>2.267617494107717</v>
      </c>
      <c r="AX50" s="21">
        <f t="shared" si="6"/>
        <v>121.80490038330804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361.80000000000013</v>
      </c>
      <c r="BE50" s="13">
        <f>BD50*VLOOKUP('Données projet'!$B$11,Paramètres!$A$1:$I$89,3,0)*VLOOKUP('Données projet'!$B$11,Paramètres!$A$1:$I$89,5,0)</f>
        <v>216.35640000000006</v>
      </c>
      <c r="BF50" s="13">
        <f t="shared" si="37"/>
        <v>53.322199188237285</v>
      </c>
      <c r="BG50" s="20">
        <f t="shared" si="7"/>
        <v>469.69022691951341</v>
      </c>
      <c r="BH50" s="59">
        <f t="shared" si="8"/>
        <v>763.02356025284666</v>
      </c>
      <c r="BI50" s="59">
        <f ca="1">AVERAGE(OFFSET($BH$3,0,0,'Données projet'!$E$11+1,1))-AVERAGE(OFFSET($H$3,0,0,'Données projet'!$E$11+1,1))</f>
        <v>284.42619963941019</v>
      </c>
      <c r="BJ50" s="59">
        <f t="shared" si="38"/>
        <v>301.41905904220812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52.028654822408107</v>
      </c>
      <c r="BQ50" s="21">
        <f>EXP(-LN(2)/25)*BQ49+(1-EXP(-LN(2)/25))/(LN(2)/25)*Calculateur!BL50*Calculateur!BN50*VLOOKUP('Données projet'!$B$11,Paramètres!$A$1:$I$89,3,0)*0.475*44/12</f>
        <v>12.715807671366344</v>
      </c>
      <c r="BR50" s="21">
        <f>EXP(-LN(2)/2)*BR49+(1-EXP(-LN(2)/2))/(LN(2)/2)*BL50*BO50*VLOOKUP('Données projet'!$B$11,Paramètres!$A$1:$I$89,3,0)*0.475*44/12</f>
        <v>3.0141071155019126</v>
      </c>
      <c r="BS50" s="22">
        <f t="shared" si="9"/>
        <v>67.758569609276364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20.399999999999999</v>
      </c>
      <c r="N51" s="13">
        <f>IF('Données projet'!$A$36&gt;35,N50+M51-V50,IF(A51&lt;'Données projet'!$A$36,$K$205^A51,IF(A51='Données projet'!$A$36,'Données projet'!$B$36,N50+M51-V50)))</f>
        <v>683.19999999999959</v>
      </c>
      <c r="O51" s="13">
        <f>N51*VLOOKUP('Données projet'!$B$9,Paramètres!$A$1:$I$89,3,0)*VLOOKUP('Données projet'!$B$9,Paramètres!$A$1:$I$89,5,0)</f>
        <v>381.90879999999981</v>
      </c>
      <c r="P51" s="13">
        <f t="shared" si="33"/>
        <v>88.099131154986978</v>
      </c>
      <c r="Q51" s="20">
        <f t="shared" si="53"/>
        <v>818.59714676160195</v>
      </c>
      <c r="R51" s="59">
        <f t="shared" si="0"/>
        <v>1111.9304800949353</v>
      </c>
      <c r="S51" s="59">
        <f ca="1">AVERAGE(OFFSET($R$3,0,0,'Données projet'!$E$9+1,1))-AVERAGE(OFFSET($H$3,0,0,'Données projet'!$E$9+1,1))</f>
        <v>490.96084572840579</v>
      </c>
      <c r="T51" s="59">
        <f t="shared" si="34"/>
        <v>597.91658789908263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80.722442387757056</v>
      </c>
      <c r="AA51" s="21">
        <f>EXP(-LN(2)/25)*AA50+(1-EXP(-LN(2)/25))/(LN(2)/25)*Calculateur!V51*Calculateur!X51*VLOOKUP('Données projet'!$B$9,Paramètres!$A$1:$I$89,3,0)*0.475*44/12</f>
        <v>22.259018625567567</v>
      </c>
      <c r="AB51" s="21">
        <f>EXP(-LN(2)/2)*AB50+(1-EXP(-LN(2)/2))/(LN(2)/2)*V51*Y51*VLOOKUP('Données projet'!$B$9,Paramètres!$A$1:$I$89,3,0)*0.475*44/12</f>
        <v>2.3400890857033629</v>
      </c>
      <c r="AC51" s="22">
        <f t="shared" si="3"/>
        <v>105.32155009902799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600</v>
      </c>
      <c r="AG51" s="12">
        <f>VLOOKUP(A51,'Données projet'!$A$61:$I$81,9,0)</f>
        <v>17.666666666666668</v>
      </c>
      <c r="AH51" s="12">
        <f t="array" ref="AH51">INDEX(AG:AG,MIN(IF(ISNUMBER(AG51:AG247),ROW(AG51:AG247),"")))</f>
        <v>17.666666666666668</v>
      </c>
      <c r="AI51" s="13">
        <f>IF('Données projet'!$A$62&gt;35,AI50+AH51-AQ50,IF(A51&lt;'Données projet'!$A$62,$AF$205^A51,IF(A51='Données projet'!$A$62,'Données projet'!$B$62,AI50+AH51-AQ50)))</f>
        <v>599.99999999999966</v>
      </c>
      <c r="AJ51" s="13">
        <f>AI51*VLOOKUP('Données projet'!$B$10,Paramètres!$A$1:$I$89,3,0)*VLOOKUP('Données projet'!$B$10,Paramètres!$A$1:$I$89,5,0)</f>
        <v>374.39999999999981</v>
      </c>
      <c r="AK51" s="13">
        <f t="shared" si="35"/>
        <v>86.56684969744741</v>
      </c>
      <c r="AL51" s="20">
        <f t="shared" si="4"/>
        <v>802.85059655638725</v>
      </c>
      <c r="AM51" s="59">
        <f t="shared" si="5"/>
        <v>1096.1839298897205</v>
      </c>
      <c r="AN51" s="59">
        <f ca="1">AVERAGE(OFFSET($AM$3,0,0,'Données projet'!$E$10+1,1))-AVERAGE(OFFSET($H$3,0,0,'Données projet'!$E$10+1,1))</f>
        <v>482.28841373508675</v>
      </c>
      <c r="AO51" s="59">
        <f t="shared" si="36"/>
        <v>746.97309214631684</v>
      </c>
      <c r="AP51" s="15">
        <f>IF(ISNA(VLOOKUP(A51,'Données projet'!$A$61:$I$81,3,0)),0,VLOOKUP(A51,'Données projet'!$A$61:$I$81,3,0))</f>
        <v>4</v>
      </c>
      <c r="AQ51" s="15">
        <f>IF(ISNA(VLOOKUP(A51,'Données projet'!$A$61:$I$81,4,0)),0,VLOOKUP(A51,'Données projet'!$A$61:$I$81,4,0))</f>
        <v>123</v>
      </c>
      <c r="AR51" s="16">
        <f>IF(ISNA(VLOOKUP(A51,'Données projet'!$A$61:$I$81,5,0)),0%,VLOOKUP(A51,'Données projet'!$A$61:$I$81,5,0)*VLOOKUP('Données projet'!$B$10,Paramètres!$A$1:$I$89,7,0))</f>
        <v>0.42</v>
      </c>
      <c r="AS51" s="16">
        <f>IF(ISNA(VLOOKUP(A51,'Données projet'!$A$61:$I$81,6,0)),0%,VLOOKUP(A51,'Données projet'!$A$61:$I$81,6,0)*VLOOKUP('Données projet'!$B$10,Paramètres!$A$1:$I$89,7,0))</f>
        <v>0.1008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138.78387654860029</v>
      </c>
      <c r="AV51" s="21">
        <f>EXP(-LN(2)/25)*AV50+(1-EXP(-LN(2)/25))/(LN(2)/25)*Calculateur!AQ51*Calculateur!AS51*VLOOKUP('Données projet'!$B$10,Paramètres!$A$1:$I$89,3,0)*0.475*44/12</f>
        <v>31.227906168394085</v>
      </c>
      <c r="AW51" s="21">
        <f>EXP(-LN(2)/2)*AW50+(1-EXP(-LN(2)/2))/(LN(2)/2)*AQ51*AT51*VLOOKUP('Données projet'!$B$10,Paramètres!$A$1:$I$89,3,0)*0.475*44/12</f>
        <v>13.074392022787984</v>
      </c>
      <c r="AX51" s="21">
        <f t="shared" si="6"/>
        <v>183.08617473978236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379.2000000000001</v>
      </c>
      <c r="BE51" s="13">
        <f>BD51*VLOOKUP('Données projet'!$B$11,Paramètres!$A$1:$I$89,3,0)*VLOOKUP('Données projet'!$B$11,Paramètres!$A$1:$I$89,5,0)</f>
        <v>226.76160000000007</v>
      </c>
      <c r="BF51" s="13">
        <f t="shared" si="37"/>
        <v>55.581886910575967</v>
      </c>
      <c r="BG51" s="20">
        <f t="shared" si="7"/>
        <v>491.74823970258649</v>
      </c>
      <c r="BH51" s="59">
        <f t="shared" si="8"/>
        <v>785.08157303591975</v>
      </c>
      <c r="BI51" s="59">
        <f ca="1">AVERAGE(OFFSET($BH$3,0,0,'Données projet'!$E$11+1,1))-AVERAGE(OFFSET($H$3,0,0,'Données projet'!$E$11+1,1))</f>
        <v>284.42619963941019</v>
      </c>
      <c r="BJ51" s="59">
        <f t="shared" si="38"/>
        <v>301.41905904220812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51.008404635686617</v>
      </c>
      <c r="BQ51" s="21">
        <f>EXP(-LN(2)/25)*BQ50+(1-EXP(-LN(2)/25))/(LN(2)/25)*Calculateur!BL51*Calculateur!BN51*VLOOKUP('Données projet'!$B$11,Paramètres!$A$1:$I$89,3,0)*0.475*44/12</f>
        <v>12.368093241897569</v>
      </c>
      <c r="BR51" s="21">
        <f>EXP(-LN(2)/2)*BR50+(1-EXP(-LN(2)/2))/(LN(2)/2)*BL51*BO51*VLOOKUP('Données projet'!$B$11,Paramètres!$A$1:$I$89,3,0)*0.475*44/12</f>
        <v>2.1312955805940268</v>
      </c>
      <c r="BS51" s="22">
        <f t="shared" si="9"/>
        <v>65.507793458178213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20.399999999999999</v>
      </c>
      <c r="N52" s="13">
        <f>IF('Données projet'!$A$36&gt;35,N51+M52-V51,IF(A52&lt;'Données projet'!$A$36,$K$205^A52,IF(A52='Données projet'!$A$36,'Données projet'!$B$36,N51+M52-V51)))</f>
        <v>703.59999999999957</v>
      </c>
      <c r="O52" s="13">
        <f>N52*VLOOKUP('Données projet'!$B$9,Paramètres!$A$1:$I$89,3,0)*VLOOKUP('Données projet'!$B$9,Paramètres!$A$1:$I$89,5,0)</f>
        <v>393.3123999999998</v>
      </c>
      <c r="P52" s="13">
        <f t="shared" si="33"/>
        <v>90.419529407700907</v>
      </c>
      <c r="Q52" s="20">
        <f t="shared" si="53"/>
        <v>842.49977705174535</v>
      </c>
      <c r="R52" s="59">
        <f t="shared" si="0"/>
        <v>1135.8331103850787</v>
      </c>
      <c r="S52" s="59">
        <f ca="1">AVERAGE(OFFSET($R$3,0,0,'Données projet'!$E$9+1,1))-AVERAGE(OFFSET($H$3,0,0,'Données projet'!$E$9+1,1))</f>
        <v>490.96084572840579</v>
      </c>
      <c r="T52" s="59">
        <f t="shared" si="34"/>
        <v>597.91658789908263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79.139524528361363</v>
      </c>
      <c r="AA52" s="21">
        <f>EXP(-LN(2)/25)*AA51+(1-EXP(-LN(2)/25))/(LN(2)/25)*Calculateur!V52*Calculateur!X52*VLOOKUP('Données projet'!$B$9,Paramètres!$A$1:$I$89,3,0)*0.475*44/12</f>
        <v>21.650344590700506</v>
      </c>
      <c r="AB52" s="21">
        <f>EXP(-LN(2)/2)*AB51+(1-EXP(-LN(2)/2))/(LN(2)/2)*V52*Y52*VLOOKUP('Données projet'!$B$9,Paramètres!$A$1:$I$89,3,0)*0.475*44/12</f>
        <v>1.654692861081476</v>
      </c>
      <c r="AC52" s="22">
        <f t="shared" si="3"/>
        <v>102.44456198014335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</v>
      </c>
      <c r="AI52" s="13">
        <f>IF('Données projet'!$A$62&gt;35,AI51+AH52-AQ51,IF(A52&lt;'Données projet'!$A$62,$AF$205^A52,IF(A52='Données projet'!$A$62,'Données projet'!$B$62,AI51+AH52-AQ51)))</f>
        <v>492.99999999999966</v>
      </c>
      <c r="AJ52" s="13">
        <f>AI52*VLOOKUP('Données projet'!$B$10,Paramètres!$A$1:$I$89,3,0)*VLOOKUP('Données projet'!$B$10,Paramètres!$A$1:$I$89,5,0)</f>
        <v>307.63199999999978</v>
      </c>
      <c r="AK52" s="13">
        <f t="shared" si="35"/>
        <v>72.774077039465496</v>
      </c>
      <c r="AL52" s="20">
        <f t="shared" si="4"/>
        <v>662.54058417706869</v>
      </c>
      <c r="AM52" s="59">
        <f t="shared" si="5"/>
        <v>955.87391751040195</v>
      </c>
      <c r="AN52" s="59">
        <f ca="1">AVERAGE(OFFSET($AM$3,0,0,'Données projet'!$E$10+1,1))-AVERAGE(OFFSET($H$3,0,0,'Données projet'!$E$10+1,1))</f>
        <v>482.28841373508675</v>
      </c>
      <c r="AO52" s="59">
        <f t="shared" si="36"/>
        <v>746.97309214631684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136.06240937928845</v>
      </c>
      <c r="AV52" s="21">
        <f>EXP(-LN(2)/25)*AV51+(1-EXP(-LN(2)/25))/(LN(2)/25)*Calculateur!AQ52*Calculateur!AS52*VLOOKUP('Données projet'!$B$10,Paramètres!$A$1:$I$89,3,0)*0.475*44/12</f>
        <v>30.373977432015135</v>
      </c>
      <c r="AW52" s="21">
        <f>EXP(-LN(2)/2)*AW51+(1-EXP(-LN(2)/2))/(LN(2)/2)*AQ52*AT52*VLOOKUP('Données projet'!$B$10,Paramètres!$A$1:$I$89,3,0)*0.475*44/12</f>
        <v>9.2449912592046868</v>
      </c>
      <c r="AX52" s="21">
        <f t="shared" si="6"/>
        <v>175.68137807050826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396.60000000000008</v>
      </c>
      <c r="BE52" s="13">
        <f>BD52*VLOOKUP('Données projet'!$B$11,Paramètres!$A$1:$I$89,3,0)*VLOOKUP('Données projet'!$B$11,Paramètres!$A$1:$I$89,5,0)</f>
        <v>237.16680000000005</v>
      </c>
      <c r="BF52" s="13">
        <f t="shared" si="37"/>
        <v>57.829533038824259</v>
      </c>
      <c r="BG52" s="20">
        <f t="shared" si="7"/>
        <v>513.78528004261909</v>
      </c>
      <c r="BH52" s="59">
        <f t="shared" si="8"/>
        <v>807.11861337595246</v>
      </c>
      <c r="BI52" s="59">
        <f ca="1">AVERAGE(OFFSET($BH$3,0,0,'Données projet'!$E$11+1,1))-AVERAGE(OFFSET($H$3,0,0,'Données projet'!$E$11+1,1))</f>
        <v>284.42619963941019</v>
      </c>
      <c r="BJ52" s="59">
        <f t="shared" si="38"/>
        <v>301.41905904220812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50.008160932835573</v>
      </c>
      <c r="BQ52" s="21">
        <f>EXP(-LN(2)/25)*BQ51+(1-EXP(-LN(2)/25))/(LN(2)/25)*Calculateur!BL52*Calculateur!BN52*VLOOKUP('Données projet'!$B$11,Paramètres!$A$1:$I$89,3,0)*0.475*44/12</f>
        <v>12.029887081788123</v>
      </c>
      <c r="BR52" s="21">
        <f>EXP(-LN(2)/2)*BR51+(1-EXP(-LN(2)/2))/(LN(2)/2)*BL52*BO52*VLOOKUP('Données projet'!$B$11,Paramètres!$A$1:$I$89,3,0)*0.475*44/12</f>
        <v>1.5070535577509563</v>
      </c>
      <c r="BS52" s="22">
        <f t="shared" si="9"/>
        <v>63.545101572374655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724</v>
      </c>
      <c r="L53" s="12">
        <f>VLOOKUP(A53,'Données projet'!$A$35:$I$55,9,0)</f>
        <v>20.399999999999999</v>
      </c>
      <c r="M53" s="12">
        <f t="array" ref="M53">INDEX(L:L,MIN(IF(ISNUMBER(L53:L249),ROW(L53:L249),"")))</f>
        <v>20.399999999999999</v>
      </c>
      <c r="N53" s="13">
        <f>IF('Données projet'!$A$36&gt;35,N52+M53-V52,IF(A53&lt;'Données projet'!$A$36,$K$205^A53,IF(A53='Données projet'!$A$36,'Données projet'!$B$36,N52+M53-V52)))</f>
        <v>723.99999999999955</v>
      </c>
      <c r="O53" s="13">
        <f>N53*VLOOKUP('Données projet'!$B$9,Paramètres!$A$1:$I$89,3,0)*VLOOKUP('Données projet'!$B$9,Paramètres!$A$1:$I$89,5,0)</f>
        <v>404.71599999999978</v>
      </c>
      <c r="P53" s="13">
        <f t="shared" si="33"/>
        <v>92.732108655131142</v>
      </c>
      <c r="Q53" s="20">
        <f t="shared" si="53"/>
        <v>866.38878924101971</v>
      </c>
      <c r="R53" s="59">
        <f t="shared" si="0"/>
        <v>1159.7221225743531</v>
      </c>
      <c r="S53" s="59">
        <f ca="1">AVERAGE(OFFSET($R$3,0,0,'Données projet'!$E$9+1,1))-AVERAGE(OFFSET($H$3,0,0,'Données projet'!$E$9+1,1))</f>
        <v>490.96084572840579</v>
      </c>
      <c r="T53" s="59">
        <f t="shared" si="34"/>
        <v>597.91658789908263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62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9.3500000000000014E-2</v>
      </c>
      <c r="Y53" s="16">
        <f>IF(ISNA(VLOOKUP(A53,'Données projet'!$A$35:$I$55,7,0)),0%,VLOOKUP(A53,'Données projet'!$A$35:$I$55,7,0))</f>
        <v>0.13</v>
      </c>
      <c r="Z53" s="21">
        <f>EXP(-LN(2)/35)*Z52+(1-EXP(-LN(2)/35))/(LN(2)/35)*V53*W53*VLOOKUP('Données projet'!$B$9,Paramètres!$A$1:$I$89,3,0)*0.475*44/12</f>
        <v>95.288434017903938</v>
      </c>
      <c r="AA53" s="21">
        <f>EXP(-LN(2)/25)*AA52+(1-EXP(-LN(2)/25))/(LN(2)/25)*Calculateur!V53*Calculateur!X53*VLOOKUP('Données projet'!$B$9,Paramètres!$A$1:$I$89,3,0)*0.475*44/12</f>
        <v>25.34015154173327</v>
      </c>
      <c r="AB53" s="21">
        <f>EXP(-LN(2)/2)*AB52+(1-EXP(-LN(2)/2))/(LN(2)/2)*V53*Y53*VLOOKUP('Données projet'!$B$9,Paramètres!$A$1:$I$89,3,0)*0.475*44/12</f>
        <v>6.2713624486490751</v>
      </c>
      <c r="AC53" s="22">
        <f t="shared" si="3"/>
        <v>126.89994800828627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</v>
      </c>
      <c r="AI53" s="13">
        <f>IF('Données projet'!$A$62&gt;35,AI52+AH53-AQ52,IF(A53&lt;'Données projet'!$A$62,$AF$205^A53,IF(A53='Données projet'!$A$62,'Données projet'!$B$62,AI52+AH53-AQ52)))</f>
        <v>508.99999999999966</v>
      </c>
      <c r="AJ53" s="13">
        <f>AI53*VLOOKUP('Données projet'!$B$10,Paramètres!$A$1:$I$89,3,0)*VLOOKUP('Données projet'!$B$10,Paramètres!$A$1:$I$89,5,0)</f>
        <v>317.61599999999976</v>
      </c>
      <c r="AK53" s="13">
        <f t="shared" si="35"/>
        <v>74.857100423703955</v>
      </c>
      <c r="AL53" s="20">
        <f t="shared" si="4"/>
        <v>683.55731657128399</v>
      </c>
      <c r="AM53" s="59">
        <f t="shared" si="5"/>
        <v>976.89064990461725</v>
      </c>
      <c r="AN53" s="59">
        <f ca="1">AVERAGE(OFFSET($AM$3,0,0,'Données projet'!$E$10+1,1))-AVERAGE(OFFSET($H$3,0,0,'Données projet'!$E$10+1,1))</f>
        <v>482.28841373508675</v>
      </c>
      <c r="AO53" s="59">
        <f t="shared" si="36"/>
        <v>746.97309214631684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133.39430852123576</v>
      </c>
      <c r="AV53" s="21">
        <f>EXP(-LN(2)/25)*AV52+(1-EXP(-LN(2)/25))/(LN(2)/25)*Calculateur!AQ53*Calculateur!AS53*VLOOKUP('Données projet'!$B$10,Paramètres!$A$1:$I$89,3,0)*0.475*44/12</f>
        <v>29.543399421838629</v>
      </c>
      <c r="AW53" s="21">
        <f>EXP(-LN(2)/2)*AW52+(1-EXP(-LN(2)/2))/(LN(2)/2)*AQ53*AT53*VLOOKUP('Données projet'!$B$10,Paramètres!$A$1:$I$89,3,0)*0.475*44/12</f>
        <v>6.5371960113939931</v>
      </c>
      <c r="AX53" s="21">
        <f t="shared" si="6"/>
        <v>169.47490395446837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414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414.00000000000006</v>
      </c>
      <c r="BE53" s="13">
        <f>BD53*VLOOKUP('Données projet'!$B$11,Paramètres!$A$1:$I$89,3,0)*VLOOKUP('Données projet'!$B$11,Paramètres!$A$1:$I$89,5,0)</f>
        <v>247.57200000000003</v>
      </c>
      <c r="BF53" s="13">
        <f t="shared" si="37"/>
        <v>60.065726249156576</v>
      </c>
      <c r="BG53" s="20">
        <f t="shared" si="7"/>
        <v>535.80237321728112</v>
      </c>
      <c r="BH53" s="59">
        <f t="shared" si="8"/>
        <v>829.13570655061449</v>
      </c>
      <c r="BI53" s="59">
        <f ca="1">AVERAGE(OFFSET($BH$3,0,0,'Données projet'!$E$11+1,1))-AVERAGE(OFFSET($H$3,0,0,'Données projet'!$E$11+1,1))</f>
        <v>284.42619963941019</v>
      </c>
      <c r="BJ53" s="59">
        <f t="shared" si="38"/>
        <v>301.41905904220812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47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7.5600000000000001E-2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60.772123883052892</v>
      </c>
      <c r="BQ53" s="21">
        <f>EXP(-LN(2)/25)*BQ52+(1-EXP(-LN(2)/25))/(LN(2)/25)*Calculateur!BL53*Calculateur!BN53*VLOOKUP('Données projet'!$B$11,Paramètres!$A$1:$I$89,3,0)*0.475*44/12</f>
        <v>14.508533078550734</v>
      </c>
      <c r="BR53" s="21">
        <f>EXP(-LN(2)/2)*BR52+(1-EXP(-LN(2)/2))/(LN(2)/2)*BL53*BO53*VLOOKUP('Données projet'!$B$11,Paramètres!$A$1:$I$89,3,0)*0.475*44/12</f>
        <v>5.2662205562618229</v>
      </c>
      <c r="BS53" s="22">
        <f t="shared" si="9"/>
        <v>80.546877517865454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15.4</v>
      </c>
      <c r="N54" s="13">
        <f>IF('Données projet'!$A$36&gt;35,N53+M54-V53,IF(A54&lt;'Données projet'!$A$36,$K$205^A54,IF(A54='Données projet'!$A$36,'Données projet'!$B$36,N53+M54-V53)))</f>
        <v>677.39999999999952</v>
      </c>
      <c r="O54" s="13">
        <f>N54*VLOOKUP('Données projet'!$B$9,Paramètres!$A$1:$I$89,3,0)*VLOOKUP('Données projet'!$B$9,Paramètres!$A$1:$I$89,5,0)</f>
        <v>378.66659999999979</v>
      </c>
      <c r="P54" s="13">
        <f t="shared" si="33"/>
        <v>87.437946637883755</v>
      </c>
      <c r="Q54" s="20">
        <f t="shared" si="53"/>
        <v>811.79875206098052</v>
      </c>
      <c r="R54" s="59">
        <f t="shared" si="0"/>
        <v>1105.1320853943139</v>
      </c>
      <c r="S54" s="59">
        <f ca="1">AVERAGE(OFFSET($R$3,0,0,'Données projet'!$E$9+1,1))-AVERAGE(OFFSET($H$3,0,0,'Données projet'!$E$9+1,1))</f>
        <v>490.96084572840579</v>
      </c>
      <c r="T54" s="59">
        <f t="shared" si="34"/>
        <v>597.91658789908263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93.419885947018699</v>
      </c>
      <c r="AA54" s="21">
        <f>EXP(-LN(2)/25)*AA53+(1-EXP(-LN(2)/25))/(LN(2)/25)*Calculateur!V54*Calculateur!X54*VLOOKUP('Données projet'!$B$9,Paramètres!$A$1:$I$89,3,0)*0.475*44/12</f>
        <v>24.647223765243922</v>
      </c>
      <c r="AB54" s="21">
        <f>EXP(-LN(2)/2)*AB53+(1-EXP(-LN(2)/2))/(LN(2)/2)*V54*Y54*VLOOKUP('Données projet'!$B$9,Paramètres!$A$1:$I$89,3,0)*0.475*44/12</f>
        <v>4.4345229147184329</v>
      </c>
      <c r="AC54" s="22">
        <f t="shared" si="3"/>
        <v>122.50163262698105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</v>
      </c>
      <c r="AI54" s="13">
        <f>IF('Données projet'!$A$62&gt;35,AI53+AH54-AQ53,IF(A54&lt;'Données projet'!$A$62,$AF$205^A54,IF(A54='Données projet'!$A$62,'Données projet'!$B$62,AI53+AH54-AQ53)))</f>
        <v>524.99999999999966</v>
      </c>
      <c r="AJ54" s="13">
        <f>AI54*VLOOKUP('Données projet'!$B$10,Paramètres!$A$1:$I$89,3,0)*VLOOKUP('Données projet'!$B$10,Paramètres!$A$1:$I$89,5,0)</f>
        <v>327.5999999999998</v>
      </c>
      <c r="AK54" s="13">
        <f t="shared" si="35"/>
        <v>76.932514754922536</v>
      </c>
      <c r="AL54" s="20">
        <f t="shared" si="4"/>
        <v>704.5607965314897</v>
      </c>
      <c r="AM54" s="59">
        <f t="shared" si="5"/>
        <v>997.89412986482307</v>
      </c>
      <c r="AN54" s="59">
        <f ca="1">AVERAGE(OFFSET($AM$3,0,0,'Données projet'!$E$10+1,1))-AVERAGE(OFFSET($H$3,0,0,'Données projet'!$E$10+1,1))</f>
        <v>482.28841373508675</v>
      </c>
      <c r="AO54" s="59">
        <f t="shared" si="36"/>
        <v>746.97309214631684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130.77852749362864</v>
      </c>
      <c r="AV54" s="21">
        <f>EXP(-LN(2)/25)*AV53+(1-EXP(-LN(2)/25))/(LN(2)/25)*Calculateur!AQ54*Calculateur!AS54*VLOOKUP('Données projet'!$B$10,Paramètres!$A$1:$I$89,3,0)*0.475*44/12</f>
        <v>28.735533611028597</v>
      </c>
      <c r="AW54" s="21">
        <f>EXP(-LN(2)/2)*AW53+(1-EXP(-LN(2)/2))/(LN(2)/2)*AQ54*AT54*VLOOKUP('Données projet'!$B$10,Paramètres!$A$1:$I$89,3,0)*0.475*44/12</f>
        <v>4.6224956296023434</v>
      </c>
      <c r="AX54" s="21">
        <f t="shared" si="6"/>
        <v>164.13655673425959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19.2</v>
      </c>
      <c r="BD54" s="12">
        <f>IF('Données projet'!$A$88&gt;35,BD53+BC54-BL53,IF(A54&lt;'Données projet'!$A$88,$BA$205^A54,IF(A54='Données projet'!$A$88,'Données projet'!$B$88,BD53+BC54-BL53)))</f>
        <v>386.20000000000005</v>
      </c>
      <c r="BE54" s="13">
        <f>BD54*VLOOKUP('Données projet'!$B$11,Paramètres!$A$1:$I$89,3,0)*VLOOKUP('Données projet'!$B$11,Paramètres!$A$1:$I$89,5,0)</f>
        <v>230.94760000000002</v>
      </c>
      <c r="BF54" s="13">
        <f t="shared" si="37"/>
        <v>56.487525751065782</v>
      </c>
      <c r="BG54" s="20">
        <f t="shared" si="7"/>
        <v>500.61617734977295</v>
      </c>
      <c r="BH54" s="59">
        <f t="shared" si="8"/>
        <v>793.94951068310627</v>
      </c>
      <c r="BI54" s="59">
        <f ca="1">AVERAGE(OFFSET($BH$3,0,0,'Données projet'!$E$11+1,1))-AVERAGE(OFFSET($H$3,0,0,'Données projet'!$E$11+1,1))</f>
        <v>284.42619963941019</v>
      </c>
      <c r="BJ54" s="59">
        <f t="shared" si="38"/>
        <v>301.41905904220812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59.580419601041697</v>
      </c>
      <c r="BQ54" s="21">
        <f>EXP(-LN(2)/25)*BQ53+(1-EXP(-LN(2)/25))/(LN(2)/25)*Calculateur!BL54*Calculateur!BN54*VLOOKUP('Données projet'!$B$11,Paramètres!$A$1:$I$89,3,0)*0.475*44/12</f>
        <v>14.11179647854717</v>
      </c>
      <c r="BR54" s="21">
        <f>EXP(-LN(2)/2)*BR53+(1-EXP(-LN(2)/2))/(LN(2)/2)*BL54*BO54*VLOOKUP('Données projet'!$B$11,Paramètres!$A$1:$I$89,3,0)*0.475*44/12</f>
        <v>3.7237802665567279</v>
      </c>
      <c r="BS54" s="22">
        <f t="shared" si="9"/>
        <v>77.41599634614559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15.4</v>
      </c>
      <c r="N55" s="13">
        <f>IF('Données projet'!$A$36&gt;35,N54+M55-V54,IF(A55&lt;'Données projet'!$A$36,$K$205^A55,IF(A55='Données projet'!$A$36,'Données projet'!$B$36,N54+M55-V54)))</f>
        <v>692.7999999999995</v>
      </c>
      <c r="O55" s="13">
        <f>N55*VLOOKUP('Données projet'!$B$9,Paramètres!$A$1:$I$89,3,0)*VLOOKUP('Données projet'!$B$9,Paramètres!$A$1:$I$89,5,0)</f>
        <v>387.2751999999997</v>
      </c>
      <c r="P55" s="13">
        <f t="shared" si="33"/>
        <v>89.192073473767834</v>
      </c>
      <c r="Q55" s="20">
        <f t="shared" si="53"/>
        <v>829.84716796681175</v>
      </c>
      <c r="R55" s="59">
        <f t="shared" si="0"/>
        <v>1123.1805013001451</v>
      </c>
      <c r="S55" s="59">
        <f ca="1">AVERAGE(OFFSET($R$3,0,0,'Données projet'!$E$9+1,1))-AVERAGE(OFFSET($H$3,0,0,'Données projet'!$E$9+1,1))</f>
        <v>490.96084572840579</v>
      </c>
      <c r="T55" s="59">
        <f t="shared" si="34"/>
        <v>597.91658789908263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91.587978964101737</v>
      </c>
      <c r="AA55" s="21">
        <f>EXP(-LN(2)/25)*AA54+(1-EXP(-LN(2)/25))/(LN(2)/25)*Calculateur!V55*Calculateur!X55*VLOOKUP('Données projet'!$B$9,Paramètres!$A$1:$I$89,3,0)*0.475*44/12</f>
        <v>23.973244135242162</v>
      </c>
      <c r="AB55" s="21">
        <f>EXP(-LN(2)/2)*AB54+(1-EXP(-LN(2)/2))/(LN(2)/2)*V55*Y55*VLOOKUP('Données projet'!$B$9,Paramètres!$A$1:$I$89,3,0)*0.475*44/12</f>
        <v>3.135681224324538</v>
      </c>
      <c r="AC55" s="22">
        <f t="shared" si="3"/>
        <v>118.69690432366843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</v>
      </c>
      <c r="AI55" s="13">
        <f>IF('Données projet'!$A$62&gt;35,AI54+AH55-AQ54,IF(A55&lt;'Données projet'!$A$62,$AF$205^A55,IF(A55='Données projet'!$A$62,'Données projet'!$B$62,AI54+AH55-AQ54)))</f>
        <v>540.99999999999966</v>
      </c>
      <c r="AJ55" s="13">
        <f>AI55*VLOOKUP('Données projet'!$B$10,Paramètres!$A$1:$I$89,3,0)*VLOOKUP('Données projet'!$B$10,Paramètres!$A$1:$I$89,5,0)</f>
        <v>337.58399999999978</v>
      </c>
      <c r="AK55" s="13">
        <f t="shared" si="35"/>
        <v>79.000578543161197</v>
      </c>
      <c r="AL55" s="20">
        <f t="shared" si="4"/>
        <v>725.55147429600538</v>
      </c>
      <c r="AM55" s="59">
        <f t="shared" si="5"/>
        <v>1018.8848076293386</v>
      </c>
      <c r="AN55" s="59">
        <f ca="1">AVERAGE(OFFSET($AM$3,0,0,'Données projet'!$E$10+1,1))-AVERAGE(OFFSET($H$3,0,0,'Données projet'!$E$10+1,1))</f>
        <v>482.28841373508675</v>
      </c>
      <c r="AO55" s="59">
        <f t="shared" si="36"/>
        <v>746.97309214631684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128.21404033650401</v>
      </c>
      <c r="AV55" s="21">
        <f>EXP(-LN(2)/25)*AV54+(1-EXP(-LN(2)/25))/(LN(2)/25)*Calculateur!AQ55*Calculateur!AS55*VLOOKUP('Données projet'!$B$10,Paramètres!$A$1:$I$89,3,0)*0.475*44/12</f>
        <v>27.949758933298984</v>
      </c>
      <c r="AW55" s="21">
        <f>EXP(-LN(2)/2)*AW54+(1-EXP(-LN(2)/2))/(LN(2)/2)*AQ55*AT55*VLOOKUP('Données projet'!$B$10,Paramètres!$A$1:$I$89,3,0)*0.475*44/12</f>
        <v>3.2685980056969965</v>
      </c>
      <c r="AX55" s="21">
        <f t="shared" si="6"/>
        <v>159.43239727549999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19.2</v>
      </c>
      <c r="BD55" s="12">
        <f>IF('Données projet'!$A$88&gt;35,BD54+BC55-BL54,IF(A55&lt;'Données projet'!$A$88,$BA$205^A55,IF(A55='Données projet'!$A$88,'Données projet'!$B$88,BD54+BC55-BL54)))</f>
        <v>405.40000000000003</v>
      </c>
      <c r="BE55" s="13">
        <f>BD55*VLOOKUP('Données projet'!$B$11,Paramètres!$A$1:$I$89,3,0)*VLOOKUP('Données projet'!$B$11,Paramètres!$A$1:$I$89,5,0)</f>
        <v>242.42920000000007</v>
      </c>
      <c r="BF55" s="13">
        <f t="shared" si="37"/>
        <v>58.961877963646693</v>
      </c>
      <c r="BG55" s="20">
        <f t="shared" si="7"/>
        <v>524.92279412001812</v>
      </c>
      <c r="BH55" s="59">
        <f t="shared" si="8"/>
        <v>818.25612745335138</v>
      </c>
      <c r="BI55" s="59">
        <f ca="1">AVERAGE(OFFSET($BH$3,0,0,'Données projet'!$E$11+1,1))-AVERAGE(OFFSET($H$3,0,0,'Données projet'!$E$11+1,1))</f>
        <v>284.42619963941019</v>
      </c>
      <c r="BJ55" s="59">
        <f t="shared" si="38"/>
        <v>301.41905904220812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58.412083913132903</v>
      </c>
      <c r="BQ55" s="21">
        <f>EXP(-LN(2)/25)*BQ54+(1-EXP(-LN(2)/25))/(LN(2)/25)*Calculateur!BL55*Calculateur!BN55*VLOOKUP('Données projet'!$B$11,Paramètres!$A$1:$I$89,3,0)*0.475*44/12</f>
        <v>13.725908661734174</v>
      </c>
      <c r="BR55" s="21">
        <f>EXP(-LN(2)/2)*BR54+(1-EXP(-LN(2)/2))/(LN(2)/2)*BL55*BO55*VLOOKUP('Données projet'!$B$11,Paramètres!$A$1:$I$89,3,0)*0.475*44/12</f>
        <v>2.6331102781309119</v>
      </c>
      <c r="BS55" s="22">
        <f t="shared" si="9"/>
        <v>74.771102852997984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15.4</v>
      </c>
      <c r="N56" s="13">
        <f>IF('Données projet'!$A$36&gt;35,N55+M56-V55,IF(A56&lt;'Données projet'!$A$36,$K$205^A56,IF(A56='Données projet'!$A$36,'Données projet'!$B$36,N55+M56-V55)))</f>
        <v>708.19999999999948</v>
      </c>
      <c r="O56" s="13">
        <f>N56*VLOOKUP('Données projet'!$B$9,Paramètres!$A$1:$I$89,3,0)*VLOOKUP('Données projet'!$B$9,Paramètres!$A$1:$I$89,5,0)</f>
        <v>395.88379999999972</v>
      </c>
      <c r="P56" s="13">
        <f t="shared" si="33"/>
        <v>90.941667130422957</v>
      </c>
      <c r="Q56" s="20">
        <f t="shared" si="53"/>
        <v>847.8876885854861</v>
      </c>
      <c r="R56" s="59">
        <f t="shared" si="0"/>
        <v>1141.2210219188194</v>
      </c>
      <c r="S56" s="59">
        <f ca="1">AVERAGE(OFFSET($R$3,0,0,'Données projet'!$E$9+1,1))-AVERAGE(OFFSET($H$3,0,0,'Données projet'!$E$9+1,1))</f>
        <v>490.96084572840579</v>
      </c>
      <c r="T56" s="59">
        <f t="shared" si="34"/>
        <v>597.91658789908263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89.791994559766849</v>
      </c>
      <c r="AA56" s="21">
        <f>EXP(-LN(2)/25)*AA55+(1-EXP(-LN(2)/25))/(LN(2)/25)*Calculateur!V56*Calculateur!X56*VLOOKUP('Données projet'!$B$9,Paramètres!$A$1:$I$89,3,0)*0.475*44/12</f>
        <v>23.317694513665849</v>
      </c>
      <c r="AB56" s="21">
        <f>EXP(-LN(2)/2)*AB55+(1-EXP(-LN(2)/2))/(LN(2)/2)*V56*Y56*VLOOKUP('Données projet'!$B$9,Paramètres!$A$1:$I$89,3,0)*0.475*44/12</f>
        <v>2.2172614573592169</v>
      </c>
      <c r="AC56" s="22">
        <f t="shared" si="3"/>
        <v>115.3269505307919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</v>
      </c>
      <c r="AI56" s="13">
        <f>IF('Données projet'!$A$62&gt;35,AI55+AH56-AQ55,IF(A56&lt;'Données projet'!$A$62,$AF$205^A56,IF(A56='Données projet'!$A$62,'Données projet'!$B$62,AI55+AH56-AQ55)))</f>
        <v>556.99999999999966</v>
      </c>
      <c r="AJ56" s="13">
        <f>AI56*VLOOKUP('Données projet'!$B$10,Paramètres!$A$1:$I$89,3,0)*VLOOKUP('Données projet'!$B$10,Paramètres!$A$1:$I$89,5,0)</f>
        <v>347.56799999999981</v>
      </c>
      <c r="AK56" s="13">
        <f t="shared" si="35"/>
        <v>81.061534138422132</v>
      </c>
      <c r="AL56" s="20">
        <f t="shared" si="4"/>
        <v>746.52977195775156</v>
      </c>
      <c r="AM56" s="59">
        <f t="shared" si="5"/>
        <v>1039.8631052910848</v>
      </c>
      <c r="AN56" s="59">
        <f ca="1">AVERAGE(OFFSET($AM$3,0,0,'Données projet'!$E$10+1,1))-AVERAGE(OFFSET($H$3,0,0,'Données projet'!$E$10+1,1))</f>
        <v>482.28841373508675</v>
      </c>
      <c r="AO56" s="59">
        <f t="shared" si="36"/>
        <v>746.97309214631684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125.69984120834789</v>
      </c>
      <c r="AV56" s="21">
        <f>EXP(-LN(2)/25)*AV55+(1-EXP(-LN(2)/25))/(LN(2)/25)*Calculateur!AQ56*Calculateur!AS56*VLOOKUP('Données projet'!$B$10,Paramètres!$A$1:$I$89,3,0)*0.475*44/12</f>
        <v>27.18547130545398</v>
      </c>
      <c r="AW56" s="21">
        <f>EXP(-LN(2)/2)*AW55+(1-EXP(-LN(2)/2))/(LN(2)/2)*AQ56*AT56*VLOOKUP('Données projet'!$B$10,Paramètres!$A$1:$I$89,3,0)*0.475*44/12</f>
        <v>2.3112478148011717</v>
      </c>
      <c r="AX56" s="21">
        <f t="shared" si="6"/>
        <v>155.19656032860303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19.2</v>
      </c>
      <c r="BD56" s="12">
        <f>IF('Données projet'!$A$88&gt;35,BD55+BC56-BL55,IF(A56&lt;'Données projet'!$A$88,$BA$205^A56,IF(A56='Données projet'!$A$88,'Données projet'!$B$88,BD55+BC56-BL55)))</f>
        <v>424.6</v>
      </c>
      <c r="BE56" s="13">
        <f>BD56*VLOOKUP('Données projet'!$B$11,Paramètres!$A$1:$I$89,3,0)*VLOOKUP('Données projet'!$B$11,Paramètres!$A$1:$I$89,5,0)</f>
        <v>253.91080000000005</v>
      </c>
      <c r="BF56" s="13">
        <f t="shared" si="37"/>
        <v>61.422621781167194</v>
      </c>
      <c r="BG56" s="20">
        <f t="shared" si="7"/>
        <v>549.20570960219959</v>
      </c>
      <c r="BH56" s="59">
        <f t="shared" si="8"/>
        <v>842.53904293553296</v>
      </c>
      <c r="BI56" s="59">
        <f ca="1">AVERAGE(OFFSET($BH$3,0,0,'Données projet'!$E$11+1,1))-AVERAGE(OFFSET($H$3,0,0,'Données projet'!$E$11+1,1))</f>
        <v>284.42619963941019</v>
      </c>
      <c r="BJ56" s="59">
        <f t="shared" si="38"/>
        <v>301.41905904220812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57.266658575449597</v>
      </c>
      <c r="BQ56" s="21">
        <f>EXP(-LN(2)/25)*BQ55+(1-EXP(-LN(2)/25))/(LN(2)/25)*Calculateur!BL56*Calculateur!BN56*VLOOKUP('Données projet'!$B$11,Paramètres!$A$1:$I$89,3,0)*0.475*44/12</f>
        <v>13.350572967564887</v>
      </c>
      <c r="BR56" s="21">
        <f>EXP(-LN(2)/2)*BR55+(1-EXP(-LN(2)/2))/(LN(2)/2)*BL56*BO56*VLOOKUP('Données projet'!$B$11,Paramètres!$A$1:$I$89,3,0)*0.475*44/12</f>
        <v>1.8618901332783642</v>
      </c>
      <c r="BS56" s="22">
        <f t="shared" si="9"/>
        <v>72.479121676292849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15.4</v>
      </c>
      <c r="N57" s="13">
        <f>IF('Données projet'!$A$36&gt;35,N56+M57-V56,IF(A57&lt;'Données projet'!$A$36,$K$205^A57,IF(A57='Données projet'!$A$36,'Données projet'!$B$36,N56+M57-V56)))</f>
        <v>723.59999999999945</v>
      </c>
      <c r="O57" s="13">
        <f>N57*VLOOKUP('Données projet'!$B$9,Paramètres!$A$1:$I$89,3,0)*VLOOKUP('Données projet'!$B$9,Paramètres!$A$1:$I$89,5,0)</f>
        <v>404.49239999999969</v>
      </c>
      <c r="P57" s="13">
        <f t="shared" si="33"/>
        <v>92.686837535548761</v>
      </c>
      <c r="Q57" s="20">
        <f t="shared" si="53"/>
        <v>865.92050537441344</v>
      </c>
      <c r="R57" s="59">
        <f t="shared" si="0"/>
        <v>1159.2538387077468</v>
      </c>
      <c r="S57" s="59">
        <f ca="1">AVERAGE(OFFSET($R$3,0,0,'Données projet'!$E$9+1,1))-AVERAGE(OFFSET($H$3,0,0,'Données projet'!$E$9+1,1))</f>
        <v>490.96084572840579</v>
      </c>
      <c r="T57" s="59">
        <f t="shared" si="34"/>
        <v>597.91658789908263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88.031228314158639</v>
      </c>
      <c r="AA57" s="21">
        <f>EXP(-LN(2)/25)*AA56+(1-EXP(-LN(2)/25))/(LN(2)/25)*Calculateur!V57*Calculateur!X57*VLOOKUP('Données projet'!$B$9,Paramètres!$A$1:$I$89,3,0)*0.475*44/12</f>
        <v>22.680070930965396</v>
      </c>
      <c r="AB57" s="21">
        <f>EXP(-LN(2)/2)*AB56+(1-EXP(-LN(2)/2))/(LN(2)/2)*V57*Y57*VLOOKUP('Données projet'!$B$9,Paramètres!$A$1:$I$89,3,0)*0.475*44/12</f>
        <v>1.5678406121622694</v>
      </c>
      <c r="AC57" s="22">
        <f t="shared" si="3"/>
        <v>112.27913985728631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573</v>
      </c>
      <c r="AG57" s="12">
        <f>VLOOKUP(A57,'Données projet'!$A$61:$I$81,9,0)</f>
        <v>16</v>
      </c>
      <c r="AH57" s="12">
        <f t="array" ref="AH57">INDEX(AG:AG,MIN(IF(ISNUMBER(AG57:AG253),ROW(AG57:AG253),"")))</f>
        <v>16</v>
      </c>
      <c r="AI57" s="13">
        <f>IF('Données projet'!$A$62&gt;35,AI56+AH57-AQ56,IF(A57&lt;'Données projet'!$A$62,$AF$205^A57,IF(A57='Données projet'!$A$62,'Données projet'!$B$62,AI56+AH57-AQ56)))</f>
        <v>572.99999999999966</v>
      </c>
      <c r="AJ57" s="13">
        <f>AI57*VLOOKUP('Données projet'!$B$10,Paramètres!$A$1:$I$89,3,0)*VLOOKUP('Données projet'!$B$10,Paramètres!$A$1:$I$89,5,0)</f>
        <v>357.55199999999979</v>
      </c>
      <c r="AK57" s="13">
        <f t="shared" si="35"/>
        <v>83.115609175699532</v>
      </c>
      <c r="AL57" s="20">
        <f t="shared" si="4"/>
        <v>767.49608598100974</v>
      </c>
      <c r="AM57" s="59">
        <f t="shared" si="5"/>
        <v>1060.8294193143431</v>
      </c>
      <c r="AN57" s="59">
        <f ca="1">AVERAGE(OFFSET($AM$3,0,0,'Données projet'!$E$10+1,1))-AVERAGE(OFFSET($H$3,0,0,'Données projet'!$E$10+1,1))</f>
        <v>482.28841373508675</v>
      </c>
      <c r="AO57" s="59">
        <f t="shared" si="36"/>
        <v>746.97309214631684</v>
      </c>
      <c r="AP57" s="15">
        <f>IF(ISNA(VLOOKUP(A57,'Données projet'!$A$61:$I$81,3,0)),0,VLOOKUP(A57,'Données projet'!$A$61:$I$81,3,0))</f>
        <v>5</v>
      </c>
      <c r="AQ57" s="15">
        <f>IF(ISNA(VLOOKUP(A57,'Données projet'!$A$61:$I$81,4,0)),0,VLOOKUP(A57,'Données projet'!$A$61:$I$81,4,0))</f>
        <v>119</v>
      </c>
      <c r="AR57" s="16">
        <f>IF(ISNA(VLOOKUP(A57,'Données projet'!$A$61:$I$81,5,0)),0%,VLOOKUP(A57,'Données projet'!$A$61:$I$81,5,0)*VLOOKUP('Données projet'!$B$10,Paramètres!$A$1:$I$89,7,0))</f>
        <v>0.42</v>
      </c>
      <c r="AS57" s="16">
        <f>IF(ISNA(VLOOKUP(A57,'Données projet'!$A$61:$I$81,6,0)),0%,VLOOKUP(A57,'Données projet'!$A$61:$I$81,6,0)*VLOOKUP('Données projet'!$B$10,Paramètres!$A$1:$I$89,7,0))</f>
        <v>0.1008</v>
      </c>
      <c r="AT57" s="16">
        <f>IF(ISNA(VLOOKUP(A57,'Données projet'!$A$61:$I$81,7,0)),0%,VLOOKUP(A57,'Données projet'!$A$61:$I$81,7,0))</f>
        <v>0.13200000000000001</v>
      </c>
      <c r="AU57" s="21">
        <f>EXP(-LN(2)/35)*AU56+(1-EXP(-LN(2)/35))/(LN(2)/35)*AQ57*AR57*VLOOKUP('Données projet'!$B$10,Paramètres!$A$1:$I$89,3,0)*0.475*44/12</f>
        <v>164.60719947689461</v>
      </c>
      <c r="AV57" s="21">
        <f>EXP(-LN(2)/25)*AV56+(1-EXP(-LN(2)/25))/(LN(2)/25)*Calculateur!AQ57*Calculateur!AS57*VLOOKUP('Données projet'!$B$10,Paramètres!$A$1:$I$89,3,0)*0.475*44/12</f>
        <v>36.332328879320272</v>
      </c>
      <c r="AW57" s="21">
        <f>EXP(-LN(2)/2)*AW56+(1-EXP(-LN(2)/2))/(LN(2)/2)*AQ57*AT57*VLOOKUP('Données projet'!$B$10,Paramètres!$A$1:$I$89,3,0)*0.475*44/12</f>
        <v>12.732204478885031</v>
      </c>
      <c r="AX57" s="21">
        <f t="shared" si="6"/>
        <v>213.6717328350999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19.2</v>
      </c>
      <c r="BD57" s="12">
        <f>IF('Données projet'!$A$88&gt;35,BD56+BC57-BL56,IF(A57&lt;'Données projet'!$A$88,$BA$205^A57,IF(A57='Données projet'!$A$88,'Données projet'!$B$88,BD56+BC57-BL56)))</f>
        <v>443.8</v>
      </c>
      <c r="BE57" s="13">
        <f>BD57*VLOOKUP('Données projet'!$B$11,Paramètres!$A$1:$I$89,3,0)*VLOOKUP('Données projet'!$B$11,Paramètres!$A$1:$I$89,5,0)</f>
        <v>265.39240000000007</v>
      </c>
      <c r="BF57" s="13">
        <f t="shared" si="37"/>
        <v>63.870442862391819</v>
      </c>
      <c r="BG57" s="20">
        <f t="shared" si="7"/>
        <v>573.46611798533252</v>
      </c>
      <c r="BH57" s="59">
        <f t="shared" si="8"/>
        <v>866.79945131866589</v>
      </c>
      <c r="BI57" s="59">
        <f ca="1">AVERAGE(OFFSET($BH$3,0,0,'Données projet'!$E$11+1,1))-AVERAGE(OFFSET($H$3,0,0,'Données projet'!$E$11+1,1))</f>
        <v>284.42619963941019</v>
      </c>
      <c r="BJ57" s="59">
        <f t="shared" si="38"/>
        <v>301.41905904220812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56.143694329997786</v>
      </c>
      <c r="BQ57" s="21">
        <f>EXP(-LN(2)/25)*BQ56+(1-EXP(-LN(2)/25))/(LN(2)/25)*Calculateur!BL57*Calculateur!BN57*VLOOKUP('Données projet'!$B$11,Paramètres!$A$1:$I$89,3,0)*0.475*44/12</f>
        <v>12.985500847690705</v>
      </c>
      <c r="BR57" s="21">
        <f>EXP(-LN(2)/2)*BR56+(1-EXP(-LN(2)/2))/(LN(2)/2)*BL57*BO57*VLOOKUP('Données projet'!$B$11,Paramètres!$A$1:$I$89,3,0)*0.475*44/12</f>
        <v>1.3165551390654562</v>
      </c>
      <c r="BS57" s="22">
        <f t="shared" si="9"/>
        <v>70.445750316753944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739</v>
      </c>
      <c r="L58" s="12">
        <f>VLOOKUP(A58,'Données projet'!$A$35:$I$55,9,0)</f>
        <v>15.4</v>
      </c>
      <c r="M58" s="12">
        <f t="array" ref="M58">INDEX(L:L,MIN(IF(ISNUMBER(L58:L254),ROW(L58:L254),"")))</f>
        <v>15.4</v>
      </c>
      <c r="N58" s="13">
        <f>IF('Données projet'!$A$36&gt;35,N57+M58-V57,IF(A58&lt;'Données projet'!$A$36,$K$205^A58,IF(A58='Données projet'!$A$36,'Données projet'!$B$36,N57+M58-V57)))</f>
        <v>738.99999999999943</v>
      </c>
      <c r="O58" s="13">
        <f>N58*VLOOKUP('Données projet'!$B$9,Paramètres!$A$1:$I$89,3,0)*VLOOKUP('Données projet'!$B$9,Paramètres!$A$1:$I$89,5,0)</f>
        <v>413.10099999999971</v>
      </c>
      <c r="P58" s="13">
        <f t="shared" si="33"/>
        <v>94.427689670462271</v>
      </c>
      <c r="Q58" s="20">
        <f t="shared" si="53"/>
        <v>883.94580117605472</v>
      </c>
      <c r="R58" s="59">
        <f t="shared" si="0"/>
        <v>1177.2791345093881</v>
      </c>
      <c r="S58" s="59">
        <f ca="1">AVERAGE(OFFSET($R$3,0,0,'Données projet'!$E$9+1,1))-AVERAGE(OFFSET($H$3,0,0,'Données projet'!$E$9+1,1))</f>
        <v>490.96084572840579</v>
      </c>
      <c r="T58" s="59">
        <f t="shared" si="34"/>
        <v>597.91658789908263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46</v>
      </c>
      <c r="W58" s="16">
        <f>IF(ISNA(VLOOKUP(A58,'Données projet'!$A$35:$I$55,5,0)),0%,VLOOKUP(A58,'Données projet'!$A$35:$I$55,5,0)*VLOOKUP('Données projet'!$B$9,Paramètres!$A$1:$I$89,7,0))</f>
        <v>0.38500000000000001</v>
      </c>
      <c r="X58" s="16">
        <f>IF(ISNA(VLOOKUP(A58,'Données projet'!$A$35:$I$55,6,0)),0%,VLOOKUP(A58,'Données projet'!$A$35:$I$55,6,0)*VLOOKUP('Données projet'!$B$9,Paramètres!$A$1:$I$89,7,0))</f>
        <v>9.3500000000000014E-2</v>
      </c>
      <c r="Y58" s="16">
        <f>IF(ISNA(VLOOKUP(A58,'Données projet'!$A$35:$I$55,7,0)),0%,VLOOKUP(A58,'Données projet'!$A$35:$I$55,7,0))</f>
        <v>0.13</v>
      </c>
      <c r="Z58" s="21">
        <f>EXP(-LN(2)/35)*Z57+(1-EXP(-LN(2)/35))/(LN(2)/35)*V58*W58*VLOOKUP('Données projet'!$B$9,Paramètres!$A$1:$I$89,3,0)*0.475*44/12</f>
        <v>99.43783180742679</v>
      </c>
      <c r="AA58" s="21">
        <f>EXP(-LN(2)/25)*AA57+(1-EXP(-LN(2)/25))/(LN(2)/25)*Calculateur!V58*Calculateur!X58*VLOOKUP('Données projet'!$B$9,Paramètres!$A$1:$I$89,3,0)*0.475*44/12</f>
        <v>25.236729828838442</v>
      </c>
      <c r="AB58" s="21">
        <f>EXP(-LN(2)/2)*AB57+(1-EXP(-LN(2)/2))/(LN(2)/2)*V58*Y58*VLOOKUP('Données projet'!$B$9,Paramètres!$A$1:$I$89,3,0)*0.475*44/12</f>
        <v>4.8934794974970286</v>
      </c>
      <c r="AC58" s="22">
        <f t="shared" si="3"/>
        <v>129.56804113376225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13.333333333333334</v>
      </c>
      <c r="AI58" s="13">
        <f>IF('Données projet'!$A$62&gt;35,AI57+AH58-AQ57,IF(A58&lt;'Données projet'!$A$62,$AF$205^A58,IF(A58='Données projet'!$A$62,'Données projet'!$B$62,AI57+AH58-AQ57)))</f>
        <v>467.33333333333303</v>
      </c>
      <c r="AJ58" s="13">
        <f>AI58*VLOOKUP('Données projet'!$B$10,Paramètres!$A$1:$I$89,3,0)*VLOOKUP('Données projet'!$B$10,Paramètres!$A$1:$I$89,5,0)</f>
        <v>291.61599999999981</v>
      </c>
      <c r="AK58" s="13">
        <f t="shared" si="35"/>
        <v>69.415966121585768</v>
      </c>
      <c r="AL58" s="20">
        <f t="shared" si="4"/>
        <v>628.79734099509483</v>
      </c>
      <c r="AM58" s="59">
        <f t="shared" si="5"/>
        <v>922.13067432842809</v>
      </c>
      <c r="AN58" s="59">
        <f ca="1">AVERAGE(OFFSET($AM$3,0,0,'Données projet'!$E$10+1,1))-AVERAGE(OFFSET($H$3,0,0,'Données projet'!$E$10+1,1))</f>
        <v>482.28841373508675</v>
      </c>
      <c r="AO58" s="59">
        <f t="shared" si="36"/>
        <v>746.97309214631684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161.37935269563067</v>
      </c>
      <c r="AV58" s="21">
        <f>EXP(-LN(2)/25)*AV57+(1-EXP(-LN(2)/25))/(LN(2)/25)*Calculateur!AQ58*Calculateur!AS58*VLOOKUP('Données projet'!$B$10,Paramètres!$A$1:$I$89,3,0)*0.475*44/12</f>
        <v>35.33881943548112</v>
      </c>
      <c r="AW58" s="21">
        <f>EXP(-LN(2)/2)*AW57+(1-EXP(-LN(2)/2))/(LN(2)/2)*AQ58*AT58*VLOOKUP('Données projet'!$B$10,Paramètres!$A$1:$I$89,3,0)*0.475*44/12</f>
        <v>9.0030281264733389</v>
      </c>
      <c r="AX58" s="21">
        <f t="shared" si="6"/>
        <v>205.72120025758514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463</v>
      </c>
      <c r="BB58" s="12">
        <f>VLOOKUP(A58,'Données projet'!$A$87:$I$107,9,0)</f>
        <v>19.2</v>
      </c>
      <c r="BC58" s="12">
        <f t="array" ref="BC58">INDEX(BB:BB,MIN(IF(ISNUMBER(BB58:BB254),ROW(BB58:BB254),"")))</f>
        <v>19.2</v>
      </c>
      <c r="BD58" s="12">
        <f>IF('Données projet'!$A$88&gt;35,BD57+BC58-BL57,IF(A58&lt;'Données projet'!$A$88,$BA$205^A58,IF(A58='Données projet'!$A$88,'Données projet'!$B$88,BD57+BC58-BL57)))</f>
        <v>463</v>
      </c>
      <c r="BE58" s="13">
        <f>BD58*VLOOKUP('Données projet'!$B$11,Paramètres!$A$1:$I$89,3,0)*VLOOKUP('Données projet'!$B$11,Paramètres!$A$1:$I$89,5,0)</f>
        <v>276.87400000000002</v>
      </c>
      <c r="BF58" s="13">
        <f t="shared" si="37"/>
        <v>66.305964184031993</v>
      </c>
      <c r="BG58" s="20">
        <f t="shared" si="7"/>
        <v>597.7051042871891</v>
      </c>
      <c r="BH58" s="59">
        <f t="shared" si="8"/>
        <v>891.03843762052247</v>
      </c>
      <c r="BI58" s="59">
        <f ca="1">AVERAGE(OFFSET($BH$3,0,0,'Données projet'!$E$11+1,1))-AVERAGE(OFFSET($H$3,0,0,'Données projet'!$E$11+1,1))</f>
        <v>284.42619963941019</v>
      </c>
      <c r="BJ58" s="59">
        <f t="shared" si="38"/>
        <v>301.41905904220812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48</v>
      </c>
      <c r="BM58" s="16">
        <f>IF(ISNA(VLOOKUP(A58,'Données projet'!$A$87:$I$107,5,0)),0%,VLOOKUP(A58,'Données projet'!$A$87:$I$107,5,0)*VLOOKUP('Données projet'!$B$11,Paramètres!$A$1:$I$89,7,0))</f>
        <v>0.315</v>
      </c>
      <c r="BN58" s="16">
        <f>IF(ISNA(VLOOKUP(A58,'Données projet'!$A$87:$I$107,6,0)),0%,VLOOKUP(A58,'Données projet'!$A$87:$I$107,6,0)*VLOOKUP('Données projet'!$B$11,Paramètres!$A$1:$I$89,7,0))</f>
        <v>7.5600000000000001E-2</v>
      </c>
      <c r="BO58" s="16">
        <f>IF(ISNA(VLOOKUP(A58,'Données projet'!$A$87:$I$107,7,0)),0%,VLOOKUP(A58,'Données projet'!$A$87:$I$107,7,0))</f>
        <v>0.13200000000000001</v>
      </c>
      <c r="BP58" s="21">
        <f>EXP(-LN(2)/35)*BP57+(1-EXP(-LN(2)/35))/(LN(2)/35)*BL58*BM58*VLOOKUP('Données projet'!$B$11,Paramètres!$A$1:$I$89,3,0)*0.475*44/12</f>
        <v>67.037228159073749</v>
      </c>
      <c r="BQ58" s="21">
        <f>EXP(-LN(2)/25)*BQ57+(1-EXP(-LN(2)/25))/(LN(2)/25)*Calculateur!BL58*Calculateur!BN58*VLOOKUP('Données projet'!$B$11,Paramètres!$A$1:$I$89,3,0)*0.475*44/12</f>
        <v>15.497751788784749</v>
      </c>
      <c r="BR58" s="21">
        <f>EXP(-LN(2)/2)*BR57+(1-EXP(-LN(2)/2))/(LN(2)/2)*BL58*BO58*VLOOKUP('Données projet'!$B$11,Paramètres!$A$1:$I$89,3,0)*0.475*44/12</f>
        <v>5.2208917212415393</v>
      </c>
      <c r="BS58" s="22">
        <f t="shared" si="9"/>
        <v>87.755871669100046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12.2</v>
      </c>
      <c r="N59" s="13">
        <f>IF('Données projet'!$A$36&gt;35,N58+M59-V58,IF(A59&lt;'Données projet'!$A$36,$K$205^A59,IF(A59='Données projet'!$A$36,'Données projet'!$B$36,N58+M59-V58)))</f>
        <v>705.19999999999948</v>
      </c>
      <c r="O59" s="13">
        <f>N59*VLOOKUP('Données projet'!$B$9,Paramètres!$A$1:$I$89,3,0)*VLOOKUP('Données projet'!$B$9,Paramètres!$A$1:$I$89,5,0)</f>
        <v>394.2067999999997</v>
      </c>
      <c r="P59" s="13">
        <f t="shared" si="33"/>
        <v>90.601187466199292</v>
      </c>
      <c r="Q59" s="20">
        <f t="shared" si="53"/>
        <v>844.37391150362998</v>
      </c>
      <c r="R59" s="59">
        <f t="shared" si="0"/>
        <v>1137.7072448369634</v>
      </c>
      <c r="S59" s="59">
        <f ca="1">AVERAGE(OFFSET($R$3,0,0,'Données projet'!$E$9+1,1))-AVERAGE(OFFSET($H$3,0,0,'Données projet'!$E$9+1,1))</f>
        <v>490.96084572840579</v>
      </c>
      <c r="T59" s="59">
        <f t="shared" si="34"/>
        <v>597.91658789908263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97.487916576771752</v>
      </c>
      <c r="AA59" s="21">
        <f>EXP(-LN(2)/25)*AA58+(1-EXP(-LN(2)/25))/(LN(2)/25)*Calculateur!V59*Calculateur!X59*VLOOKUP('Données projet'!$B$9,Paramètres!$A$1:$I$89,3,0)*0.475*44/12</f>
        <v>24.546630124526914</v>
      </c>
      <c r="AB59" s="21">
        <f>EXP(-LN(2)/2)*AB58+(1-EXP(-LN(2)/2))/(LN(2)/2)*V59*Y59*VLOOKUP('Données projet'!$B$9,Paramètres!$A$1:$I$89,3,0)*0.475*44/12</f>
        <v>3.460212536277488</v>
      </c>
      <c r="AC59" s="22">
        <f t="shared" si="3"/>
        <v>125.49475923757615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13.333333333333334</v>
      </c>
      <c r="AI59" s="13">
        <f>IF('Données projet'!$A$62&gt;35,AI58+AH59-AQ58,IF(A59&lt;'Données projet'!$A$62,$AF$205^A59,IF(A59='Données projet'!$A$62,'Données projet'!$B$62,AI58+AH59-AQ58)))</f>
        <v>480.66666666666634</v>
      </c>
      <c r="AJ59" s="13">
        <f>AI59*VLOOKUP('Données projet'!$B$10,Paramètres!$A$1:$I$89,3,0)*VLOOKUP('Données projet'!$B$10,Paramètres!$A$1:$I$89,5,0)</f>
        <v>299.93599999999981</v>
      </c>
      <c r="AK59" s="13">
        <f t="shared" si="35"/>
        <v>71.16304645082424</v>
      </c>
      <c r="AL59" s="20">
        <f t="shared" si="4"/>
        <v>646.33083923518518</v>
      </c>
      <c r="AM59" s="59">
        <f t="shared" si="5"/>
        <v>939.66417256851855</v>
      </c>
      <c r="AN59" s="59">
        <f ca="1">AVERAGE(OFFSET($AM$3,0,0,'Données projet'!$E$10+1,1))-AVERAGE(OFFSET($H$3,0,0,'Données projet'!$E$10+1,1))</f>
        <v>482.28841373508675</v>
      </c>
      <c r="AO59" s="59">
        <f t="shared" si="36"/>
        <v>746.97309214631684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158.21480202095518</v>
      </c>
      <c r="AV59" s="21">
        <f>EXP(-LN(2)/25)*AV58+(1-EXP(-LN(2)/25))/(LN(2)/25)*Calculateur!AQ59*Calculateur!AS59*VLOOKUP('Données projet'!$B$10,Paramètres!$A$1:$I$89,3,0)*0.475*44/12</f>
        <v>34.372477559630141</v>
      </c>
      <c r="AW59" s="21">
        <f>EXP(-LN(2)/2)*AW58+(1-EXP(-LN(2)/2))/(LN(2)/2)*AQ59*AT59*VLOOKUP('Données projet'!$B$10,Paramètres!$A$1:$I$89,3,0)*0.475*44/12</f>
        <v>6.3661022394425162</v>
      </c>
      <c r="AX59" s="21">
        <f t="shared" si="6"/>
        <v>198.95338182002783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432</v>
      </c>
      <c r="BE59" s="13">
        <f>BD59*VLOOKUP('Données projet'!$B$11,Paramètres!$A$1:$I$89,3,0)*VLOOKUP('Données projet'!$B$11,Paramètres!$A$1:$I$89,5,0)</f>
        <v>258.33600000000001</v>
      </c>
      <c r="BF59" s="13">
        <f t="shared" si="37"/>
        <v>62.367547966451262</v>
      </c>
      <c r="BG59" s="20">
        <f t="shared" si="7"/>
        <v>558.55867937490257</v>
      </c>
      <c r="BH59" s="59">
        <f t="shared" si="8"/>
        <v>851.89201270823582</v>
      </c>
      <c r="BI59" s="59">
        <f ca="1">AVERAGE(OFFSET($BH$3,0,0,'Données projet'!$E$11+1,1))-AVERAGE(OFFSET($H$3,0,0,'Données projet'!$E$11+1,1))</f>
        <v>284.42619963941019</v>
      </c>
      <c r="BJ59" s="59">
        <f t="shared" si="38"/>
        <v>301.41905904220812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65.722669003546073</v>
      </c>
      <c r="BQ59" s="21">
        <f>EXP(-LN(2)/25)*BQ58+(1-EXP(-LN(2)/25))/(LN(2)/25)*Calculateur!BL59*Calculateur!BN59*VLOOKUP('Données projet'!$B$11,Paramètres!$A$1:$I$89,3,0)*0.475*44/12</f>
        <v>15.073964951129083</v>
      </c>
      <c r="BR59" s="21">
        <f>EXP(-LN(2)/2)*BR58+(1-EXP(-LN(2)/2))/(LN(2)/2)*BL59*BO59*VLOOKUP('Données projet'!$B$11,Paramètres!$A$1:$I$89,3,0)*0.475*44/12</f>
        <v>3.6917279399305989</v>
      </c>
      <c r="BS59" s="22">
        <f t="shared" si="9"/>
        <v>84.48836189460576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12.2</v>
      </c>
      <c r="N60" s="13">
        <f>IF('Données projet'!$A$36&gt;35,N59+M60-V59,IF(A60&lt;'Données projet'!$A$36,$K$205^A60,IF(A60='Données projet'!$A$36,'Données projet'!$B$36,N59+M60-V59)))</f>
        <v>717.39999999999952</v>
      </c>
      <c r="O60" s="13">
        <f>N60*VLOOKUP('Données projet'!$B$9,Paramètres!$A$1:$I$89,3,0)*VLOOKUP('Données projet'!$B$9,Paramètres!$A$1:$I$89,5,0)</f>
        <v>401.02659999999975</v>
      </c>
      <c r="P60" s="13">
        <f t="shared" si="33"/>
        <v>91.984761558101539</v>
      </c>
      <c r="Q60" s="20">
        <f t="shared" si="53"/>
        <v>858.66145471369293</v>
      </c>
      <c r="R60" s="59">
        <f t="shared" si="0"/>
        <v>1151.9947880470263</v>
      </c>
      <c r="S60" s="59">
        <f ca="1">AVERAGE(OFFSET($R$3,0,0,'Données projet'!$E$9+1,1))-AVERAGE(OFFSET($H$3,0,0,'Données projet'!$E$9+1,1))</f>
        <v>490.96084572840579</v>
      </c>
      <c r="T60" s="59">
        <f t="shared" si="34"/>
        <v>597.91658789908263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95.576237994459007</v>
      </c>
      <c r="AA60" s="21">
        <f>EXP(-LN(2)/25)*AA59+(1-EXP(-LN(2)/25))/(LN(2)/25)*Calculateur!V60*Calculateur!X60*VLOOKUP('Données projet'!$B$9,Paramètres!$A$1:$I$89,3,0)*0.475*44/12</f>
        <v>23.875401232920549</v>
      </c>
      <c r="AB60" s="21">
        <f>EXP(-LN(2)/2)*AB59+(1-EXP(-LN(2)/2))/(LN(2)/2)*V60*Y60*VLOOKUP('Données projet'!$B$9,Paramètres!$A$1:$I$89,3,0)*0.475*44/12</f>
        <v>2.4467397487485147</v>
      </c>
      <c r="AC60" s="22">
        <f t="shared" si="3"/>
        <v>121.89837897612807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13.333333333333334</v>
      </c>
      <c r="AI60" s="13">
        <f>IF('Données projet'!$A$62&gt;35,AI59+AH60-AQ59,IF(A60&lt;'Données projet'!$A$62,$AF$205^A60,IF(A60='Données projet'!$A$62,'Données projet'!$B$62,AI59+AH60-AQ59)))</f>
        <v>493.99999999999966</v>
      </c>
      <c r="AJ60" s="13">
        <f>AI60*VLOOKUP('Données projet'!$B$10,Paramètres!$A$1:$I$89,3,0)*VLOOKUP('Données projet'!$B$10,Paramètres!$A$1:$I$89,5,0)</f>
        <v>308.2559999999998</v>
      </c>
      <c r="AK60" s="13">
        <f t="shared" si="35"/>
        <v>72.904494055753887</v>
      </c>
      <c r="AL60" s="20">
        <f t="shared" si="4"/>
        <v>663.85452714710436</v>
      </c>
      <c r="AM60" s="59">
        <f t="shared" si="5"/>
        <v>957.18786048043762</v>
      </c>
      <c r="AN60" s="59">
        <f ca="1">AVERAGE(OFFSET($AM$3,0,0,'Données projet'!$E$10+1,1))-AVERAGE(OFFSET($H$3,0,0,'Données projet'!$E$10+1,1))</f>
        <v>482.28841373508675</v>
      </c>
      <c r="AO60" s="59">
        <f t="shared" si="36"/>
        <v>746.97309214631684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155.11230625482474</v>
      </c>
      <c r="AV60" s="21">
        <f>EXP(-LN(2)/25)*AV59+(1-EXP(-LN(2)/25))/(LN(2)/25)*Calculateur!AQ60*Calculateur!AS60*VLOOKUP('Données projet'!$B$10,Paramètres!$A$1:$I$89,3,0)*0.475*44/12</f>
        <v>33.432560353192017</v>
      </c>
      <c r="AW60" s="21">
        <f>EXP(-LN(2)/2)*AW59+(1-EXP(-LN(2)/2))/(LN(2)/2)*AQ60*AT60*VLOOKUP('Données projet'!$B$10,Paramètres!$A$1:$I$89,3,0)*0.475*44/12</f>
        <v>4.5015140632366695</v>
      </c>
      <c r="AX60" s="21">
        <f t="shared" si="6"/>
        <v>193.04638067125344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449</v>
      </c>
      <c r="BE60" s="13">
        <f>BD60*VLOOKUP('Données projet'!$B$11,Paramètres!$A$1:$I$89,3,0)*VLOOKUP('Données projet'!$B$11,Paramètres!$A$1:$I$89,5,0)</f>
        <v>268.50200000000001</v>
      </c>
      <c r="BF60" s="13">
        <f t="shared" si="37"/>
        <v>64.531253013339168</v>
      </c>
      <c r="BG60" s="20">
        <f t="shared" si="7"/>
        <v>580.03291566489895</v>
      </c>
      <c r="BH60" s="59">
        <f t="shared" si="8"/>
        <v>873.36624899823232</v>
      </c>
      <c r="BI60" s="59">
        <f ca="1">AVERAGE(OFFSET($BH$3,0,0,'Données projet'!$E$11+1,1))-AVERAGE(OFFSET($H$3,0,0,'Données projet'!$E$11+1,1))</f>
        <v>284.42619963941019</v>
      </c>
      <c r="BJ60" s="59">
        <f t="shared" si="38"/>
        <v>301.41905904220812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64.433887551256376</v>
      </c>
      <c r="BQ60" s="21">
        <f>EXP(-LN(2)/25)*BQ59+(1-EXP(-LN(2)/25))/(LN(2)/25)*Calculateur!BL60*Calculateur!BN60*VLOOKUP('Données projet'!$B$11,Paramètres!$A$1:$I$89,3,0)*0.475*44/12</f>
        <v>14.661766586835094</v>
      </c>
      <c r="BR60" s="21">
        <f>EXP(-LN(2)/2)*BR59+(1-EXP(-LN(2)/2))/(LN(2)/2)*BL60*BO60*VLOOKUP('Données projet'!$B$11,Paramètres!$A$1:$I$89,3,0)*0.475*44/12</f>
        <v>2.6104458606207701</v>
      </c>
      <c r="BS60" s="22">
        <f t="shared" si="9"/>
        <v>81.706099998712247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12.2</v>
      </c>
      <c r="N61" s="13">
        <f>IF('Données projet'!$A$36&gt;35,N60+M61-V60,IF(A61&lt;'Données projet'!$A$36,$K$205^A61,IF(A61='Données projet'!$A$36,'Données projet'!$B$36,N60+M61-V60)))</f>
        <v>729.59999999999957</v>
      </c>
      <c r="O61" s="13">
        <f>N61*VLOOKUP('Données projet'!$B$9,Paramètres!$A$1:$I$89,3,0)*VLOOKUP('Données projet'!$B$9,Paramètres!$A$1:$I$89,5,0)</f>
        <v>407.84639999999973</v>
      </c>
      <c r="P61" s="13">
        <f t="shared" si="33"/>
        <v>93.365599460181741</v>
      </c>
      <c r="Q61" s="20">
        <f t="shared" si="53"/>
        <v>872.94423239314926</v>
      </c>
      <c r="R61" s="59">
        <f t="shared" si="0"/>
        <v>1166.2775657264826</v>
      </c>
      <c r="S61" s="59">
        <f ca="1">AVERAGE(OFFSET($R$3,0,0,'Données projet'!$E$9+1,1))-AVERAGE(OFFSET($H$3,0,0,'Données projet'!$E$9+1,1))</f>
        <v>490.96084572840579</v>
      </c>
      <c r="T61" s="59">
        <f t="shared" si="34"/>
        <v>597.91658789908263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93.702046263136609</v>
      </c>
      <c r="AA61" s="21">
        <f>EXP(-LN(2)/25)*AA60+(1-EXP(-LN(2)/25))/(LN(2)/25)*Calculateur!V61*Calculateur!X61*VLOOKUP('Données projet'!$B$9,Paramètres!$A$1:$I$89,3,0)*0.475*44/12</f>
        <v>23.222527130653553</v>
      </c>
      <c r="AB61" s="21">
        <f>EXP(-LN(2)/2)*AB60+(1-EXP(-LN(2)/2))/(LN(2)/2)*V61*Y61*VLOOKUP('Données projet'!$B$9,Paramètres!$A$1:$I$89,3,0)*0.475*44/12</f>
        <v>1.7301062681387445</v>
      </c>
      <c r="AC61" s="22">
        <f t="shared" si="3"/>
        <v>118.6546796619289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13.333333333333334</v>
      </c>
      <c r="AI61" s="13">
        <f>IF('Données projet'!$A$62&gt;35,AI60+AH61-AQ60,IF(A61&lt;'Données projet'!$A$62,$AF$205^A61,IF(A61='Données projet'!$A$62,'Données projet'!$B$62,AI60+AH61-AQ60)))</f>
        <v>507.33333333333297</v>
      </c>
      <c r="AJ61" s="13">
        <f>AI61*VLOOKUP('Données projet'!$B$10,Paramètres!$A$1:$I$89,3,0)*VLOOKUP('Données projet'!$B$10,Paramètres!$A$1:$I$89,5,0)</f>
        <v>316.57599999999974</v>
      </c>
      <c r="AK61" s="13">
        <f t="shared" si="35"/>
        <v>74.640478438390105</v>
      </c>
      <c r="AL61" s="20">
        <f t="shared" si="4"/>
        <v>681.36869994686231</v>
      </c>
      <c r="AM61" s="59">
        <f t="shared" si="5"/>
        <v>974.70203328019556</v>
      </c>
      <c r="AN61" s="59">
        <f ca="1">AVERAGE(OFFSET($AM$3,0,0,'Données projet'!$E$10+1,1))-AVERAGE(OFFSET($H$3,0,0,'Données projet'!$E$10+1,1))</f>
        <v>482.28841373508675</v>
      </c>
      <c r="AO61" s="59">
        <f t="shared" si="36"/>
        <v>746.97309214631684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152.07064853833256</v>
      </c>
      <c r="AV61" s="21">
        <f>EXP(-LN(2)/25)*AV60+(1-EXP(-LN(2)/25))/(LN(2)/25)*Calculateur!AQ61*Calculateur!AS61*VLOOKUP('Données projet'!$B$10,Paramètres!$A$1:$I$89,3,0)*0.475*44/12</f>
        <v>32.51834523219204</v>
      </c>
      <c r="AW61" s="21">
        <f>EXP(-LN(2)/2)*AW60+(1-EXP(-LN(2)/2))/(LN(2)/2)*AQ61*AT61*VLOOKUP('Données projet'!$B$10,Paramètres!$A$1:$I$89,3,0)*0.475*44/12</f>
        <v>3.1830511197212581</v>
      </c>
      <c r="AX61" s="21">
        <f t="shared" si="6"/>
        <v>187.77204489024587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466</v>
      </c>
      <c r="BE61" s="13">
        <f>BD61*VLOOKUP('Données projet'!$B$11,Paramètres!$A$1:$I$89,3,0)*VLOOKUP('Données projet'!$B$11,Paramètres!$A$1:$I$89,5,0)</f>
        <v>278.66800000000001</v>
      </c>
      <c r="BF61" s="13">
        <f t="shared" si="37"/>
        <v>66.685440917424543</v>
      </c>
      <c r="BG61" s="20">
        <f t="shared" si="7"/>
        <v>601.49057626451452</v>
      </c>
      <c r="BH61" s="59">
        <f t="shared" si="8"/>
        <v>894.82390959784789</v>
      </c>
      <c r="BI61" s="59">
        <f ca="1">AVERAGE(OFFSET($BH$3,0,0,'Données projet'!$E$11+1,1))-AVERAGE(OFFSET($H$3,0,0,'Données projet'!$E$11+1,1))</f>
        <v>284.42619963941019</v>
      </c>
      <c r="BJ61" s="59">
        <f t="shared" si="38"/>
        <v>301.41905904220812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63.170378317167014</v>
      </c>
      <c r="BQ61" s="21">
        <f>EXP(-LN(2)/25)*BQ60+(1-EXP(-LN(2)/25))/(LN(2)/25)*Calculateur!BL61*Calculateur!BN61*VLOOKUP('Données projet'!$B$11,Paramètres!$A$1:$I$89,3,0)*0.475*44/12</f>
        <v>14.260839808489294</v>
      </c>
      <c r="BR61" s="21">
        <f>EXP(-LN(2)/2)*BR60+(1-EXP(-LN(2)/2))/(LN(2)/2)*BL61*BO61*VLOOKUP('Données projet'!$B$11,Paramètres!$A$1:$I$89,3,0)*0.475*44/12</f>
        <v>1.8458639699652997</v>
      </c>
      <c r="BS61" s="22">
        <f t="shared" si="9"/>
        <v>79.277082095621594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12.2</v>
      </c>
      <c r="N62" s="13">
        <f>IF('Données projet'!$A$36&gt;35,N61+M62-V61,IF(A62&lt;'Données projet'!$A$36,$K$205^A62,IF(A62='Données projet'!$A$36,'Données projet'!$B$36,N61+M62-V61)))</f>
        <v>741.79999999999961</v>
      </c>
      <c r="O62" s="13">
        <f>N62*VLOOKUP('Données projet'!$B$9,Paramètres!$A$1:$I$89,3,0)*VLOOKUP('Données projet'!$B$9,Paramètres!$A$1:$I$89,5,0)</f>
        <v>414.66619999999978</v>
      </c>
      <c r="P62" s="13">
        <f t="shared" si="33"/>
        <v>94.743752206399009</v>
      </c>
      <c r="Q62" s="20">
        <f t="shared" si="53"/>
        <v>887.22233342614447</v>
      </c>
      <c r="R62" s="59">
        <f t="shared" si="0"/>
        <v>1180.5556667594778</v>
      </c>
      <c r="S62" s="59">
        <f ca="1">AVERAGE(OFFSET($R$3,0,0,'Données projet'!$E$9+1,1))-AVERAGE(OFFSET($H$3,0,0,'Données projet'!$E$9+1,1))</f>
        <v>490.96084572840579</v>
      </c>
      <c r="T62" s="59">
        <f t="shared" si="34"/>
        <v>597.91658789908263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91.864606288521372</v>
      </c>
      <c r="AA62" s="21">
        <f>EXP(-LN(2)/25)*AA61+(1-EXP(-LN(2)/25))/(LN(2)/25)*Calculateur!V62*Calculateur!X62*VLOOKUP('Données projet'!$B$9,Paramètres!$A$1:$I$89,3,0)*0.475*44/12</f>
        <v>22.587505905046207</v>
      </c>
      <c r="AB62" s="21">
        <f>EXP(-LN(2)/2)*AB61+(1-EXP(-LN(2)/2))/(LN(2)/2)*V62*Y62*VLOOKUP('Données projet'!$B$9,Paramètres!$A$1:$I$89,3,0)*0.475*44/12</f>
        <v>1.2233698743742576</v>
      </c>
      <c r="AC62" s="22">
        <f t="shared" si="3"/>
        <v>115.67548206794184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13.333333333333334</v>
      </c>
      <c r="AI62" s="13">
        <f>IF('Données projet'!$A$62&gt;35,AI61+AH62-AQ61,IF(A62&lt;'Données projet'!$A$62,$AF$205^A62,IF(A62='Données projet'!$A$62,'Données projet'!$B$62,AI61+AH62-AQ61)))</f>
        <v>520.66666666666629</v>
      </c>
      <c r="AJ62" s="13">
        <f>AI62*VLOOKUP('Données projet'!$B$10,Paramètres!$A$1:$I$89,3,0)*VLOOKUP('Données projet'!$B$10,Paramètres!$A$1:$I$89,5,0)</f>
        <v>324.89599999999979</v>
      </c>
      <c r="AK62" s="13">
        <f t="shared" si="35"/>
        <v>76.371159683916659</v>
      </c>
      <c r="AL62" s="20">
        <f t="shared" si="4"/>
        <v>698.87363644948789</v>
      </c>
      <c r="AM62" s="59">
        <f t="shared" si="5"/>
        <v>992.20696978282126</v>
      </c>
      <c r="AN62" s="59">
        <f ca="1">AVERAGE(OFFSET($AM$3,0,0,'Données projet'!$E$10+1,1))-AVERAGE(OFFSET($H$3,0,0,'Données projet'!$E$10+1,1))</f>
        <v>482.28841373508675</v>
      </c>
      <c r="AO62" s="59">
        <f t="shared" si="36"/>
        <v>746.97309214631684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149.08863587443278</v>
      </c>
      <c r="AV62" s="21">
        <f>EXP(-LN(2)/25)*AV61+(1-EXP(-LN(2)/25))/(LN(2)/25)*Calculateur!AQ62*Calculateur!AS62*VLOOKUP('Données projet'!$B$10,Paramètres!$A$1:$I$89,3,0)*0.475*44/12</f>
        <v>31.629129371752295</v>
      </c>
      <c r="AW62" s="21">
        <f>EXP(-LN(2)/2)*AW61+(1-EXP(-LN(2)/2))/(LN(2)/2)*AQ62*AT62*VLOOKUP('Données projet'!$B$10,Paramètres!$A$1:$I$89,3,0)*0.475*44/12</f>
        <v>2.2507570316183347</v>
      </c>
      <c r="AX62" s="21">
        <f t="shared" si="6"/>
        <v>182.9685222778034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483</v>
      </c>
      <c r="BE62" s="13">
        <f>BD62*VLOOKUP('Données projet'!$B$11,Paramètres!$A$1:$I$89,3,0)*VLOOKUP('Données projet'!$B$11,Paramètres!$A$1:$I$89,5,0)</f>
        <v>288.834</v>
      </c>
      <c r="BF62" s="13">
        <f t="shared" si="37"/>
        <v>68.830498636563377</v>
      </c>
      <c r="BG62" s="20">
        <f t="shared" si="7"/>
        <v>622.93233512534789</v>
      </c>
      <c r="BH62" s="59">
        <f t="shared" si="8"/>
        <v>916.26566845868115</v>
      </c>
      <c r="BI62" s="59">
        <f ca="1">AVERAGE(OFFSET($BH$3,0,0,'Données projet'!$E$11+1,1))-AVERAGE(OFFSET($H$3,0,0,'Données projet'!$E$11+1,1))</f>
        <v>284.42619963941019</v>
      </c>
      <c r="BJ62" s="59">
        <f t="shared" si="38"/>
        <v>301.41905904220812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61.931645728493606</v>
      </c>
      <c r="BQ62" s="21">
        <f>EXP(-LN(2)/25)*BQ61+(1-EXP(-LN(2)/25))/(LN(2)/25)*Calculateur!BL62*Calculateur!BN62*VLOOKUP('Données projet'!$B$11,Paramètres!$A$1:$I$89,3,0)*0.475*44/12</f>
        <v>13.870876393981183</v>
      </c>
      <c r="BR62" s="21">
        <f>EXP(-LN(2)/2)*BR61+(1-EXP(-LN(2)/2))/(LN(2)/2)*BL62*BO62*VLOOKUP('Données projet'!$B$11,Paramètres!$A$1:$I$89,3,0)*0.475*44/12</f>
        <v>1.3052229303103853</v>
      </c>
      <c r="BS62" s="22">
        <f t="shared" si="9"/>
        <v>77.107745052785162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754</v>
      </c>
      <c r="L63" s="12">
        <f>VLOOKUP(A63,'Données projet'!$A$35:$I$55,9,0)</f>
        <v>12.2</v>
      </c>
      <c r="M63" s="12">
        <f t="array" ref="M63">INDEX(L:L,MIN(IF(ISNUMBER(L63:L259),ROW(L63:L259),"")))</f>
        <v>12.2</v>
      </c>
      <c r="N63" s="13">
        <f>IF('Données projet'!$A$36&gt;35,N62+M63-V62,IF(A63&lt;'Données projet'!$A$36,$K$205^A63,IF(A63='Données projet'!$A$36,'Données projet'!$B$36,N62+M63-V62)))</f>
        <v>753.99999999999966</v>
      </c>
      <c r="O63" s="13">
        <f>N63*VLOOKUP('Données projet'!$B$9,Paramètres!$A$1:$I$89,3,0)*VLOOKUP('Données projet'!$B$9,Paramètres!$A$1:$I$89,5,0)</f>
        <v>421.48599999999982</v>
      </c>
      <c r="P63" s="13">
        <f t="shared" si="33"/>
        <v>96.119269055816147</v>
      </c>
      <c r="Q63" s="20">
        <f t="shared" si="53"/>
        <v>901.49584360554616</v>
      </c>
      <c r="R63" s="59">
        <f t="shared" si="0"/>
        <v>1194.8291769388795</v>
      </c>
      <c r="S63" s="59">
        <f ca="1">AVERAGE(OFFSET($R$3,0,0,'Données projet'!$E$9+1,1))-AVERAGE(OFFSET($H$3,0,0,'Données projet'!$E$9+1,1))</f>
        <v>490.96084572840579</v>
      </c>
      <c r="T63" s="59">
        <f t="shared" si="34"/>
        <v>597.91658789908263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35</v>
      </c>
      <c r="W63" s="16">
        <f>IF(ISNA(VLOOKUP(A63,'Données projet'!$A$35:$I$55,5,0)),0%,VLOOKUP(A63,'Données projet'!$A$35:$I$55,5,0)*VLOOKUP('Données projet'!$B$9,Paramètres!$A$1:$I$89,7,0))</f>
        <v>0.38500000000000001</v>
      </c>
      <c r="X63" s="16">
        <f>IF(ISNA(VLOOKUP(A63,'Données projet'!$A$35:$I$55,6,0)),0%,VLOOKUP(A63,'Données projet'!$A$35:$I$55,6,0)*VLOOKUP('Données projet'!$B$9,Paramètres!$A$1:$I$89,7,0))</f>
        <v>9.3500000000000014E-2</v>
      </c>
      <c r="Y63" s="16">
        <f>IF(ISNA(VLOOKUP(A63,'Données projet'!$A$35:$I$55,7,0)),0%,VLOOKUP(A63,'Données projet'!$A$35:$I$55,7,0))</f>
        <v>0.13</v>
      </c>
      <c r="Z63" s="21">
        <f>EXP(-LN(2)/35)*Z62+(1-EXP(-LN(2)/35))/(LN(2)/35)*V63*W63*VLOOKUP('Données projet'!$B$9,Paramètres!$A$1:$I$89,3,0)*0.475*44/12</f>
        <v>100.05557731579034</v>
      </c>
      <c r="AA63" s="21">
        <f>EXP(-LN(2)/25)*AA62+(1-EXP(-LN(2)/25))/(LN(2)/25)*Calculateur!V63*Calculateur!X63*VLOOKUP('Données projet'!$B$9,Paramètres!$A$1:$I$89,3,0)*0.475*44/12</f>
        <v>24.387015282509765</v>
      </c>
      <c r="AB63" s="21">
        <f>EXP(-LN(2)/2)*AB62+(1-EXP(-LN(2)/2))/(LN(2)/2)*V63*Y63*VLOOKUP('Données projet'!$B$9,Paramètres!$A$1:$I$89,3,0)*0.475*44/12</f>
        <v>3.7448293712130614</v>
      </c>
      <c r="AC63" s="22">
        <f t="shared" si="3"/>
        <v>128.18742196951317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534</v>
      </c>
      <c r="AG63" s="12">
        <f>VLOOKUP(A63,'Données projet'!$A$61:$I$81,9,0)</f>
        <v>13.333333333333334</v>
      </c>
      <c r="AH63" s="12">
        <f t="array" ref="AH63">INDEX(AG:AG,MIN(IF(ISNUMBER(AG63:AG259),ROW(AG63:AG259),"")))</f>
        <v>13.333333333333334</v>
      </c>
      <c r="AI63" s="13">
        <f>IF('Données projet'!$A$62&gt;35,AI62+AH63-AQ62,IF(A63&lt;'Données projet'!$A$62,$AF$205^A63,IF(A63='Données projet'!$A$62,'Données projet'!$B$62,AI62+AH63-AQ62)))</f>
        <v>533.99999999999966</v>
      </c>
      <c r="AJ63" s="13">
        <f>AI63*VLOOKUP('Données projet'!$B$10,Paramètres!$A$1:$I$89,3,0)*VLOOKUP('Données projet'!$B$10,Paramètres!$A$1:$I$89,5,0)</f>
        <v>333.21599999999978</v>
      </c>
      <c r="AK63" s="13">
        <f t="shared" si="35"/>
        <v>78.096689211412567</v>
      </c>
      <c r="AL63" s="20">
        <f t="shared" si="4"/>
        <v>716.36960037654308</v>
      </c>
      <c r="AM63" s="59">
        <f t="shared" si="5"/>
        <v>1009.7029337098763</v>
      </c>
      <c r="AN63" s="59">
        <f ca="1">AVERAGE(OFFSET($AM$3,0,0,'Données projet'!$E$10+1,1))-AVERAGE(OFFSET($H$3,0,0,'Données projet'!$E$10+1,1))</f>
        <v>482.28841373508675</v>
      </c>
      <c r="AO63" s="59">
        <f t="shared" si="36"/>
        <v>746.97309214631684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112</v>
      </c>
      <c r="AR63" s="16">
        <f>IF(ISNA(VLOOKUP(A63,'Données projet'!$A$61:$I$81,5,0)),0%,VLOOKUP(A63,'Données projet'!$A$61:$I$81,5,0)*VLOOKUP('Données projet'!$B$10,Paramètres!$A$1:$I$89,7,0))</f>
        <v>0.42</v>
      </c>
      <c r="AS63" s="16">
        <f>IF(ISNA(VLOOKUP(A63,'Données projet'!$A$61:$I$81,6,0)),0%,VLOOKUP(A63,'Données projet'!$A$61:$I$81,6,0)*VLOOKUP('Données projet'!$B$10,Paramètres!$A$1:$I$89,7,0))</f>
        <v>0.1008</v>
      </c>
      <c r="AT63" s="16">
        <f>IF(ISNA(VLOOKUP(A63,'Données projet'!$A$61:$I$81,7,0)),0%,VLOOKUP(A63,'Données projet'!$A$61:$I$81,7,0))</f>
        <v>0.13200000000000001</v>
      </c>
      <c r="AU63" s="21">
        <f>EXP(-LN(2)/35)*AU62+(1-EXP(-LN(2)/35))/(LN(2)/35)*AQ63*AR63*VLOOKUP('Données projet'!$B$10,Paramètres!$A$1:$I$89,3,0)*0.475*44/12</f>
        <v>185.10369205796255</v>
      </c>
      <c r="AV63" s="21">
        <f>EXP(-LN(2)/25)*AV62+(1-EXP(-LN(2)/25))/(LN(2)/25)*Calculateur!AQ63*Calculateur!AS63*VLOOKUP('Données projet'!$B$10,Paramètres!$A$1:$I$89,3,0)*0.475*44/12</f>
        <v>40.072695722329385</v>
      </c>
      <c r="AW63" s="21">
        <f>EXP(-LN(2)/2)*AW62+(1-EXP(-LN(2)/2))/(LN(2)/2)*AQ63*AT63*VLOOKUP('Données projet'!$B$10,Paramètres!$A$1:$I$89,3,0)*0.475*44/12</f>
        <v>12.036613066718544</v>
      </c>
      <c r="AX63" s="21">
        <f t="shared" si="6"/>
        <v>237.21300084701045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500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500</v>
      </c>
      <c r="BE63" s="13">
        <f>BD63*VLOOKUP('Données projet'!$B$11,Paramètres!$A$1:$I$89,3,0)*VLOOKUP('Données projet'!$B$11,Paramètres!$A$1:$I$89,5,0)</f>
        <v>299</v>
      </c>
      <c r="BF63" s="13">
        <f t="shared" si="37"/>
        <v>70.966784344875109</v>
      </c>
      <c r="BG63" s="20">
        <f t="shared" si="7"/>
        <v>644.35881606732414</v>
      </c>
      <c r="BH63" s="59">
        <f t="shared" si="8"/>
        <v>937.6921494006574</v>
      </c>
      <c r="BI63" s="59">
        <f ca="1">AVERAGE(OFFSET($BH$3,0,0,'Données projet'!$E$11+1,1))-AVERAGE(OFFSET($H$3,0,0,'Données projet'!$E$11+1,1))</f>
        <v>284.42619963941019</v>
      </c>
      <c r="BJ63" s="59">
        <f t="shared" si="38"/>
        <v>301.41905904220812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32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7.5600000000000001E-2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68.713522217408496</v>
      </c>
      <c r="BQ63" s="21">
        <f>EXP(-LN(2)/25)*BQ62+(1-EXP(-LN(2)/25))/(LN(2)/25)*Calculateur!BL63*Calculateur!BN63*VLOOKUP('Données projet'!$B$11,Paramètres!$A$1:$I$89,3,0)*0.475*44/12</f>
        <v>15.403136645984718</v>
      </c>
      <c r="BR63" s="21">
        <f>EXP(-LN(2)/2)*BR62+(1-EXP(-LN(2)/2))/(LN(2)/2)*BL63*BO63*VLOOKUP('Données projet'!$B$11,Paramètres!$A$1:$I$89,3,0)*0.475*44/12</f>
        <v>3.7828964213842209</v>
      </c>
      <c r="BS63" s="22">
        <f t="shared" si="9"/>
        <v>87.899555284777435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</v>
      </c>
      <c r="N64" s="13">
        <f>IF('Données projet'!$A$36&gt;35,N63+M64-V63,IF(A64&lt;'Données projet'!$A$36,$K$205^A64,IF(A64='Données projet'!$A$36,'Données projet'!$B$36,N63+M64-V63)))</f>
        <v>728.99999999999966</v>
      </c>
      <c r="O64" s="13">
        <f>N64*VLOOKUP('Données projet'!$B$9,Paramètres!$A$1:$I$89,3,0)*VLOOKUP('Données projet'!$B$9,Paramètres!$A$1:$I$89,5,0)</f>
        <v>407.51099999999985</v>
      </c>
      <c r="P64" s="13">
        <f t="shared" si="33"/>
        <v>93.297752590617137</v>
      </c>
      <c r="Q64" s="20">
        <f t="shared" si="53"/>
        <v>872.24191076199133</v>
      </c>
      <c r="R64" s="59">
        <f t="shared" si="0"/>
        <v>1165.5752440953247</v>
      </c>
      <c r="S64" s="59">
        <f ca="1">AVERAGE(OFFSET($R$3,0,0,'Données projet'!$E$9+1,1))-AVERAGE(OFFSET($H$3,0,0,'Données projet'!$E$9+1,1))</f>
        <v>490.96084572840579</v>
      </c>
      <c r="T64" s="59">
        <f t="shared" si="34"/>
        <v>597.91658789908263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98.093548472503855</v>
      </c>
      <c r="AA64" s="21">
        <f>EXP(-LN(2)/25)*AA63+(1-EXP(-LN(2)/25))/(LN(2)/25)*Calculateur!V64*Calculateur!X64*VLOOKUP('Données projet'!$B$9,Paramètres!$A$1:$I$89,3,0)*0.475*44/12</f>
        <v>23.720151067152138</v>
      </c>
      <c r="AB64" s="21">
        <f>EXP(-LN(2)/2)*AB63+(1-EXP(-LN(2)/2))/(LN(2)/2)*V64*Y64*VLOOKUP('Données projet'!$B$9,Paramètres!$A$1:$I$89,3,0)*0.475*44/12</f>
        <v>2.6479942427713108</v>
      </c>
      <c r="AC64" s="22">
        <f t="shared" si="3"/>
        <v>124.4616937824273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13.333333333333334</v>
      </c>
      <c r="AI64" s="13">
        <f>IF('Données projet'!$A$62&gt;35,AI63+AH64-AQ63,IF(A64&lt;'Données projet'!$A$62,$AF$205^A64,IF(A64='Données projet'!$A$62,'Données projet'!$B$62,AI63+AH64-AQ63)))</f>
        <v>435.33333333333303</v>
      </c>
      <c r="AJ64" s="13">
        <f>AI64*VLOOKUP('Données projet'!$B$10,Paramètres!$A$1:$I$89,3,0)*VLOOKUP('Données projet'!$B$10,Paramètres!$A$1:$I$89,5,0)</f>
        <v>271.6479999999998</v>
      </c>
      <c r="AK64" s="13">
        <f t="shared" si="35"/>
        <v>65.198892519225097</v>
      </c>
      <c r="AL64" s="20">
        <f t="shared" si="4"/>
        <v>586.67500447098337</v>
      </c>
      <c r="AM64" s="59">
        <f t="shared" si="5"/>
        <v>880.00833780431662</v>
      </c>
      <c r="AN64" s="59">
        <f ca="1">AVERAGE(OFFSET($AM$3,0,0,'Données projet'!$E$10+1,1))-AVERAGE(OFFSET($H$3,0,0,'Données projet'!$E$10+1,1))</f>
        <v>482.28841373508675</v>
      </c>
      <c r="AO64" s="59">
        <f t="shared" si="36"/>
        <v>746.97309214631684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181.47392155880991</v>
      </c>
      <c r="AV64" s="21">
        <f>EXP(-LN(2)/25)*AV63+(1-EXP(-LN(2)/25))/(LN(2)/25)*Calculateur!AQ64*Calculateur!AS64*VLOOKUP('Données projet'!$B$10,Paramètres!$A$1:$I$89,3,0)*0.475*44/12</f>
        <v>38.976905750470806</v>
      </c>
      <c r="AW64" s="21">
        <f>EXP(-LN(2)/2)*AW63+(1-EXP(-LN(2)/2))/(LN(2)/2)*AQ64*AT64*VLOOKUP('Données projet'!$B$10,Paramètres!$A$1:$I$89,3,0)*0.475*44/12</f>
        <v>8.5111707219952883</v>
      </c>
      <c r="AX64" s="21">
        <f t="shared" si="6"/>
        <v>228.96199803127601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17.399999999999999</v>
      </c>
      <c r="BD64" s="12">
        <f>IF('Données projet'!$A$88&gt;35,BD63+BC64-BL63,IF(A64&lt;'Données projet'!$A$88,$BA$205^A64,IF(A64='Données projet'!$A$88,'Données projet'!$B$88,BD63+BC64-BL63)))</f>
        <v>485.4</v>
      </c>
      <c r="BE64" s="13">
        <f>BD64*VLOOKUP('Données projet'!$B$11,Paramètres!$A$1:$I$89,3,0)*VLOOKUP('Données projet'!$B$11,Paramètres!$A$1:$I$89,5,0)</f>
        <v>290.26920000000001</v>
      </c>
      <c r="BF64" s="13">
        <f t="shared" si="37"/>
        <v>69.13261576818384</v>
      </c>
      <c r="BG64" s="20">
        <f t="shared" si="7"/>
        <v>625.95816246292009</v>
      </c>
      <c r="BH64" s="59">
        <f t="shared" si="8"/>
        <v>919.29149579625346</v>
      </c>
      <c r="BI64" s="59">
        <f ca="1">AVERAGE(OFFSET($BH$3,0,0,'Données projet'!$E$11+1,1))-AVERAGE(OFFSET($H$3,0,0,'Données projet'!$E$11+1,1))</f>
        <v>284.42619963941019</v>
      </c>
      <c r="BJ64" s="59">
        <f t="shared" si="38"/>
        <v>301.41905904220812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67.366091957835295</v>
      </c>
      <c r="BQ64" s="21">
        <f>EXP(-LN(2)/25)*BQ63+(1-EXP(-LN(2)/25))/(LN(2)/25)*Calculateur!BL64*Calculateur!BN64*VLOOKUP('Données projet'!$B$11,Paramètres!$A$1:$I$89,3,0)*0.475*44/12</f>
        <v>14.981937064384514</v>
      </c>
      <c r="BR64" s="21">
        <f>EXP(-LN(2)/2)*BR63+(1-EXP(-LN(2)/2))/(LN(2)/2)*BL64*BO64*VLOOKUP('Données projet'!$B$11,Paramètres!$A$1:$I$89,3,0)*0.475*44/12</f>
        <v>2.674911712087106</v>
      </c>
      <c r="BS64" s="22">
        <f t="shared" si="9"/>
        <v>85.022940734306914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</v>
      </c>
      <c r="N65" s="13">
        <f>IF('Données projet'!$A$36&gt;35,N64+M65-V64,IF(A65&lt;'Données projet'!$A$36,$K$205^A65,IF(A65='Données projet'!$A$36,'Données projet'!$B$36,N64+M65-V64)))</f>
        <v>738.99999999999966</v>
      </c>
      <c r="O65" s="13">
        <f>N65*VLOOKUP('Données projet'!$B$9,Paramètres!$A$1:$I$89,3,0)*VLOOKUP('Données projet'!$B$9,Paramètres!$A$1:$I$89,5,0)</f>
        <v>413.10099999999983</v>
      </c>
      <c r="P65" s="13">
        <f t="shared" si="33"/>
        <v>94.427689670462357</v>
      </c>
      <c r="Q65" s="20">
        <f t="shared" si="53"/>
        <v>883.94580117605494</v>
      </c>
      <c r="R65" s="59">
        <f t="shared" si="0"/>
        <v>1177.2791345093883</v>
      </c>
      <c r="S65" s="59">
        <f ca="1">AVERAGE(OFFSET($R$3,0,0,'Données projet'!$E$9+1,1))-AVERAGE(OFFSET($H$3,0,0,'Données projet'!$E$9+1,1))</f>
        <v>490.96084572840579</v>
      </c>
      <c r="T65" s="59">
        <f t="shared" si="34"/>
        <v>597.91658789908263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96.16999381811479</v>
      </c>
      <c r="AA65" s="21">
        <f>EXP(-LN(2)/25)*AA64+(1-EXP(-LN(2)/25))/(LN(2)/25)*Calculateur!V65*Calculateur!X65*VLOOKUP('Données projet'!$B$9,Paramètres!$A$1:$I$89,3,0)*0.475*44/12</f>
        <v>23.07152228883233</v>
      </c>
      <c r="AB65" s="21">
        <f>EXP(-LN(2)/2)*AB64+(1-EXP(-LN(2)/2))/(LN(2)/2)*V65*Y65*VLOOKUP('Données projet'!$B$9,Paramètres!$A$1:$I$89,3,0)*0.475*44/12</f>
        <v>1.8724146856065309</v>
      </c>
      <c r="AC65" s="22">
        <f t="shared" si="3"/>
        <v>121.11393079255365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13.333333333333334</v>
      </c>
      <c r="AI65" s="13">
        <f>IF('Données projet'!$A$62&gt;35,AI64+AH65-AQ64,IF(A65&lt;'Données projet'!$A$62,$AF$205^A65,IF(A65='Données projet'!$A$62,'Données projet'!$B$62,AI64+AH65-AQ64)))</f>
        <v>448.66666666666634</v>
      </c>
      <c r="AJ65" s="13">
        <f>AI65*VLOOKUP('Données projet'!$B$10,Paramètres!$A$1:$I$89,3,0)*VLOOKUP('Données projet'!$B$10,Paramètres!$A$1:$I$89,5,0)</f>
        <v>279.96799999999979</v>
      </c>
      <c r="AK65" s="13">
        <f t="shared" si="35"/>
        <v>66.960246316234532</v>
      </c>
      <c r="AL65" s="20">
        <f t="shared" si="4"/>
        <v>604.23336233410805</v>
      </c>
      <c r="AM65" s="59">
        <f t="shared" si="5"/>
        <v>897.56669566744131</v>
      </c>
      <c r="AN65" s="59">
        <f ca="1">AVERAGE(OFFSET($AM$3,0,0,'Données projet'!$E$10+1,1))-AVERAGE(OFFSET($H$3,0,0,'Données projet'!$E$10+1,1))</f>
        <v>482.28841373508675</v>
      </c>
      <c r="AO65" s="59">
        <f t="shared" si="36"/>
        <v>746.97309214631684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177.91532864520426</v>
      </c>
      <c r="AV65" s="21">
        <f>EXP(-LN(2)/25)*AV64+(1-EXP(-LN(2)/25))/(LN(2)/25)*Calculateur!AQ65*Calculateur!AS65*VLOOKUP('Données projet'!$B$10,Paramètres!$A$1:$I$89,3,0)*0.475*44/12</f>
        <v>37.91108021301779</v>
      </c>
      <c r="AW65" s="21">
        <f>EXP(-LN(2)/2)*AW64+(1-EXP(-LN(2)/2))/(LN(2)/2)*AQ65*AT65*VLOOKUP('Données projet'!$B$10,Paramètres!$A$1:$I$89,3,0)*0.475*44/12</f>
        <v>6.0183065333592722</v>
      </c>
      <c r="AX65" s="21">
        <f t="shared" si="6"/>
        <v>221.8447153915813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17.399999999999999</v>
      </c>
      <c r="BD65" s="12">
        <f>IF('Données projet'!$A$88&gt;35,BD64+BC65-BL64,IF(A65&lt;'Données projet'!$A$88,$BA$205^A65,IF(A65='Données projet'!$A$88,'Données projet'!$B$88,BD64+BC65-BL64)))</f>
        <v>502.79999999999995</v>
      </c>
      <c r="BE65" s="13">
        <f>BD65*VLOOKUP('Données projet'!$B$11,Paramètres!$A$1:$I$89,3,0)*VLOOKUP('Données projet'!$B$11,Paramètres!$A$1:$I$89,5,0)</f>
        <v>300.67439999999999</v>
      </c>
      <c r="BF65" s="13">
        <f t="shared" si="37"/>
        <v>71.317825137860439</v>
      </c>
      <c r="BG65" s="20">
        <f t="shared" si="7"/>
        <v>647.88645878177363</v>
      </c>
      <c r="BH65" s="59">
        <f t="shared" si="8"/>
        <v>941.21979211510688</v>
      </c>
      <c r="BI65" s="59">
        <f ca="1">AVERAGE(OFFSET($BH$3,0,0,'Données projet'!$E$11+1,1))-AVERAGE(OFFSET($H$3,0,0,'Données projet'!$E$11+1,1))</f>
        <v>284.42619963941019</v>
      </c>
      <c r="BJ65" s="59">
        <f t="shared" si="38"/>
        <v>301.41905904220812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66.045083983801007</v>
      </c>
      <c r="BQ65" s="21">
        <f>EXP(-LN(2)/25)*BQ64+(1-EXP(-LN(2)/25))/(LN(2)/25)*Calculateur!BL65*Calculateur!BN65*VLOOKUP('Données projet'!$B$11,Paramètres!$A$1:$I$89,3,0)*0.475*44/12</f>
        <v>14.572255207493091</v>
      </c>
      <c r="BR65" s="21">
        <f>EXP(-LN(2)/2)*BR64+(1-EXP(-LN(2)/2))/(LN(2)/2)*BL65*BO65*VLOOKUP('Données projet'!$B$11,Paramètres!$A$1:$I$89,3,0)*0.475*44/12</f>
        <v>1.8914482106921107</v>
      </c>
      <c r="BS65" s="22">
        <f t="shared" si="9"/>
        <v>82.508787401986197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</v>
      </c>
      <c r="N66" s="13">
        <f>IF('Données projet'!$A$36&gt;35,N65+M66-V65,IF(A66&lt;'Données projet'!$A$36,$K$205^A66,IF(A66='Données projet'!$A$36,'Données projet'!$B$36,N65+M66-V65)))</f>
        <v>748.99999999999966</v>
      </c>
      <c r="O66" s="13">
        <f>N66*VLOOKUP('Données projet'!$B$9,Paramètres!$A$1:$I$89,3,0)*VLOOKUP('Données projet'!$B$9,Paramètres!$A$1:$I$89,5,0)</f>
        <v>418.6909999999998</v>
      </c>
      <c r="P66" s="13">
        <f t="shared" si="33"/>
        <v>95.555848328260851</v>
      </c>
      <c r="Q66" s="20">
        <f t="shared" si="53"/>
        <v>895.64659417172061</v>
      </c>
      <c r="R66" s="59">
        <f t="shared" si="0"/>
        <v>1188.9799275050539</v>
      </c>
      <c r="S66" s="59">
        <f ca="1">AVERAGE(OFFSET($R$3,0,0,'Données projet'!$E$9+1,1))-AVERAGE(OFFSET($H$3,0,0,'Données projet'!$E$9+1,1))</f>
        <v>490.96084572840579</v>
      </c>
      <c r="T66" s="59">
        <f t="shared" si="34"/>
        <v>597.91658789908263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94.284158897245803</v>
      </c>
      <c r="AA66" s="21">
        <f>EXP(-LN(2)/25)*AA65+(1-EXP(-LN(2)/25))/(LN(2)/25)*Calculateur!V66*Calculateur!X66*VLOOKUP('Données projet'!$B$9,Paramètres!$A$1:$I$89,3,0)*0.475*44/12</f>
        <v>22.440630298565583</v>
      </c>
      <c r="AB66" s="21">
        <f>EXP(-LN(2)/2)*AB65+(1-EXP(-LN(2)/2))/(LN(2)/2)*V66*Y66*VLOOKUP('Données projet'!$B$9,Paramètres!$A$1:$I$89,3,0)*0.475*44/12</f>
        <v>1.3239971213856556</v>
      </c>
      <c r="AC66" s="22">
        <f t="shared" si="3"/>
        <v>118.04878631719704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13.333333333333334</v>
      </c>
      <c r="AI66" s="13">
        <f>IF('Données projet'!$A$62&gt;35,AI65+AH66-AQ65,IF(A66&lt;'Données projet'!$A$62,$AF$205^A66,IF(A66='Données projet'!$A$62,'Données projet'!$B$62,AI65+AH66-AQ65)))</f>
        <v>461.99999999999966</v>
      </c>
      <c r="AJ66" s="13">
        <f>AI66*VLOOKUP('Données projet'!$B$10,Paramètres!$A$1:$I$89,3,0)*VLOOKUP('Données projet'!$B$10,Paramètres!$A$1:$I$89,5,0)</f>
        <v>288.28799999999978</v>
      </c>
      <c r="AK66" s="13">
        <f t="shared" si="35"/>
        <v>68.715516926722387</v>
      </c>
      <c r="AL66" s="20">
        <f t="shared" si="4"/>
        <v>621.78112531404111</v>
      </c>
      <c r="AM66" s="59">
        <f t="shared" si="5"/>
        <v>915.11445864737448</v>
      </c>
      <c r="AN66" s="59">
        <f ca="1">AVERAGE(OFFSET($AM$3,0,0,'Données projet'!$E$10+1,1))-AVERAGE(OFFSET($H$3,0,0,'Données projet'!$E$10+1,1))</f>
        <v>482.28841373508675</v>
      </c>
      <c r="AO66" s="59">
        <f t="shared" si="36"/>
        <v>746.97309214631684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174.42651756810704</v>
      </c>
      <c r="AV66" s="21">
        <f>EXP(-LN(2)/25)*AV65+(1-EXP(-LN(2)/25))/(LN(2)/25)*Calculateur!AQ66*Calculateur!AS66*VLOOKUP('Données projet'!$B$10,Paramètres!$A$1:$I$89,3,0)*0.475*44/12</f>
        <v>36.874399730935757</v>
      </c>
      <c r="AW66" s="21">
        <f>EXP(-LN(2)/2)*AW65+(1-EXP(-LN(2)/2))/(LN(2)/2)*AQ66*AT66*VLOOKUP('Données projet'!$B$10,Paramètres!$A$1:$I$89,3,0)*0.475*44/12</f>
        <v>4.2555853609976442</v>
      </c>
      <c r="AX66" s="21">
        <f t="shared" si="6"/>
        <v>215.55650266004045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17.399999999999999</v>
      </c>
      <c r="BD66" s="12">
        <f>IF('Données projet'!$A$88&gt;35,BD65+BC66-BL65,IF(A66&lt;'Données projet'!$A$88,$BA$205^A66,IF(A66='Données projet'!$A$88,'Données projet'!$B$88,BD65+BC66-BL65)))</f>
        <v>520.19999999999993</v>
      </c>
      <c r="BE66" s="13">
        <f>BD66*VLOOKUP('Données projet'!$B$11,Paramètres!$A$1:$I$89,3,0)*VLOOKUP('Données projet'!$B$11,Paramètres!$A$1:$I$89,5,0)</f>
        <v>311.07959999999997</v>
      </c>
      <c r="BF66" s="13">
        <f t="shared" si="37"/>
        <v>73.49424798183118</v>
      </c>
      <c r="BG66" s="20">
        <f t="shared" si="7"/>
        <v>669.79945190168917</v>
      </c>
      <c r="BH66" s="59">
        <f t="shared" si="8"/>
        <v>963.13278523502254</v>
      </c>
      <c r="BI66" s="59">
        <f ca="1">AVERAGE(OFFSET($BH$3,0,0,'Données projet'!$E$11+1,1))-AVERAGE(OFFSET($H$3,0,0,'Données projet'!$E$11+1,1))</f>
        <v>284.42619963941019</v>
      </c>
      <c r="BJ66" s="59">
        <f t="shared" si="38"/>
        <v>301.41905904220812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64.749980170402225</v>
      </c>
      <c r="BQ66" s="21">
        <f>EXP(-LN(2)/25)*BQ65+(1-EXP(-LN(2)/25))/(LN(2)/25)*Calculateur!BL66*Calculateur!BN66*VLOOKUP('Données projet'!$B$11,Paramètres!$A$1:$I$89,3,0)*0.475*44/12</f>
        <v>14.173776122522597</v>
      </c>
      <c r="BR66" s="21">
        <f>EXP(-LN(2)/2)*BR65+(1-EXP(-LN(2)/2))/(LN(2)/2)*BL66*BO66*VLOOKUP('Données projet'!$B$11,Paramètres!$A$1:$I$89,3,0)*0.475*44/12</f>
        <v>1.3374558560435532</v>
      </c>
      <c r="BS66" s="22">
        <f t="shared" si="9"/>
        <v>80.261212148968369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</v>
      </c>
      <c r="N67" s="13">
        <f>IF('Données projet'!$A$36&gt;35,N66+M67-V66,IF(A67&lt;'Données projet'!$A$36,$K$205^A67,IF(A67='Données projet'!$A$36,'Données projet'!$B$36,N66+M67-V66)))</f>
        <v>758.99999999999966</v>
      </c>
      <c r="O67" s="13">
        <f>N67*VLOOKUP('Données projet'!$B$9,Paramètres!$A$1:$I$89,3,0)*VLOOKUP('Données projet'!$B$9,Paramètres!$A$1:$I$89,5,0)</f>
        <v>424.28099999999978</v>
      </c>
      <c r="P67" s="13">
        <f t="shared" si="33"/>
        <v>96.682255052757768</v>
      </c>
      <c r="Q67" s="20">
        <f t="shared" ref="Q67:Q98" si="54">(O67+P67)*0.475*44/12</f>
        <v>907.34433588355262</v>
      </c>
      <c r="R67" s="59">
        <f t="shared" ref="R67:R130" si="55">Q67+(I67+J67)*44/12</f>
        <v>1200.677669216886</v>
      </c>
      <c r="S67" s="59">
        <f ca="1">AVERAGE(OFFSET($R$3,0,0,'Données projet'!$E$9+1,1))-AVERAGE(OFFSET($H$3,0,0,'Données projet'!$E$9+1,1))</f>
        <v>490.96084572840579</v>
      </c>
      <c r="T67" s="59">
        <f t="shared" si="34"/>
        <v>597.91658789908263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92.435304048929325</v>
      </c>
      <c r="AA67" s="21">
        <f>EXP(-LN(2)/25)*AA66+(1-EXP(-LN(2)/25))/(LN(2)/25)*Calculateur!V67*Calculateur!X67*VLOOKUP('Données projet'!$B$9,Paramètres!$A$1:$I$89,3,0)*0.475*44/12</f>
        <v>21.826990082949848</v>
      </c>
      <c r="AB67" s="21">
        <f>EXP(-LN(2)/2)*AB66+(1-EXP(-LN(2)/2))/(LN(2)/2)*V67*Y67*VLOOKUP('Données projet'!$B$9,Paramètres!$A$1:$I$89,3,0)*0.475*44/12</f>
        <v>0.93620734280326567</v>
      </c>
      <c r="AC67" s="22">
        <f t="shared" si="3"/>
        <v>115.19850147468244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13.333333333333334</v>
      </c>
      <c r="AI67" s="13">
        <f>IF('Données projet'!$A$62&gt;35,AI66+AH67-AQ66,IF(A67&lt;'Données projet'!$A$62,$AF$205^A67,IF(A67='Données projet'!$A$62,'Données projet'!$B$62,AI66+AH67-AQ66)))</f>
        <v>475.33333333333297</v>
      </c>
      <c r="AJ67" s="13">
        <f>AI67*VLOOKUP('Données projet'!$B$10,Paramètres!$A$1:$I$89,3,0)*VLOOKUP('Données projet'!$B$10,Paramètres!$A$1:$I$89,5,0)</f>
        <v>296.60799999999978</v>
      </c>
      <c r="AK67" s="13">
        <f t="shared" si="35"/>
        <v>70.464900073149323</v>
      </c>
      <c r="AL67" s="20">
        <f t="shared" si="4"/>
        <v>639.31863429406792</v>
      </c>
      <c r="AM67" s="59">
        <f t="shared" si="5"/>
        <v>932.65196762740129</v>
      </c>
      <c r="AN67" s="59">
        <f ca="1">AVERAGE(OFFSET($AM$3,0,0,'Données projet'!$E$10+1,1))-AVERAGE(OFFSET($H$3,0,0,'Données projet'!$E$10+1,1))</f>
        <v>482.28841373508675</v>
      </c>
      <c r="AO67" s="59">
        <f t="shared" si="36"/>
        <v>746.97309214631684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171.00611994826707</v>
      </c>
      <c r="AV67" s="21">
        <f>EXP(-LN(2)/25)*AV66+(1-EXP(-LN(2)/25))/(LN(2)/25)*Calculateur!AQ67*Calculateur!AS67*VLOOKUP('Données projet'!$B$10,Paramètres!$A$1:$I$89,3,0)*0.475*44/12</f>
        <v>35.866067331152912</v>
      </c>
      <c r="AW67" s="21">
        <f>EXP(-LN(2)/2)*AW66+(1-EXP(-LN(2)/2))/(LN(2)/2)*AQ67*AT67*VLOOKUP('Données projet'!$B$10,Paramètres!$A$1:$I$89,3,0)*0.475*44/12</f>
        <v>3.0091532666796361</v>
      </c>
      <c r="AX67" s="21">
        <f t="shared" si="6"/>
        <v>209.88134054609964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17.399999999999999</v>
      </c>
      <c r="BD67" s="12">
        <f>IF('Données projet'!$A$88&gt;35,BD66+BC67-BL66,IF(A67&lt;'Données projet'!$A$88,$BA$205^A67,IF(A67='Données projet'!$A$88,'Données projet'!$B$88,BD66+BC67-BL66)))</f>
        <v>537.59999999999991</v>
      </c>
      <c r="BE67" s="13">
        <f>BD67*VLOOKUP('Données projet'!$B$11,Paramètres!$A$1:$I$89,3,0)*VLOOKUP('Données projet'!$B$11,Paramètres!$A$1:$I$89,5,0)</f>
        <v>321.48479999999995</v>
      </c>
      <c r="BF67" s="13">
        <f t="shared" si="37"/>
        <v>75.662211893590367</v>
      </c>
      <c r="BG67" s="20">
        <f t="shared" si="7"/>
        <v>691.69771238133637</v>
      </c>
      <c r="BH67" s="59">
        <f t="shared" si="8"/>
        <v>985.03104571466974</v>
      </c>
      <c r="BI67" s="59">
        <f ca="1">AVERAGE(OFFSET($BH$3,0,0,'Données projet'!$E$11+1,1))-AVERAGE(OFFSET($H$3,0,0,'Données projet'!$E$11+1,1))</f>
        <v>284.42619963941019</v>
      </c>
      <c r="BJ67" s="59">
        <f t="shared" si="38"/>
        <v>301.41905904220812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63.480272552848874</v>
      </c>
      <c r="BQ67" s="21">
        <f>EXP(-LN(2)/25)*BQ66+(1-EXP(-LN(2)/25))/(LN(2)/25)*Calculateur!BL67*Calculateur!BN67*VLOOKUP('Données projet'!$B$11,Paramètres!$A$1:$I$89,3,0)*0.475*44/12</f>
        <v>13.786193469085724</v>
      </c>
      <c r="BR67" s="21">
        <f>EXP(-LN(2)/2)*BR66+(1-EXP(-LN(2)/2))/(LN(2)/2)*BL67*BO67*VLOOKUP('Données projet'!$B$11,Paramètres!$A$1:$I$89,3,0)*0.475*44/12</f>
        <v>0.94572410534605544</v>
      </c>
      <c r="BS67" s="22">
        <f t="shared" si="9"/>
        <v>78.212190127280664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769</v>
      </c>
      <c r="L68" s="12">
        <f>VLOOKUP(A68,'Données projet'!$A$35:$I$55,9,0)</f>
        <v>10</v>
      </c>
      <c r="M68" s="12">
        <f t="array" ref="M68">INDEX(L:L,MIN(IF(ISNUMBER(L68:L264),ROW(L68:L264),"")))</f>
        <v>10</v>
      </c>
      <c r="N68" s="13">
        <f>IF('Données projet'!$A$36&gt;35,N67+M68-V67,IF(A68&lt;'Données projet'!$A$36,$K$205^A68,IF(A68='Données projet'!$A$36,'Données projet'!$B$36,N67+M68-V67)))</f>
        <v>768.99999999999966</v>
      </c>
      <c r="O68" s="13">
        <f>N68*VLOOKUP('Données projet'!$B$9,Paramètres!$A$1:$I$89,3,0)*VLOOKUP('Données projet'!$B$9,Paramètres!$A$1:$I$89,5,0)</f>
        <v>429.87099999999981</v>
      </c>
      <c r="P68" s="13">
        <f t="shared" si="33"/>
        <v>97.806935594587088</v>
      </c>
      <c r="Q68" s="20">
        <f t="shared" si="54"/>
        <v>919.03907116057201</v>
      </c>
      <c r="R68" s="59">
        <f t="shared" si="55"/>
        <v>1212.3724044939054</v>
      </c>
      <c r="S68" s="59">
        <f ca="1">AVERAGE(OFFSET($R$3,0,0,'Données projet'!$E$9+1,1))-AVERAGE(OFFSET($H$3,0,0,'Données projet'!$E$9+1,1))</f>
        <v>490.96084572840579</v>
      </c>
      <c r="T68" s="59">
        <f t="shared" si="34"/>
        <v>597.91658789908263</v>
      </c>
      <c r="U68" s="15" t="str">
        <f>IF(ISNA(VLOOKUP(A68,'Données projet'!$A$35:$I$55,3,0)),0,VLOOKUP(A68,'Données projet'!$A$35:$I$55,3,0))</f>
        <v>CR</v>
      </c>
      <c r="V68" s="15">
        <f>IF(ISNA(VLOOKUP(A68,'Données projet'!$A$35:$I$55,4,0)),0,VLOOKUP(A68,'Données projet'!$A$35:$I$55,4,0))</f>
        <v>769</v>
      </c>
      <c r="W68" s="16">
        <f>IF(ISNA(VLOOKUP(A68,'Données projet'!$A$35:$I$55,5,0)),0%,VLOOKUP(A68,'Données projet'!$A$35:$I$55,5,0)*VLOOKUP('Données projet'!$B$9,Paramètres!$A$1:$I$89,7,0))</f>
        <v>0.38500000000000001</v>
      </c>
      <c r="X68" s="16">
        <f>IF(ISNA(VLOOKUP(A68,'Données projet'!$A$35:$I$55,6,0)),0%,VLOOKUP(A68,'Données projet'!$A$35:$I$55,6,0)*VLOOKUP('Données projet'!$B$9,Paramètres!$A$1:$I$89,7,0))</f>
        <v>9.3500000000000014E-2</v>
      </c>
      <c r="Y68" s="16">
        <f>IF(ISNA(VLOOKUP(A68,'Données projet'!$A$35:$I$55,7,0)),0%,VLOOKUP(A68,'Données projet'!$A$35:$I$55,7,0))</f>
        <v>0.13</v>
      </c>
      <c r="Z68" s="21">
        <f>EXP(-LN(2)/35)*Z67+(1-EXP(-LN(2)/35))/(LN(2)/35)*V68*W68*VLOOKUP('Données projet'!$B$9,Paramètres!$A$1:$I$89,3,0)*0.475*44/12</f>
        <v>310.16956589083469</v>
      </c>
      <c r="AA68" s="21">
        <f>EXP(-LN(2)/25)*AA67+(1-EXP(-LN(2)/25))/(LN(2)/25)*Calculateur!V68*Calculateur!X68*VLOOKUP('Données projet'!$B$9,Paramètres!$A$1:$I$89,3,0)*0.475*44/12</f>
        <v>74.338718121807347</v>
      </c>
      <c r="AB68" s="21">
        <f>EXP(-LN(2)/2)*AB67+(1-EXP(-LN(2)/2))/(LN(2)/2)*V68*Y68*VLOOKUP('Données projet'!$B$9,Paramètres!$A$1:$I$89,3,0)*0.475*44/12</f>
        <v>63.934796456792753</v>
      </c>
      <c r="AC68" s="22">
        <f t="shared" ref="AC68:AC131" si="57">SUM(Z68:AB68)</f>
        <v>448.44308046943479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13.333333333333334</v>
      </c>
      <c r="AI68" s="13">
        <f>IF('Données projet'!$A$62&gt;35,AI67+AH68-AQ67,IF(A68&lt;'Données projet'!$A$62,$AF$205^A68,IF(A68='Données projet'!$A$62,'Données projet'!$B$62,AI67+AH68-AQ67)))</f>
        <v>488.66666666666629</v>
      </c>
      <c r="AJ68" s="13">
        <f>AI68*VLOOKUP('Données projet'!$B$10,Paramètres!$A$1:$I$89,3,0)*VLOOKUP('Données projet'!$B$10,Paramètres!$A$1:$I$89,5,0)</f>
        <v>304.92799999999977</v>
      </c>
      <c r="AK68" s="13">
        <f t="shared" si="35"/>
        <v>72.208579873050681</v>
      </c>
      <c r="AL68" s="20">
        <f t="shared" ref="AL68:AL131" si="58">(AJ68+AK68)*0.475*44/12</f>
        <v>656.8462099455628</v>
      </c>
      <c r="AM68" s="59">
        <f t="shared" ref="AM68:AM131" si="59">AL68+(AD68+AE68)*44/12</f>
        <v>950.17954327889606</v>
      </c>
      <c r="AN68" s="59">
        <f ca="1">AVERAGE(OFFSET($AM$3,0,0,'Données projet'!$E$10+1,1))-AVERAGE(OFFSET($H$3,0,0,'Données projet'!$E$10+1,1))</f>
        <v>482.28841373508675</v>
      </c>
      <c r="AO68" s="59">
        <f t="shared" si="36"/>
        <v>746.97309214631684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167.6527942395156</v>
      </c>
      <c r="AV68" s="21">
        <f>EXP(-LN(2)/25)*AV67+(1-EXP(-LN(2)/25))/(LN(2)/25)*Calculateur!AQ68*Calculateur!AS68*VLOOKUP('Données projet'!$B$10,Paramètres!$A$1:$I$89,3,0)*0.475*44/12</f>
        <v>34.885307833868026</v>
      </c>
      <c r="AW68" s="21">
        <f>EXP(-LN(2)/2)*AW67+(1-EXP(-LN(2)/2))/(LN(2)/2)*AQ68*AT68*VLOOKUP('Données projet'!$B$10,Paramètres!$A$1:$I$89,3,0)*0.475*44/12</f>
        <v>2.1277926804988221</v>
      </c>
      <c r="AX68" s="21">
        <f t="shared" ref="AX68:AX131" si="60">SUM(AU68:AW68)</f>
        <v>204.66589475388247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555</v>
      </c>
      <c r="BB68" s="12">
        <f>VLOOKUP(A68,'Données projet'!$A$87:$I$107,9,0)</f>
        <v>17.399999999999999</v>
      </c>
      <c r="BC68" s="12">
        <f t="array" ref="BC68">INDEX(BB:BB,MIN(IF(ISNUMBER(BB68:BB264),ROW(BB68:BB264),"")))</f>
        <v>17.399999999999999</v>
      </c>
      <c r="BD68" s="12">
        <f>IF('Données projet'!$A$88&gt;35,BD67+BC68-BL67,IF(A68&lt;'Données projet'!$A$88,$BA$205^A68,IF(A68='Données projet'!$A$88,'Données projet'!$B$88,BD67+BC68-BL67)))</f>
        <v>554.99999999999989</v>
      </c>
      <c r="BE68" s="13">
        <f>BD68*VLOOKUP('Données projet'!$B$11,Paramètres!$A$1:$I$89,3,0)*VLOOKUP('Données projet'!$B$11,Paramètres!$A$1:$I$89,5,0)</f>
        <v>331.88999999999993</v>
      </c>
      <c r="BF68" s="13">
        <f t="shared" si="37"/>
        <v>77.822022056956186</v>
      </c>
      <c r="BG68" s="20">
        <f t="shared" ref="BG68:BG131" si="61">(BE68+BF68)*0.475*44/12</f>
        <v>713.58177174919854</v>
      </c>
      <c r="BH68" s="59">
        <f t="shared" ref="BH68:BH131" si="62">BG68+(AY68+AZ68)*44/12</f>
        <v>1006.9151050825319</v>
      </c>
      <c r="BI68" s="59">
        <f ca="1">AVERAGE(OFFSET($BH$3,0,0,'Données projet'!$E$11+1,1))-AVERAGE(OFFSET($H$3,0,0,'Données projet'!$E$11+1,1))</f>
        <v>284.42619963941019</v>
      </c>
      <c r="BJ68" s="59">
        <f t="shared" si="38"/>
        <v>301.41905904220812</v>
      </c>
      <c r="BK68" s="15" t="str">
        <f>IF(ISNA(VLOOKUP(A68,'Données projet'!$A$87:$I$107,3,0)),0,VLOOKUP(A68,'Données projet'!$A$87:$I$107,3,0))</f>
        <v>CR</v>
      </c>
      <c r="BL68" s="15">
        <f>IF(ISNA(VLOOKUP(A68,'Données projet'!$A$87:$I$107,4,0)),0,VLOOKUP(A68,'Données projet'!$A$87:$I$107,4,0))</f>
        <v>555</v>
      </c>
      <c r="BM68" s="16">
        <f>IF(ISNA(VLOOKUP(A68,'Données projet'!$A$87:$I$107,5,0)),0%,VLOOKUP(A68,'Données projet'!$A$87:$I$107,5,0)*VLOOKUP('Données projet'!$B$11,Paramètres!$A$1:$I$89,7,0))</f>
        <v>0.315</v>
      </c>
      <c r="BN68" s="16">
        <f>IF(ISNA(VLOOKUP(A68,'Données projet'!$A$87:$I$107,6,0)),0%,VLOOKUP(A68,'Données projet'!$A$87:$I$107,6,0)*VLOOKUP('Données projet'!$B$11,Paramètres!$A$1:$I$89,7,0))</f>
        <v>7.5600000000000001E-2</v>
      </c>
      <c r="BO68" s="16">
        <f>IF(ISNA(VLOOKUP(A68,'Données projet'!$A$87:$I$107,7,0)),0%,VLOOKUP(A68,'Données projet'!$A$87:$I$107,7,0))</f>
        <v>0.13200000000000001</v>
      </c>
      <c r="BP68" s="21">
        <f>EXP(-LN(2)/35)*BP67+(1-EXP(-LN(2)/35))/(LN(2)/35)*BL68*BM68*VLOOKUP('Données projet'!$B$11,Paramètres!$A$1:$I$89,3,0)*0.475*44/12</f>
        <v>200.92160841871666</v>
      </c>
      <c r="BQ68" s="21">
        <f>EXP(-LN(2)/25)*BQ67+(1-EXP(-LN(2)/25))/(LN(2)/25)*Calculateur!BL68*Calculateur!BN68*VLOOKUP('Données projet'!$B$11,Paramètres!$A$1:$I$89,3,0)*0.475*44/12</f>
        <v>46.562829706227404</v>
      </c>
      <c r="BR68" s="21">
        <f>EXP(-LN(2)/2)*BR67+(1-EXP(-LN(2)/2))/(LN(2)/2)*BL68*BO68*VLOOKUP('Données projet'!$B$11,Paramètres!$A$1:$I$89,3,0)*0.475*44/12</f>
        <v>50.271236121861534</v>
      </c>
      <c r="BS68" s="22">
        <f t="shared" ref="BS68:BS131" si="63">SUM(BP68:BR68)</f>
        <v>297.7556742468056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-3.4106051316484809E-13</v>
      </c>
      <c r="O69" s="13">
        <f>N69*VLOOKUP('Données projet'!$B$9,Paramètres!$A$1:$I$89,3,0)*VLOOKUP('Données projet'!$B$9,Paramètres!$A$1:$I$89,5,0)</f>
        <v>-1.9065282685915009E-13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490.96084572840579</v>
      </c>
      <c r="T69" s="59">
        <f t="shared" ref="T69:T132" si="88">$T$3</f>
        <v>597.91658789908263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304.08732988847015</v>
      </c>
      <c r="AA69" s="21">
        <f>EXP(-LN(2)/25)*AA68+(1-EXP(-LN(2)/25))/(LN(2)/25)*Calculateur!V69*Calculateur!X69*VLOOKUP('Données projet'!$B$9,Paramètres!$A$1:$I$89,3,0)*0.475*44/12</f>
        <v>72.305921965463241</v>
      </c>
      <c r="AB69" s="21">
        <f>EXP(-LN(2)/2)*AB68+(1-EXP(-LN(2)/2))/(LN(2)/2)*V69*Y69*VLOOKUP('Données projet'!$B$9,Paramètres!$A$1:$I$89,3,0)*0.475*44/12</f>
        <v>45.208728128379811</v>
      </c>
      <c r="AC69" s="22">
        <f t="shared" si="57"/>
        <v>421.6019799823132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502</v>
      </c>
      <c r="AG69" s="12">
        <f>VLOOKUP(A69,'Données projet'!$A$61:$I$81,9,0)</f>
        <v>13.333333333333334</v>
      </c>
      <c r="AH69" s="12">
        <f t="array" ref="AH69">INDEX(AG:AG,MIN(IF(ISNUMBER(AG69:AG265),ROW(AG69:AG265),"")))</f>
        <v>13.333333333333334</v>
      </c>
      <c r="AI69" s="13">
        <f>IF('Données projet'!$A$62&gt;35,AI68+AH69-AQ68,IF(A69&lt;'Données projet'!$A$62,$AF$205^A69,IF(A69='Données projet'!$A$62,'Données projet'!$B$62,AI68+AH69-AQ68)))</f>
        <v>501.9999999999996</v>
      </c>
      <c r="AJ69" s="13">
        <f>AI69*VLOOKUP('Données projet'!$B$10,Paramètres!$A$1:$I$89,3,0)*VLOOKUP('Données projet'!$B$10,Paramètres!$A$1:$I$89,5,0)</f>
        <v>313.24799999999976</v>
      </c>
      <c r="AK69" s="13">
        <f t="shared" ref="AK69:AK132" si="89">EXP(-1.0587+0.8836*LN(AJ69)+0.284)</f>
        <v>73.946729824749326</v>
      </c>
      <c r="AL69" s="20">
        <f t="shared" si="58"/>
        <v>674.36415444477132</v>
      </c>
      <c r="AM69" s="59">
        <f t="shared" si="59"/>
        <v>967.69748777810469</v>
      </c>
      <c r="AN69" s="59">
        <f ca="1">AVERAGE(OFFSET($AM$3,0,0,'Données projet'!$E$10+1,1))-AVERAGE(OFFSET($H$3,0,0,'Données projet'!$E$10+1,1))</f>
        <v>482.28841373508675</v>
      </c>
      <c r="AO69" s="59">
        <f t="shared" ref="AO69:AO132" si="90">$AO$3</f>
        <v>746.97309214631684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109</v>
      </c>
      <c r="AR69" s="16">
        <f>IF(ISNA(VLOOKUP(A69,'Données projet'!$A$61:$I$81,5,0)),0%,VLOOKUP(A69,'Données projet'!$A$61:$I$81,5,0)*VLOOKUP('Données projet'!$B$10,Paramètres!$A$1:$I$89,7,0))</f>
        <v>0.42</v>
      </c>
      <c r="AS69" s="16">
        <f>IF(ISNA(VLOOKUP(A69,'Données projet'!$A$61:$I$81,6,0)),0%,VLOOKUP(A69,'Données projet'!$A$61:$I$81,6,0)*VLOOKUP('Données projet'!$B$10,Paramètres!$A$1:$I$89,7,0))</f>
        <v>0.1008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202.26082056307985</v>
      </c>
      <c r="AV69" s="21">
        <f>EXP(-LN(2)/25)*AV68+(1-EXP(-LN(2)/25))/(LN(2)/25)*Calculateur!AQ69*Calculateur!AS69*VLOOKUP('Données projet'!$B$10,Paramètres!$A$1:$I$89,3,0)*0.475*44/12</f>
        <v>42.990499887541667</v>
      </c>
      <c r="AW69" s="21">
        <f>EXP(-LN(2)/2)*AW68+(1-EXP(-LN(2)/2))/(LN(2)/2)*AQ69*AT69*VLOOKUP('Données projet'!$B$10,Paramètres!$A$1:$I$89,3,0)*0.475*44/12</f>
        <v>11.669885010549752</v>
      </c>
      <c r="AX69" s="21">
        <f t="shared" si="60"/>
        <v>256.92120546117127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-1.1368683772161603E-13</v>
      </c>
      <c r="BE69" s="13">
        <f>BD69*VLOOKUP('Données projet'!$B$11,Paramètres!$A$1:$I$89,3,0)*VLOOKUP('Données projet'!$B$11,Paramètres!$A$1:$I$89,5,0)</f>
        <v>-6.7984728957526396E-14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284.42619963941019</v>
      </c>
      <c r="BJ69" s="59">
        <f t="shared" ref="BJ69:BJ132" si="92">$BJ$3</f>
        <v>301.41905904220812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196.98165822770594</v>
      </c>
      <c r="BQ69" s="21">
        <f>EXP(-LN(2)/25)*BQ68+(1-EXP(-LN(2)/25))/(LN(2)/25)*Calculateur!BL69*Calculateur!BN69*VLOOKUP('Données projet'!$B$11,Paramètres!$A$1:$I$89,3,0)*0.475*44/12</f>
        <v>45.289566679277826</v>
      </c>
      <c r="BR69" s="21">
        <f>EXP(-LN(2)/2)*BR68+(1-EXP(-LN(2)/2))/(LN(2)/2)*BL69*BO69*VLOOKUP('Données projet'!$B$11,Paramètres!$A$1:$I$89,3,0)*0.475*44/12</f>
        <v>35.54713196039841</v>
      </c>
      <c r="BS69" s="22">
        <f t="shared" si="63"/>
        <v>277.81835686738219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-3.4106051316484809E-13</v>
      </c>
      <c r="O70" s="13">
        <f>N70*VLOOKUP('Données projet'!$B$9,Paramètres!$A$1:$I$89,3,0)*VLOOKUP('Données projet'!$B$9,Paramètres!$A$1:$I$89,5,0)</f>
        <v>-1.9065282685915009E-13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490.96084572840579</v>
      </c>
      <c r="T70" s="59">
        <f t="shared" si="88"/>
        <v>597.91658789908263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298.12436282431435</v>
      </c>
      <c r="AA70" s="21">
        <f>EXP(-LN(2)/25)*AA69+(1-EXP(-LN(2)/25))/(LN(2)/25)*Calculateur!V70*Calculateur!X70*VLOOKUP('Données projet'!$B$9,Paramètres!$A$1:$I$89,3,0)*0.475*44/12</f>
        <v>70.328712726914475</v>
      </c>
      <c r="AB70" s="21">
        <f>EXP(-LN(2)/2)*AB69+(1-EXP(-LN(2)/2))/(LN(2)/2)*V70*Y70*VLOOKUP('Données projet'!$B$9,Paramètres!$A$1:$I$89,3,0)*0.475*44/12</f>
        <v>31.96739822839638</v>
      </c>
      <c r="AC70" s="22">
        <f t="shared" si="57"/>
        <v>400.42047377962524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11.666666666666666</v>
      </c>
      <c r="AI70" s="13">
        <f>IF('Données projet'!$A$62&gt;35,AI69+AH70-AQ69,IF(A70&lt;'Données projet'!$A$62,$AF$205^A70,IF(A70='Données projet'!$A$62,'Données projet'!$B$62,AI69+AH70-AQ69)))</f>
        <v>404.66666666666629</v>
      </c>
      <c r="AJ70" s="13">
        <f>AI70*VLOOKUP('Données projet'!$B$10,Paramètres!$A$1:$I$89,3,0)*VLOOKUP('Données projet'!$B$10,Paramètres!$A$1:$I$89,5,0)</f>
        <v>252.51199999999977</v>
      </c>
      <c r="AK70" s="13">
        <f t="shared" si="89"/>
        <v>61.123534450545591</v>
      </c>
      <c r="AL70" s="20">
        <f t="shared" si="58"/>
        <v>546.24855583469991</v>
      </c>
      <c r="AM70" s="59">
        <f t="shared" si="59"/>
        <v>839.58188916803329</v>
      </c>
      <c r="AN70" s="59">
        <f ca="1">AVERAGE(OFFSET($AM$3,0,0,'Données projet'!$E$10+1,1))-AVERAGE(OFFSET($H$3,0,0,'Données projet'!$E$10+1,1))</f>
        <v>482.28841373508675</v>
      </c>
      <c r="AO70" s="59">
        <f t="shared" si="90"/>
        <v>746.97309214631684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198.29460923875692</v>
      </c>
      <c r="AV70" s="21">
        <f>EXP(-LN(2)/25)*AV69+(1-EXP(-LN(2)/25))/(LN(2)/25)*Calculateur!AQ70*Calculateur!AS70*VLOOKUP('Données projet'!$B$10,Paramètres!$A$1:$I$89,3,0)*0.475*44/12</f>
        <v>41.81492240734471</v>
      </c>
      <c r="AW70" s="21">
        <f>EXP(-LN(2)/2)*AW69+(1-EXP(-LN(2)/2))/(LN(2)/2)*AQ70*AT70*VLOOKUP('Données projet'!$B$10,Paramètres!$A$1:$I$89,3,0)*0.475*44/12</f>
        <v>8.2518548266269747</v>
      </c>
      <c r="AX70" s="21">
        <f t="shared" si="60"/>
        <v>248.36138647272861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-1.1368683772161603E-13</v>
      </c>
      <c r="BE70" s="13">
        <f>BD70*VLOOKUP('Données projet'!$B$11,Paramètres!$A$1:$I$89,3,0)*VLOOKUP('Données projet'!$B$11,Paramètres!$A$1:$I$89,5,0)</f>
        <v>-6.7984728957526396E-14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284.42619963941019</v>
      </c>
      <c r="BJ70" s="59">
        <f t="shared" si="92"/>
        <v>301.41905904220812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193.11896805680863</v>
      </c>
      <c r="BQ70" s="21">
        <f>EXP(-LN(2)/25)*BQ69+(1-EXP(-LN(2)/25))/(LN(2)/25)*Calculateur!BL70*Calculateur!BN70*VLOOKUP('Données projet'!$B$11,Paramètres!$A$1:$I$89,3,0)*0.475*44/12</f>
        <v>44.051121096758173</v>
      </c>
      <c r="BR70" s="21">
        <f>EXP(-LN(2)/2)*BR69+(1-EXP(-LN(2)/2))/(LN(2)/2)*BL70*BO70*VLOOKUP('Données projet'!$B$11,Paramètres!$A$1:$I$89,3,0)*0.475*44/12</f>
        <v>25.135618060930771</v>
      </c>
      <c r="BS70" s="22">
        <f t="shared" si="63"/>
        <v>262.3057072144976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-3.4106051316484809E-13</v>
      </c>
      <c r="O71" s="13">
        <f>N71*VLOOKUP('Données projet'!$B$9,Paramètres!$A$1:$I$89,3,0)*VLOOKUP('Données projet'!$B$9,Paramètres!$A$1:$I$89,5,0)</f>
        <v>-1.9065282685915009E-13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490.96084572840579</v>
      </c>
      <c r="T71" s="59">
        <f t="shared" si="88"/>
        <v>597.91658789908263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292.27832590723585</v>
      </c>
      <c r="AA71" s="21">
        <f>EXP(-LN(2)/25)*AA70+(1-EXP(-LN(2)/25))/(LN(2)/25)*Calculateur!V71*Calculateur!X71*VLOOKUP('Données projet'!$B$9,Paramètres!$A$1:$I$89,3,0)*0.475*44/12</f>
        <v>68.405570378970737</v>
      </c>
      <c r="AB71" s="21">
        <f>EXP(-LN(2)/2)*AB70+(1-EXP(-LN(2)/2))/(LN(2)/2)*V71*Y71*VLOOKUP('Données projet'!$B$9,Paramètres!$A$1:$I$89,3,0)*0.475*44/12</f>
        <v>22.604364064189909</v>
      </c>
      <c r="AC71" s="22">
        <f t="shared" si="57"/>
        <v>383.28826035039651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11.666666666666666</v>
      </c>
      <c r="AI71" s="13">
        <f>IF('Données projet'!$A$62&gt;35,AI70+AH71-AQ70,IF(A71&lt;'Données projet'!$A$62,$AF$205^A71,IF(A71='Données projet'!$A$62,'Données projet'!$B$62,AI70+AH71-AQ70)))</f>
        <v>416.33333333333297</v>
      </c>
      <c r="AJ71" s="13">
        <f>AI71*VLOOKUP('Données projet'!$B$10,Paramètres!$A$1:$I$89,3,0)*VLOOKUP('Données projet'!$B$10,Paramètres!$A$1:$I$89,5,0)</f>
        <v>259.7919999999998</v>
      </c>
      <c r="AK71" s="13">
        <f t="shared" si="89"/>
        <v>62.678038696678357</v>
      </c>
      <c r="AL71" s="20">
        <f t="shared" si="58"/>
        <v>561.63531739671441</v>
      </c>
      <c r="AM71" s="59">
        <f t="shared" si="59"/>
        <v>854.96865073004778</v>
      </c>
      <c r="AN71" s="59">
        <f ca="1">AVERAGE(OFFSET($AM$3,0,0,'Données projet'!$E$10+1,1))-AVERAGE(OFFSET($H$3,0,0,'Données projet'!$E$10+1,1))</f>
        <v>482.28841373508675</v>
      </c>
      <c r="AO71" s="59">
        <f t="shared" si="90"/>
        <v>746.97309214631684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194.40617289935392</v>
      </c>
      <c r="AV71" s="21">
        <f>EXP(-LN(2)/25)*AV70+(1-EXP(-LN(2)/25))/(LN(2)/25)*Calculateur!AQ71*Calculateur!AS71*VLOOKUP('Données projet'!$B$10,Paramètres!$A$1:$I$89,3,0)*0.475*44/12</f>
        <v>40.671491155164667</v>
      </c>
      <c r="AW71" s="21">
        <f>EXP(-LN(2)/2)*AW70+(1-EXP(-LN(2)/2))/(LN(2)/2)*AQ71*AT71*VLOOKUP('Données projet'!$B$10,Paramètres!$A$1:$I$89,3,0)*0.475*44/12</f>
        <v>5.8349425052748769</v>
      </c>
      <c r="AX71" s="21">
        <f t="shared" si="60"/>
        <v>240.91260655979346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-1.1368683772161603E-13</v>
      </c>
      <c r="BE71" s="13">
        <f>BD71*VLOOKUP('Données projet'!$B$11,Paramètres!$A$1:$I$89,3,0)*VLOOKUP('Données projet'!$B$11,Paramètres!$A$1:$I$89,5,0)</f>
        <v>-6.7984728957526396E-14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284.42619963941019</v>
      </c>
      <c r="BJ71" s="59">
        <f t="shared" si="92"/>
        <v>301.41905904220812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189.33202288415424</v>
      </c>
      <c r="BQ71" s="21">
        <f>EXP(-LN(2)/25)*BQ70+(1-EXP(-LN(2)/25))/(LN(2)/25)*Calculateur!BL71*Calculateur!BN71*VLOOKUP('Données projet'!$B$11,Paramètres!$A$1:$I$89,3,0)*0.475*44/12</f>
        <v>42.846540873819542</v>
      </c>
      <c r="BR71" s="21">
        <f>EXP(-LN(2)/2)*BR70+(1-EXP(-LN(2)/2))/(LN(2)/2)*BL71*BO71*VLOOKUP('Données projet'!$B$11,Paramètres!$A$1:$I$89,3,0)*0.475*44/12</f>
        <v>17.773565980199209</v>
      </c>
      <c r="BS71" s="22">
        <f t="shared" si="63"/>
        <v>249.952129738173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-3.4106051316484809E-13</v>
      </c>
      <c r="O72" s="13">
        <f>N72*VLOOKUP('Données projet'!$B$9,Paramètres!$A$1:$I$89,3,0)*VLOOKUP('Données projet'!$B$9,Paramètres!$A$1:$I$89,5,0)</f>
        <v>-1.9065282685915009E-13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490.96084572840579</v>
      </c>
      <c r="T72" s="59">
        <f t="shared" si="88"/>
        <v>597.91658789908263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286.54692620837085</v>
      </c>
      <c r="AA72" s="21">
        <f>EXP(-LN(2)/25)*AA71+(1-EXP(-LN(2)/25))/(LN(2)/25)*Calculateur!V72*Calculateur!X72*VLOOKUP('Données projet'!$B$9,Paramètres!$A$1:$I$89,3,0)*0.475*44/12</f>
        <v>66.535016459665172</v>
      </c>
      <c r="AB72" s="21">
        <f>EXP(-LN(2)/2)*AB71+(1-EXP(-LN(2)/2))/(LN(2)/2)*V72*Y72*VLOOKUP('Données projet'!$B$9,Paramètres!$A$1:$I$89,3,0)*0.475*44/12</f>
        <v>15.983699114198194</v>
      </c>
      <c r="AC72" s="22">
        <f t="shared" si="57"/>
        <v>369.06564178223425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11.666666666666666</v>
      </c>
      <c r="AI72" s="13">
        <f>IF('Données projet'!$A$62&gt;35,AI71+AH72-AQ71,IF(A72&lt;'Données projet'!$A$62,$AF$205^A72,IF(A72='Données projet'!$A$62,'Données projet'!$B$62,AI71+AH72-AQ71)))</f>
        <v>427.99999999999966</v>
      </c>
      <c r="AJ72" s="13">
        <f>AI72*VLOOKUP('Données projet'!$B$10,Paramètres!$A$1:$I$89,3,0)*VLOOKUP('Données projet'!$B$10,Paramètres!$A$1:$I$89,5,0)</f>
        <v>267.07199999999978</v>
      </c>
      <c r="AK72" s="13">
        <f t="shared" si="89"/>
        <v>64.227480006516515</v>
      </c>
      <c r="AL72" s="20">
        <f t="shared" si="58"/>
        <v>577.01326101134919</v>
      </c>
      <c r="AM72" s="59">
        <f t="shared" si="59"/>
        <v>870.34659434468244</v>
      </c>
      <c r="AN72" s="59">
        <f ca="1">AVERAGE(OFFSET($AM$3,0,0,'Données projet'!$E$10+1,1))-AVERAGE(OFFSET($H$3,0,0,'Données projet'!$E$10+1,1))</f>
        <v>482.28841373508675</v>
      </c>
      <c r="AO72" s="59">
        <f t="shared" si="90"/>
        <v>746.97309214631684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190.59398642485465</v>
      </c>
      <c r="AV72" s="21">
        <f>EXP(-LN(2)/25)*AV71+(1-EXP(-LN(2)/25))/(LN(2)/25)*Calculateur!AQ72*Calculateur!AS72*VLOOKUP('Données projet'!$B$10,Paramètres!$A$1:$I$89,3,0)*0.475*44/12</f>
        <v>39.559327090705928</v>
      </c>
      <c r="AW72" s="21">
        <f>EXP(-LN(2)/2)*AW71+(1-EXP(-LN(2)/2))/(LN(2)/2)*AQ72*AT72*VLOOKUP('Données projet'!$B$10,Paramètres!$A$1:$I$89,3,0)*0.475*44/12</f>
        <v>4.1259274133134882</v>
      </c>
      <c r="AX72" s="21">
        <f t="shared" si="60"/>
        <v>234.27924092887406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-1.1368683772161603E-13</v>
      </c>
      <c r="BE72" s="13">
        <f>BD72*VLOOKUP('Données projet'!$B$11,Paramètres!$A$1:$I$89,3,0)*VLOOKUP('Données projet'!$B$11,Paramètres!$A$1:$I$89,5,0)</f>
        <v>-6.7984728957526396E-14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284.42619963941019</v>
      </c>
      <c r="BJ72" s="59">
        <f t="shared" si="92"/>
        <v>301.41905904220812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185.61933739652713</v>
      </c>
      <c r="BQ72" s="21">
        <f>EXP(-LN(2)/25)*BQ71+(1-EXP(-LN(2)/25))/(LN(2)/25)*Calculateur!BL72*Calculateur!BN72*VLOOKUP('Données projet'!$B$11,Paramètres!$A$1:$I$89,3,0)*0.475*44/12</f>
        <v>41.674899960423289</v>
      </c>
      <c r="BR72" s="21">
        <f>EXP(-LN(2)/2)*BR71+(1-EXP(-LN(2)/2))/(LN(2)/2)*BL72*BO72*VLOOKUP('Données projet'!$B$11,Paramètres!$A$1:$I$89,3,0)*0.475*44/12</f>
        <v>12.567809030465387</v>
      </c>
      <c r="BS72" s="22">
        <f t="shared" si="63"/>
        <v>239.8620463874158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-3.4106051316484809E-13</v>
      </c>
      <c r="O73" s="13">
        <f>N73*VLOOKUP('Données projet'!$B$9,Paramètres!$A$1:$I$89,3,0)*VLOOKUP('Données projet'!$B$9,Paramètres!$A$1:$I$89,5,0)</f>
        <v>-1.9065282685915009E-13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490.96084572840579</v>
      </c>
      <c r="T73" s="59">
        <f t="shared" si="88"/>
        <v>597.91658789908263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280.92791576179195</v>
      </c>
      <c r="AA73" s="21">
        <f>EXP(-LN(2)/25)*AA72+(1-EXP(-LN(2)/25))/(LN(2)/25)*Calculateur!V73*Calculateur!X73*VLOOKUP('Données projet'!$B$9,Paramètres!$A$1:$I$89,3,0)*0.475*44/12</f>
        <v>64.71561293565118</v>
      </c>
      <c r="AB73" s="21">
        <f>EXP(-LN(2)/2)*AB72+(1-EXP(-LN(2)/2))/(LN(2)/2)*V73*Y73*VLOOKUP('Données projet'!$B$9,Paramètres!$A$1:$I$89,3,0)*0.475*44/12</f>
        <v>11.302182032094956</v>
      </c>
      <c r="AC73" s="22">
        <f t="shared" si="57"/>
        <v>356.94571072953806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11.666666666666666</v>
      </c>
      <c r="AI73" s="13">
        <f>IF('Données projet'!$A$62&gt;35,AI72+AH73-AQ72,IF(A73&lt;'Données projet'!$A$62,$AF$205^A73,IF(A73='Données projet'!$A$62,'Données projet'!$B$62,AI72+AH73-AQ72)))</f>
        <v>439.66666666666634</v>
      </c>
      <c r="AJ73" s="13">
        <f>AI73*VLOOKUP('Données projet'!$B$10,Paramètres!$A$1:$I$89,3,0)*VLOOKUP('Données projet'!$B$10,Paramètres!$A$1:$I$89,5,0)</f>
        <v>274.3519999999998</v>
      </c>
      <c r="AK73" s="13">
        <f t="shared" si="89"/>
        <v>65.772012247044003</v>
      </c>
      <c r="AL73" s="20">
        <f t="shared" si="58"/>
        <v>592.38265466360133</v>
      </c>
      <c r="AM73" s="59">
        <f t="shared" si="59"/>
        <v>885.7159879969347</v>
      </c>
      <c r="AN73" s="59">
        <f ca="1">AVERAGE(OFFSET($AM$3,0,0,'Données projet'!$E$10+1,1))-AVERAGE(OFFSET($H$3,0,0,'Données projet'!$E$10+1,1))</f>
        <v>482.28841373508675</v>
      </c>
      <c r="AO73" s="59">
        <f t="shared" si="90"/>
        <v>746.97309214631684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186.85655460191614</v>
      </c>
      <c r="AV73" s="21">
        <f>EXP(-LN(2)/25)*AV72+(1-EXP(-LN(2)/25))/(LN(2)/25)*Calculateur!AQ73*Calculateur!AS73*VLOOKUP('Données projet'!$B$10,Paramètres!$A$1:$I$89,3,0)*0.475*44/12</f>
        <v>38.47757521107598</v>
      </c>
      <c r="AW73" s="21">
        <f>EXP(-LN(2)/2)*AW72+(1-EXP(-LN(2)/2))/(LN(2)/2)*AQ73*AT73*VLOOKUP('Données projet'!$B$10,Paramètres!$A$1:$I$89,3,0)*0.475*44/12</f>
        <v>2.9174712526374389</v>
      </c>
      <c r="AX73" s="21">
        <f t="shared" si="60"/>
        <v>228.25160106562956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-1.1368683772161603E-13</v>
      </c>
      <c r="BE73" s="13">
        <f>BD73*VLOOKUP('Données projet'!$B$11,Paramètres!$A$1:$I$89,3,0)*VLOOKUP('Données projet'!$B$11,Paramètres!$A$1:$I$89,5,0)</f>
        <v>-6.7984728957526396E-14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284.42619963941019</v>
      </c>
      <c r="BJ73" s="59">
        <f t="shared" si="92"/>
        <v>301.41905904220812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181.97945540679783</v>
      </c>
      <c r="BQ73" s="21">
        <f>EXP(-LN(2)/25)*BQ72+(1-EXP(-LN(2)/25))/(LN(2)/25)*Calculateur!BL73*Calculateur!BN73*VLOOKUP('Données projet'!$B$11,Paramètres!$A$1:$I$89,3,0)*0.475*44/12</f>
        <v>40.535297629417776</v>
      </c>
      <c r="BR73" s="21">
        <f>EXP(-LN(2)/2)*BR72+(1-EXP(-LN(2)/2))/(LN(2)/2)*BL73*BO73*VLOOKUP('Données projet'!$B$11,Paramètres!$A$1:$I$89,3,0)*0.475*44/12</f>
        <v>8.8867829900996043</v>
      </c>
      <c r="BS73" s="22">
        <f t="shared" si="63"/>
        <v>231.40153602631523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-1.9065282685915009E-13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490.96084572840579</v>
      </c>
      <c r="T74" s="59">
        <f t="shared" si="88"/>
        <v>597.91658789908263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275.41909068281251</v>
      </c>
      <c r="AA74" s="21">
        <f>EXP(-LN(2)/25)*AA73+(1-EXP(-LN(2)/25))/(LN(2)/25)*Calculateur!V74*Calculateur!X74*VLOOKUP('Données projet'!$B$9,Paramètres!$A$1:$I$89,3,0)*0.475*44/12</f>
        <v>62.945961096679625</v>
      </c>
      <c r="AB74" s="21">
        <f>EXP(-LN(2)/2)*AB73+(1-EXP(-LN(2)/2))/(LN(2)/2)*V74*Y74*VLOOKUP('Données projet'!$B$9,Paramètres!$A$1:$I$89,3,0)*0.475*44/12</f>
        <v>7.9918495570990977</v>
      </c>
      <c r="AC74" s="22">
        <f t="shared" si="57"/>
        <v>346.35690133659125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11.666666666666666</v>
      </c>
      <c r="AI74" s="13">
        <f>IF('Données projet'!$A$62&gt;35,AI73+AH74-AQ73,IF(A74&lt;'Données projet'!$A$62,$AF$205^A74,IF(A74='Données projet'!$A$62,'Données projet'!$B$62,AI73+AH74-AQ73)))</f>
        <v>451.33333333333303</v>
      </c>
      <c r="AJ74" s="13">
        <f>AI74*VLOOKUP('Données projet'!$B$10,Paramètres!$A$1:$I$89,3,0)*VLOOKUP('Données projet'!$B$10,Paramètres!$A$1:$I$89,5,0)</f>
        <v>281.63199999999983</v>
      </c>
      <c r="AK74" s="13">
        <f t="shared" si="89"/>
        <v>67.31178065446916</v>
      </c>
      <c r="AL74" s="20">
        <f t="shared" si="58"/>
        <v>607.74375130653345</v>
      </c>
      <c r="AM74" s="59">
        <f t="shared" si="59"/>
        <v>901.07708463986683</v>
      </c>
      <c r="AN74" s="59">
        <f ca="1">AVERAGE(OFFSET($AM$3,0,0,'Données projet'!$E$10+1,1))-AVERAGE(OFFSET($H$3,0,0,'Données projet'!$E$10+1,1))</f>
        <v>482.28841373508675</v>
      </c>
      <c r="AO74" s="59">
        <f t="shared" si="90"/>
        <v>746.97309214631684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183.19241153741714</v>
      </c>
      <c r="AV74" s="21">
        <f>EXP(-LN(2)/25)*AV73+(1-EXP(-LN(2)/25))/(LN(2)/25)*Calculateur!AQ74*Calculateur!AS74*VLOOKUP('Données projet'!$B$10,Paramètres!$A$1:$I$89,3,0)*0.475*44/12</f>
        <v>37.425403893481366</v>
      </c>
      <c r="AW74" s="21">
        <f>EXP(-LN(2)/2)*AW73+(1-EXP(-LN(2)/2))/(LN(2)/2)*AQ74*AT74*VLOOKUP('Données projet'!$B$10,Paramètres!$A$1:$I$89,3,0)*0.475*44/12</f>
        <v>2.0629637066567446</v>
      </c>
      <c r="AX74" s="21">
        <f t="shared" si="60"/>
        <v>222.68077913755525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-6.7984728957526396E-14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284.42619963941019</v>
      </c>
      <c r="BJ74" s="59">
        <f t="shared" si="92"/>
        <v>301.41905904220812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178.41094928277832</v>
      </c>
      <c r="BQ74" s="21">
        <f>EXP(-LN(2)/25)*BQ73+(1-EXP(-LN(2)/25))/(LN(2)/25)*Calculateur!BL74*Calculateur!BN74*VLOOKUP('Données projet'!$B$11,Paramètres!$A$1:$I$89,3,0)*0.475*44/12</f>
        <v>39.426857784082692</v>
      </c>
      <c r="BR74" s="21">
        <f>EXP(-LN(2)/2)*BR73+(1-EXP(-LN(2)/2))/(LN(2)/2)*BL74*BO74*VLOOKUP('Données projet'!$B$11,Paramètres!$A$1:$I$89,3,0)*0.475*44/12</f>
        <v>6.2839045152326936</v>
      </c>
      <c r="BS74" s="22">
        <f t="shared" si="63"/>
        <v>224.12171158209372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-1.9065282685915009E-13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490.96084572840579</v>
      </c>
      <c r="T75" s="59">
        <f t="shared" si="88"/>
        <v>597.91658789908263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270.01829030358033</v>
      </c>
      <c r="AA75" s="21">
        <f>EXP(-LN(2)/25)*AA74+(1-EXP(-LN(2)/25))/(LN(2)/25)*Calculateur!V75*Calculateur!X75*VLOOKUP('Données projet'!$B$9,Paramètres!$A$1:$I$89,3,0)*0.475*44/12</f>
        <v>61.224700480306694</v>
      </c>
      <c r="AB75" s="21">
        <f>EXP(-LN(2)/2)*AB74+(1-EXP(-LN(2)/2))/(LN(2)/2)*V75*Y75*VLOOKUP('Données projet'!$B$9,Paramètres!$A$1:$I$89,3,0)*0.475*44/12</f>
        <v>5.651091016047479</v>
      </c>
      <c r="AC75" s="22">
        <f t="shared" si="57"/>
        <v>336.8940817999345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463</v>
      </c>
      <c r="AG75" s="12">
        <f>VLOOKUP(A75,'Données projet'!$A$61:$I$81,9,0)</f>
        <v>11.666666666666666</v>
      </c>
      <c r="AH75" s="12">
        <f t="array" ref="AH75">INDEX(AG:AG,MIN(IF(ISNUMBER(AG75:AG271),ROW(AG75:AG271),"")))</f>
        <v>11.666666666666666</v>
      </c>
      <c r="AI75" s="13">
        <f>IF('Données projet'!$A$62&gt;35,AI74+AH75-AQ74,IF(A75&lt;'Données projet'!$A$62,$AF$205^A75,IF(A75='Données projet'!$A$62,'Données projet'!$B$62,AI74+AH75-AQ74)))</f>
        <v>462.99999999999972</v>
      </c>
      <c r="AJ75" s="13">
        <f>AI75*VLOOKUP('Données projet'!$B$10,Paramètres!$A$1:$I$89,3,0)*VLOOKUP('Données projet'!$B$10,Paramètres!$A$1:$I$89,5,0)</f>
        <v>288.91199999999986</v>
      </c>
      <c r="AK75" s="13">
        <f t="shared" si="89"/>
        <v>68.846922528760416</v>
      </c>
      <c r="AL75" s="20">
        <f t="shared" si="58"/>
        <v>623.09679007092416</v>
      </c>
      <c r="AM75" s="59">
        <f t="shared" si="59"/>
        <v>916.43012340425753</v>
      </c>
      <c r="AN75" s="59">
        <f ca="1">AVERAGE(OFFSET($AM$3,0,0,'Données projet'!$E$10+1,1))-AVERAGE(OFFSET($H$3,0,0,'Données projet'!$E$10+1,1))</f>
        <v>482.28841373508675</v>
      </c>
      <c r="AO75" s="59">
        <f t="shared" si="90"/>
        <v>746.97309214631684</v>
      </c>
      <c r="AP75" s="15">
        <f>IF(ISNA(VLOOKUP(A75,'Données projet'!$A$61:$I$81,3,0)),0,VLOOKUP(A75,'Données projet'!$A$61:$I$81,3,0))</f>
        <v>8</v>
      </c>
      <c r="AQ75" s="15">
        <f>IF(ISNA(VLOOKUP(A75,'Données projet'!$A$61:$I$81,4,0)),0,VLOOKUP(A75,'Données projet'!$A$61:$I$81,4,0))</f>
        <v>101</v>
      </c>
      <c r="AR75" s="16">
        <f>IF(ISNA(VLOOKUP(A75,'Données projet'!$A$61:$I$81,5,0)),0%,VLOOKUP(A75,'Données projet'!$A$61:$I$81,5,0)*VLOOKUP('Données projet'!$B$10,Paramètres!$A$1:$I$89,7,0))</f>
        <v>0.42</v>
      </c>
      <c r="AS75" s="16">
        <f>IF(ISNA(VLOOKUP(A75,'Données projet'!$A$61:$I$81,6,0)),0%,VLOOKUP(A75,'Données projet'!$A$61:$I$81,6,0)*VLOOKUP('Données projet'!$B$10,Paramètres!$A$1:$I$89,7,0))</f>
        <v>0.1008</v>
      </c>
      <c r="AT75" s="16">
        <f>IF(ISNA(VLOOKUP(A75,'Données projet'!$A$61:$I$81,7,0)),0%,VLOOKUP(A75,'Données projet'!$A$61:$I$81,7,0))</f>
        <v>0.13200000000000001</v>
      </c>
      <c r="AU75" s="21">
        <f>EXP(-LN(2)/35)*AU74+(1-EXP(-LN(2)/35))/(LN(2)/35)*AQ75*AR75*VLOOKUP('Données projet'!$B$10,Paramètres!$A$1:$I$89,3,0)*0.475*44/12</f>
        <v>214.71438734414747</v>
      </c>
      <c r="AV75" s="21">
        <f>EXP(-LN(2)/25)*AV74+(1-EXP(-LN(2)/25))/(LN(2)/25)*Calculateur!AQ75*Calculateur!AS75*VLOOKUP('Données projet'!$B$10,Paramètres!$A$1:$I$89,3,0)*0.475*44/12</f>
        <v>44.796246418501944</v>
      </c>
      <c r="AW75" s="21">
        <f>EXP(-LN(2)/2)*AW74+(1-EXP(-LN(2)/2))/(LN(2)/2)*AQ75*AT75*VLOOKUP('Données projet'!$B$10,Paramètres!$A$1:$I$89,3,0)*0.475*44/12</f>
        <v>10.877966324467375</v>
      </c>
      <c r="AX75" s="21">
        <f t="shared" si="60"/>
        <v>270.3886000871168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-6.7984728957526396E-14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284.42619963941019</v>
      </c>
      <c r="BJ75" s="59">
        <f t="shared" si="92"/>
        <v>301.41905904220812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174.91241938727703</v>
      </c>
      <c r="BQ75" s="21">
        <f>EXP(-LN(2)/25)*BQ74+(1-EXP(-LN(2)/25))/(LN(2)/25)*Calculateur!BL75*Calculateur!BN75*VLOOKUP('Données projet'!$B$11,Paramètres!$A$1:$I$89,3,0)*0.475*44/12</f>
        <v>38.348728284608612</v>
      </c>
      <c r="BR75" s="21">
        <f>EXP(-LN(2)/2)*BR74+(1-EXP(-LN(2)/2))/(LN(2)/2)*BL75*BO75*VLOOKUP('Données projet'!$B$11,Paramètres!$A$1:$I$89,3,0)*0.475*44/12</f>
        <v>4.4433914950498021</v>
      </c>
      <c r="BS75" s="22">
        <f t="shared" si="63"/>
        <v>217.70453916693543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-1.9065282685915009E-13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490.96084572840579</v>
      </c>
      <c r="T76" s="59">
        <f t="shared" si="88"/>
        <v>597.91658789908263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264.72339632562193</v>
      </c>
      <c r="AA76" s="21">
        <f>EXP(-LN(2)/25)*AA75+(1-EXP(-LN(2)/25))/(LN(2)/25)*Calculateur!V76*Calculateur!X76*VLOOKUP('Données projet'!$B$9,Paramètres!$A$1:$I$89,3,0)*0.475*44/12</f>
        <v>59.550507826005642</v>
      </c>
      <c r="AB76" s="21">
        <f>EXP(-LN(2)/2)*AB75+(1-EXP(-LN(2)/2))/(LN(2)/2)*V76*Y76*VLOOKUP('Données projet'!$B$9,Paramètres!$A$1:$I$89,3,0)*0.475*44/12</f>
        <v>3.9959247785495493</v>
      </c>
      <c r="AC76" s="22">
        <f t="shared" si="57"/>
        <v>328.26982893017708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10.666666666666666</v>
      </c>
      <c r="AI76" s="13">
        <f>IF('Données projet'!$A$62&gt;35,AI75+AH76-AQ75,IF(A76&lt;'Données projet'!$A$62,$AF$205^A76,IF(A76='Données projet'!$A$62,'Données projet'!$B$62,AI75+AH76-AQ75)))</f>
        <v>372.6666666666664</v>
      </c>
      <c r="AJ76" s="13">
        <f>AI76*VLOOKUP('Données projet'!$B$10,Paramètres!$A$1:$I$89,3,0)*VLOOKUP('Données projet'!$B$10,Paramètres!$A$1:$I$89,5,0)</f>
        <v>232.54399999999981</v>
      </c>
      <c r="AK76" s="13">
        <f t="shared" si="89"/>
        <v>56.832401153973727</v>
      </c>
      <c r="AL76" s="20">
        <f t="shared" si="58"/>
        <v>503.99723200983721</v>
      </c>
      <c r="AM76" s="59">
        <f t="shared" si="59"/>
        <v>797.33056534317052</v>
      </c>
      <c r="AN76" s="59">
        <f ca="1">AVERAGE(OFFSET($AM$3,0,0,'Données projet'!$E$10+1,1))-AVERAGE(OFFSET($H$3,0,0,'Données projet'!$E$10+1,1))</f>
        <v>482.28841373508675</v>
      </c>
      <c r="AO76" s="59">
        <f t="shared" si="90"/>
        <v>746.97309214631684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210.50396917117351</v>
      </c>
      <c r="AV76" s="21">
        <f>EXP(-LN(2)/25)*AV75+(1-EXP(-LN(2)/25))/(LN(2)/25)*Calculateur!AQ76*Calculateur!AS76*VLOOKUP('Données projet'!$B$10,Paramètres!$A$1:$I$89,3,0)*0.475*44/12</f>
        <v>43.571290704455791</v>
      </c>
      <c r="AW76" s="21">
        <f>EXP(-LN(2)/2)*AW75+(1-EXP(-LN(2)/2))/(LN(2)/2)*AQ76*AT76*VLOOKUP('Données projet'!$B$10,Paramètres!$A$1:$I$89,3,0)*0.475*44/12</f>
        <v>7.691883753549785</v>
      </c>
      <c r="AX76" s="21">
        <f t="shared" si="60"/>
        <v>261.76714362917909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-6.7984728957526396E-14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284.42619963941019</v>
      </c>
      <c r="BJ76" s="59">
        <f t="shared" si="92"/>
        <v>301.41905904220812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171.48249352913399</v>
      </c>
      <c r="BQ76" s="21">
        <f>EXP(-LN(2)/25)*BQ75+(1-EXP(-LN(2)/25))/(LN(2)/25)*Calculateur!BL76*Calculateur!BN76*VLOOKUP('Données projet'!$B$11,Paramètres!$A$1:$I$89,3,0)*0.475*44/12</f>
        <v>37.300080292994018</v>
      </c>
      <c r="BR76" s="21">
        <f>EXP(-LN(2)/2)*BR75+(1-EXP(-LN(2)/2))/(LN(2)/2)*BL76*BO76*VLOOKUP('Données projet'!$B$11,Paramètres!$A$1:$I$89,3,0)*0.475*44/12</f>
        <v>3.1419522576163468</v>
      </c>
      <c r="BS76" s="22">
        <f t="shared" si="63"/>
        <v>211.92452607974434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-1.9065282685915009E-13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490.96084572840579</v>
      </c>
      <c r="T77" s="59">
        <f t="shared" si="88"/>
        <v>597.91658789908263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259.53233198900489</v>
      </c>
      <c r="AA77" s="21">
        <f>EXP(-LN(2)/25)*AA76+(1-EXP(-LN(2)/25))/(LN(2)/25)*Calculateur!V77*Calculateur!X77*VLOOKUP('Données projet'!$B$9,Paramètres!$A$1:$I$89,3,0)*0.475*44/12</f>
        <v>57.922096057878413</v>
      </c>
      <c r="AB77" s="21">
        <f>EXP(-LN(2)/2)*AB76+(1-EXP(-LN(2)/2))/(LN(2)/2)*V77*Y77*VLOOKUP('Données projet'!$B$9,Paramètres!$A$1:$I$89,3,0)*0.475*44/12</f>
        <v>2.8255455080237399</v>
      </c>
      <c r="AC77" s="22">
        <f t="shared" si="57"/>
        <v>320.27997355490709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10.666666666666666</v>
      </c>
      <c r="AI77" s="13">
        <f>IF('Données projet'!$A$62&gt;35,AI76+AH77-AQ76,IF(A77&lt;'Données projet'!$A$62,$AF$205^A77,IF(A77='Données projet'!$A$62,'Données projet'!$B$62,AI76+AH77-AQ76)))</f>
        <v>383.33333333333309</v>
      </c>
      <c r="AJ77" s="13">
        <f>AI77*VLOOKUP('Données projet'!$B$10,Paramètres!$A$1:$I$89,3,0)*VLOOKUP('Données projet'!$B$10,Paramètres!$A$1:$I$89,5,0)</f>
        <v>239.19999999999985</v>
      </c>
      <c r="AK77" s="13">
        <f t="shared" si="89"/>
        <v>58.267373151570702</v>
      </c>
      <c r="AL77" s="20">
        <f t="shared" si="58"/>
        <v>518.08900823898523</v>
      </c>
      <c r="AM77" s="59">
        <f t="shared" si="59"/>
        <v>811.4223415723186</v>
      </c>
      <c r="AN77" s="59">
        <f ca="1">AVERAGE(OFFSET($AM$3,0,0,'Données projet'!$E$10+1,1))-AVERAGE(OFFSET($H$3,0,0,'Données projet'!$E$10+1,1))</f>
        <v>482.28841373508675</v>
      </c>
      <c r="AO77" s="59">
        <f t="shared" si="90"/>
        <v>746.97309214631684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206.37611473047005</v>
      </c>
      <c r="AV77" s="21">
        <f>EXP(-LN(2)/25)*AV76+(1-EXP(-LN(2)/25))/(LN(2)/25)*Calculateur!AQ77*Calculateur!AS77*VLOOKUP('Données projet'!$B$10,Paramètres!$A$1:$I$89,3,0)*0.475*44/12</f>
        <v>42.379831468827852</v>
      </c>
      <c r="AW77" s="21">
        <f>EXP(-LN(2)/2)*AW76+(1-EXP(-LN(2)/2))/(LN(2)/2)*AQ77*AT77*VLOOKUP('Données projet'!$B$10,Paramètres!$A$1:$I$89,3,0)*0.475*44/12</f>
        <v>5.4389831622336882</v>
      </c>
      <c r="AX77" s="21">
        <f t="shared" si="60"/>
        <v>254.19492936153159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-6.7984728957526396E-14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284.42619963941019</v>
      </c>
      <c r="BJ77" s="59">
        <f t="shared" si="92"/>
        <v>301.41905904220812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168.11982642502093</v>
      </c>
      <c r="BQ77" s="21">
        <f>EXP(-LN(2)/25)*BQ76+(1-EXP(-LN(2)/25))/(LN(2)/25)*Calculateur!BL77*Calculateur!BN77*VLOOKUP('Données projet'!$B$11,Paramètres!$A$1:$I$89,3,0)*0.475*44/12</f>
        <v>36.280107635856126</v>
      </c>
      <c r="BR77" s="21">
        <f>EXP(-LN(2)/2)*BR76+(1-EXP(-LN(2)/2))/(LN(2)/2)*BL77*BO77*VLOOKUP('Données projet'!$B$11,Paramètres!$A$1:$I$89,3,0)*0.475*44/12</f>
        <v>2.2216957475249011</v>
      </c>
      <c r="BS77" s="22">
        <f t="shared" si="63"/>
        <v>206.62162980840196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-1.9065282685915009E-13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490.96084572840579</v>
      </c>
      <c r="T78" s="59">
        <f t="shared" si="88"/>
        <v>597.91658789908263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254.44306125779227</v>
      </c>
      <c r="AA78" s="21">
        <f>EXP(-LN(2)/25)*AA77+(1-EXP(-LN(2)/25))/(LN(2)/25)*Calculateur!V78*Calculateur!X78*VLOOKUP('Données projet'!$B$9,Paramètres!$A$1:$I$89,3,0)*0.475*44/12</f>
        <v>56.338213295185078</v>
      </c>
      <c r="AB78" s="21">
        <f>EXP(-LN(2)/2)*AB77+(1-EXP(-LN(2)/2))/(LN(2)/2)*V78*Y78*VLOOKUP('Données projet'!$B$9,Paramètres!$A$1:$I$89,3,0)*0.475*44/12</f>
        <v>1.9979623892747751</v>
      </c>
      <c r="AC78" s="22">
        <f t="shared" si="57"/>
        <v>312.77923694225211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10.666666666666666</v>
      </c>
      <c r="AI78" s="13">
        <f>IF('Données projet'!$A$62&gt;35,AI77+AH78-AQ77,IF(A78&lt;'Données projet'!$A$62,$AF$205^A78,IF(A78='Données projet'!$A$62,'Données projet'!$B$62,AI77+AH78-AQ77)))</f>
        <v>393.99999999999977</v>
      </c>
      <c r="AJ78" s="13">
        <f>AI78*VLOOKUP('Données projet'!$B$10,Paramètres!$A$1:$I$89,3,0)*VLOOKUP('Données projet'!$B$10,Paramètres!$A$1:$I$89,5,0)</f>
        <v>245.85599999999985</v>
      </c>
      <c r="AK78" s="13">
        <f t="shared" si="89"/>
        <v>59.697704223313963</v>
      </c>
      <c r="AL78" s="20">
        <f t="shared" si="58"/>
        <v>532.17270152227161</v>
      </c>
      <c r="AM78" s="59">
        <f t="shared" si="59"/>
        <v>825.50603485560487</v>
      </c>
      <c r="AN78" s="59">
        <f ca="1">AVERAGE(OFFSET($AM$3,0,0,'Données projet'!$E$10+1,1))-AVERAGE(OFFSET($H$3,0,0,'Données projet'!$E$10+1,1))</f>
        <v>482.28841373508675</v>
      </c>
      <c r="AO78" s="59">
        <f t="shared" si="90"/>
        <v>746.97309214631684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202.32920499760618</v>
      </c>
      <c r="AV78" s="21">
        <f>EXP(-LN(2)/25)*AV77+(1-EXP(-LN(2)/25))/(LN(2)/25)*Calculateur!AQ78*Calculateur!AS78*VLOOKUP('Données projet'!$B$10,Paramètres!$A$1:$I$89,3,0)*0.475*44/12</f>
        <v>41.220952748654277</v>
      </c>
      <c r="AW78" s="21">
        <f>EXP(-LN(2)/2)*AW77+(1-EXP(-LN(2)/2))/(LN(2)/2)*AQ78*AT78*VLOOKUP('Données projet'!$B$10,Paramètres!$A$1:$I$89,3,0)*0.475*44/12</f>
        <v>3.845941876774893</v>
      </c>
      <c r="AX78" s="21">
        <f t="shared" si="60"/>
        <v>247.39609962303535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-6.7984728957526396E-14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284.42619963941019</v>
      </c>
      <c r="BJ78" s="59">
        <f t="shared" si="92"/>
        <v>301.41905904220812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164.82309917179512</v>
      </c>
      <c r="BQ78" s="21">
        <f>EXP(-LN(2)/25)*BQ77+(1-EXP(-LN(2)/25))/(LN(2)/25)*Calculateur!BL78*Calculateur!BN78*VLOOKUP('Données projet'!$B$11,Paramètres!$A$1:$I$89,3,0)*0.475*44/12</f>
        <v>35.288026184665696</v>
      </c>
      <c r="BR78" s="21">
        <f>EXP(-LN(2)/2)*BR77+(1-EXP(-LN(2)/2))/(LN(2)/2)*BL78*BO78*VLOOKUP('Données projet'!$B$11,Paramètres!$A$1:$I$89,3,0)*0.475*44/12</f>
        <v>1.5709761288081734</v>
      </c>
      <c r="BS78" s="22">
        <f t="shared" si="63"/>
        <v>201.68210148526902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-1.9065282685915009E-13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490.96084572840579</v>
      </c>
      <c r="T79" s="59">
        <f t="shared" si="88"/>
        <v>597.91658789908263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249.4535880214701</v>
      </c>
      <c r="AA79" s="21">
        <f>EXP(-LN(2)/25)*AA78+(1-EXP(-LN(2)/25))/(LN(2)/25)*Calculateur!V79*Calculateur!X79*VLOOKUP('Données projet'!$B$9,Paramètres!$A$1:$I$89,3,0)*0.475*44/12</f>
        <v>54.797641889930368</v>
      </c>
      <c r="AB79" s="21">
        <f>EXP(-LN(2)/2)*AB78+(1-EXP(-LN(2)/2))/(LN(2)/2)*V79*Y79*VLOOKUP('Données projet'!$B$9,Paramètres!$A$1:$I$89,3,0)*0.475*44/12</f>
        <v>1.4127727540118702</v>
      </c>
      <c r="AC79" s="22">
        <f t="shared" si="57"/>
        <v>305.66400266541234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10.666666666666666</v>
      </c>
      <c r="AI79" s="13">
        <f>IF('Données projet'!$A$62&gt;35,AI78+AH79-AQ78,IF(A79&lt;'Données projet'!$A$62,$AF$205^A79,IF(A79='Données projet'!$A$62,'Données projet'!$B$62,AI78+AH79-AQ78)))</f>
        <v>404.66666666666646</v>
      </c>
      <c r="AJ79" s="13">
        <f>AI79*VLOOKUP('Données projet'!$B$10,Paramètres!$A$1:$I$89,3,0)*VLOOKUP('Données projet'!$B$10,Paramètres!$A$1:$I$89,5,0)</f>
        <v>252.51199999999989</v>
      </c>
      <c r="AK79" s="13">
        <f t="shared" si="89"/>
        <v>61.123534450545591</v>
      </c>
      <c r="AL79" s="20">
        <f t="shared" si="58"/>
        <v>546.24855583470014</v>
      </c>
      <c r="AM79" s="59">
        <f t="shared" si="59"/>
        <v>839.58188916803351</v>
      </c>
      <c r="AN79" s="59">
        <f ca="1">AVERAGE(OFFSET($AM$3,0,0,'Données projet'!$E$10+1,1))-AVERAGE(OFFSET($H$3,0,0,'Données projet'!$E$10+1,1))</f>
        <v>482.28841373508675</v>
      </c>
      <c r="AO79" s="59">
        <f t="shared" si="90"/>
        <v>746.97309214631684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198.3616526962326</v>
      </c>
      <c r="AV79" s="21">
        <f>EXP(-LN(2)/25)*AV78+(1-EXP(-LN(2)/25))/(LN(2)/25)*Calculateur!AQ79*Calculateur!AS79*VLOOKUP('Données projet'!$B$10,Paramètres!$A$1:$I$89,3,0)*0.475*44/12</f>
        <v>40.093763628026629</v>
      </c>
      <c r="AW79" s="21">
        <f>EXP(-LN(2)/2)*AW78+(1-EXP(-LN(2)/2))/(LN(2)/2)*AQ79*AT79*VLOOKUP('Données projet'!$B$10,Paramètres!$A$1:$I$89,3,0)*0.475*44/12</f>
        <v>2.7194915811168445</v>
      </c>
      <c r="AX79" s="21">
        <f t="shared" si="60"/>
        <v>241.17490790537607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-6.7984728957526396E-14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284.42619963941019</v>
      </c>
      <c r="BJ79" s="59">
        <f t="shared" si="92"/>
        <v>301.41905904220812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161.59101872919999</v>
      </c>
      <c r="BQ79" s="21">
        <f>EXP(-LN(2)/25)*BQ78+(1-EXP(-LN(2)/25))/(LN(2)/25)*Calculateur!BL79*Calculateur!BN79*VLOOKUP('Données projet'!$B$11,Paramètres!$A$1:$I$89,3,0)*0.475*44/12</f>
        <v>34.323073252929369</v>
      </c>
      <c r="BR79" s="21">
        <f>EXP(-LN(2)/2)*BR78+(1-EXP(-LN(2)/2))/(LN(2)/2)*BL79*BO79*VLOOKUP('Données projet'!$B$11,Paramètres!$A$1:$I$89,3,0)*0.475*44/12</f>
        <v>1.1108478737624505</v>
      </c>
      <c r="BS79" s="22">
        <f t="shared" si="63"/>
        <v>197.0249398558918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-1.9065282685915009E-13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490.96084572840579</v>
      </c>
      <c r="T80" s="59">
        <f t="shared" si="88"/>
        <v>597.91658789908263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244.56195531203403</v>
      </c>
      <c r="AA80" s="21">
        <f>EXP(-LN(2)/25)*AA79+(1-EXP(-LN(2)/25))/(LN(2)/25)*Calculateur!V80*Calculateur!X80*VLOOKUP('Données projet'!$B$9,Paramètres!$A$1:$I$89,3,0)*0.475*44/12</f>
        <v>53.299197490767476</v>
      </c>
      <c r="AB80" s="21">
        <f>EXP(-LN(2)/2)*AB79+(1-EXP(-LN(2)/2))/(LN(2)/2)*V80*Y80*VLOOKUP('Données projet'!$B$9,Paramètres!$A$1:$I$89,3,0)*0.475*44/12</f>
        <v>0.99898119463738766</v>
      </c>
      <c r="AC80" s="22">
        <f t="shared" si="57"/>
        <v>298.86013399743888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10.666666666666666</v>
      </c>
      <c r="AI80" s="13">
        <f>IF('Données projet'!$A$62&gt;35,AI79+AH80-AQ79,IF(A80&lt;'Données projet'!$A$62,$AF$205^A80,IF(A80='Données projet'!$A$62,'Données projet'!$B$62,AI79+AH80-AQ79)))</f>
        <v>415.33333333333314</v>
      </c>
      <c r="AJ80" s="13">
        <f>AI80*VLOOKUP('Données projet'!$B$10,Paramètres!$A$1:$I$89,3,0)*VLOOKUP('Données projet'!$B$10,Paramètres!$A$1:$I$89,5,0)</f>
        <v>259.16799999999989</v>
      </c>
      <c r="AK80" s="13">
        <f t="shared" si="89"/>
        <v>62.544996109208512</v>
      </c>
      <c r="AL80" s="20">
        <f t="shared" si="58"/>
        <v>560.31680155687127</v>
      </c>
      <c r="AM80" s="59">
        <f t="shared" si="59"/>
        <v>853.65013489020453</v>
      </c>
      <c r="AN80" s="59">
        <f ca="1">AVERAGE(OFFSET($AM$3,0,0,'Données projet'!$E$10+1,1))-AVERAGE(OFFSET($H$3,0,0,'Données projet'!$E$10+1,1))</f>
        <v>482.28841373508675</v>
      </c>
      <c r="AO80" s="59">
        <f t="shared" si="90"/>
        <v>746.97309214631684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194.47190167552097</v>
      </c>
      <c r="AV80" s="21">
        <f>EXP(-LN(2)/25)*AV79+(1-EXP(-LN(2)/25))/(LN(2)/25)*Calculateur!AQ80*Calculateur!AS80*VLOOKUP('Données projet'!$B$10,Paramètres!$A$1:$I$89,3,0)*0.475*44/12</f>
        <v>38.99739755317885</v>
      </c>
      <c r="AW80" s="21">
        <f>EXP(-LN(2)/2)*AW79+(1-EXP(-LN(2)/2))/(LN(2)/2)*AQ80*AT80*VLOOKUP('Données projet'!$B$10,Paramètres!$A$1:$I$89,3,0)*0.475*44/12</f>
        <v>1.9229709383874469</v>
      </c>
      <c r="AX80" s="21">
        <f t="shared" si="60"/>
        <v>235.39227016708725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-6.7984728957526396E-14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284.42619963941019</v>
      </c>
      <c r="BJ80" s="59">
        <f t="shared" si="92"/>
        <v>301.41905904220812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158.42231741270973</v>
      </c>
      <c r="BQ80" s="21">
        <f>EXP(-LN(2)/25)*BQ79+(1-EXP(-LN(2)/25))/(LN(2)/25)*Calculateur!BL80*Calculateur!BN80*VLOOKUP('Données projet'!$B$11,Paramètres!$A$1:$I$89,3,0)*0.475*44/12</f>
        <v>33.384507009856037</v>
      </c>
      <c r="BR80" s="21">
        <f>EXP(-LN(2)/2)*BR79+(1-EXP(-LN(2)/2))/(LN(2)/2)*BL80*BO80*VLOOKUP('Données projet'!$B$11,Paramètres!$A$1:$I$89,3,0)*0.475*44/12</f>
        <v>0.78548806440408669</v>
      </c>
      <c r="BS80" s="22">
        <f t="shared" si="63"/>
        <v>192.59231248696986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-1.9065282685915009E-13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490.96084572840579</v>
      </c>
      <c r="T81" s="59">
        <f t="shared" si="88"/>
        <v>597.91658789908263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239.76624453642867</v>
      </c>
      <c r="AA81" s="21">
        <f>EXP(-LN(2)/25)*AA80+(1-EXP(-LN(2)/25))/(LN(2)/25)*Calculateur!V81*Calculateur!X81*VLOOKUP('Données projet'!$B$9,Paramètres!$A$1:$I$89,3,0)*0.475*44/12</f>
        <v>51.841728132499462</v>
      </c>
      <c r="AB81" s="21">
        <f>EXP(-LN(2)/2)*AB80+(1-EXP(-LN(2)/2))/(LN(2)/2)*V81*Y81*VLOOKUP('Données projet'!$B$9,Paramètres!$A$1:$I$89,3,0)*0.475*44/12</f>
        <v>0.70638637700593521</v>
      </c>
      <c r="AC81" s="22">
        <f t="shared" si="57"/>
        <v>292.31435904593405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426</v>
      </c>
      <c r="AG81" s="12">
        <f>VLOOKUP(A81,'Données projet'!$A$61:$I$81,9,0)</f>
        <v>10.666666666666666</v>
      </c>
      <c r="AH81" s="12">
        <f t="array" ref="AH81">INDEX(AG:AG,MIN(IF(ISNUMBER(AG81:AG277),ROW(AG81:AG277),"")))</f>
        <v>10.666666666666666</v>
      </c>
      <c r="AI81" s="13">
        <f>IF('Données projet'!$A$62&gt;35,AI80+AH81-AQ80,IF(A81&lt;'Données projet'!$A$62,$AF$205^A81,IF(A81='Données projet'!$A$62,'Données projet'!$B$62,AI80+AH81-AQ80)))</f>
        <v>425.99999999999983</v>
      </c>
      <c r="AJ81" s="13">
        <f>AI81*VLOOKUP('Données projet'!$B$10,Paramètres!$A$1:$I$89,3,0)*VLOOKUP('Données projet'!$B$10,Paramètres!$A$1:$I$89,5,0)</f>
        <v>265.8239999999999</v>
      </c>
      <c r="AK81" s="13">
        <f t="shared" si="89"/>
        <v>63.962214293903529</v>
      </c>
      <c r="AL81" s="20">
        <f t="shared" si="58"/>
        <v>574.37765656188174</v>
      </c>
      <c r="AM81" s="59">
        <f t="shared" si="59"/>
        <v>867.71098989521511</v>
      </c>
      <c r="AN81" s="59">
        <f ca="1">AVERAGE(OFFSET($AM$3,0,0,'Données projet'!$E$10+1,1))-AVERAGE(OFFSET($H$3,0,0,'Données projet'!$E$10+1,1))</f>
        <v>482.28841373508675</v>
      </c>
      <c r="AO81" s="59">
        <f t="shared" si="90"/>
        <v>746.97309214631684</v>
      </c>
      <c r="AP81" s="15" t="str">
        <f>IF(ISNA(VLOOKUP(A81,'Données projet'!$A$61:$I$81,3,0)),0,VLOOKUP(A81,'Données projet'!$A$61:$I$81,3,0))</f>
        <v>CR</v>
      </c>
      <c r="AQ81" s="15">
        <f>IF(ISNA(VLOOKUP(A81,'Données projet'!$A$61:$I$81,4,0)),0,VLOOKUP(A81,'Données projet'!$A$61:$I$81,4,0))</f>
        <v>426</v>
      </c>
      <c r="AR81" s="16">
        <f>IF(ISNA(VLOOKUP(A81,'Données projet'!$A$61:$I$81,5,0)),0%,VLOOKUP(A81,'Données projet'!$A$61:$I$81,5,0)*VLOOKUP('Données projet'!$B$10,Paramètres!$A$1:$I$89,7,0))</f>
        <v>0.42</v>
      </c>
      <c r="AS81" s="16">
        <f>IF(ISNA(VLOOKUP(A81,'Données projet'!$A$61:$I$81,6,0)),0%,VLOOKUP(A81,'Données projet'!$A$61:$I$81,6,0)*VLOOKUP('Données projet'!$B$10,Paramètres!$A$1:$I$89,7,0))</f>
        <v>0.1008</v>
      </c>
      <c r="AT81" s="16">
        <f>IF(ISNA(VLOOKUP(A81,'Données projet'!$A$61:$I$81,7,0)),0%,VLOOKUP(A81,'Données projet'!$A$61:$I$81,7,0))</f>
        <v>0.13200000000000001</v>
      </c>
      <c r="AU81" s="21">
        <f>EXP(-LN(2)/35)*AU80+(1-EXP(-LN(2)/35))/(LN(2)/35)*AQ81*AR81*VLOOKUP('Données projet'!$B$10,Paramètres!$A$1:$I$89,3,0)*0.475*44/12</f>
        <v>338.76414761697094</v>
      </c>
      <c r="AV81" s="21">
        <f>EXP(-LN(2)/25)*AV80+(1-EXP(-LN(2)/25))/(LN(2)/25)*Calculateur!AQ81*Calculateur!AS81*VLOOKUP('Données projet'!$B$10,Paramètres!$A$1:$I$89,3,0)*0.475*44/12</f>
        <v>73.336429104614268</v>
      </c>
      <c r="AW81" s="21">
        <f>EXP(-LN(2)/2)*AW80+(1-EXP(-LN(2)/2))/(LN(2)/2)*AQ81*AT81*VLOOKUP('Données projet'!$B$10,Paramètres!$A$1:$I$89,3,0)*0.475*44/12</f>
        <v>41.088382200571559</v>
      </c>
      <c r="AX81" s="21">
        <f t="shared" si="60"/>
        <v>453.18895892215676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-6.7984728957526396E-14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284.42619963941019</v>
      </c>
      <c r="BJ81" s="59">
        <f t="shared" si="92"/>
        <v>301.41905904220812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155.31575239631889</v>
      </c>
      <c r="BQ81" s="21">
        <f>EXP(-LN(2)/25)*BQ80+(1-EXP(-LN(2)/25))/(LN(2)/25)*Calculateur!BL81*Calculateur!BN81*VLOOKUP('Données projet'!$B$11,Paramètres!$A$1:$I$89,3,0)*0.475*44/12</f>
        <v>32.471605910056603</v>
      </c>
      <c r="BR81" s="21">
        <f>EXP(-LN(2)/2)*BR80+(1-EXP(-LN(2)/2))/(LN(2)/2)*BL81*BO81*VLOOKUP('Données projet'!$B$11,Paramètres!$A$1:$I$89,3,0)*0.475*44/12</f>
        <v>0.55542393688122527</v>
      </c>
      <c r="BS81" s="22">
        <f t="shared" si="63"/>
        <v>188.34278224325672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-1.9065282685915009E-13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490.96084572840579</v>
      </c>
      <c r="T82" s="59">
        <f t="shared" si="88"/>
        <v>597.91658789908263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235.06457472403818</v>
      </c>
      <c r="AA82" s="21">
        <f>EXP(-LN(2)/25)*AA81+(1-EXP(-LN(2)/25))/(LN(2)/25)*Calculateur!V82*Calculateur!X82*VLOOKUP('Données projet'!$B$9,Paramètres!$A$1:$I$89,3,0)*0.475*44/12</f>
        <v>50.424113350478265</v>
      </c>
      <c r="AB82" s="21">
        <f>EXP(-LN(2)/2)*AB81+(1-EXP(-LN(2)/2))/(LN(2)/2)*V82*Y82*VLOOKUP('Données projet'!$B$9,Paramètres!$A$1:$I$89,3,0)*0.475*44/12</f>
        <v>0.49949059731869394</v>
      </c>
      <c r="AC82" s="22">
        <f t="shared" si="57"/>
        <v>285.98817867183516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-1.064108801074326E-13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482.28841373508675</v>
      </c>
      <c r="AO82" s="59">
        <f t="shared" si="90"/>
        <v>746.97309214631684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332.12118930792957</v>
      </c>
      <c r="AV82" s="21">
        <f>EXP(-LN(2)/25)*AV81+(1-EXP(-LN(2)/25))/(LN(2)/25)*Calculateur!AQ82*Calculateur!AS82*VLOOKUP('Données projet'!$B$10,Paramètres!$A$1:$I$89,3,0)*0.475*44/12</f>
        <v>71.331040594153393</v>
      </c>
      <c r="AW82" s="21">
        <f>EXP(-LN(2)/2)*AW81+(1-EXP(-LN(2)/2))/(LN(2)/2)*AQ82*AT82*VLOOKUP('Données projet'!$B$10,Paramètres!$A$1:$I$89,3,0)*0.475*44/12</f>
        <v>29.053873682008788</v>
      </c>
      <c r="AX82" s="21">
        <f t="shared" si="60"/>
        <v>432.50610358409176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-6.7984728957526396E-14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284.42619963941019</v>
      </c>
      <c r="BJ82" s="59">
        <f t="shared" si="92"/>
        <v>301.41905904220812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152.27010522508189</v>
      </c>
      <c r="BQ82" s="21">
        <f>EXP(-LN(2)/25)*BQ81+(1-EXP(-LN(2)/25))/(LN(2)/25)*Calculateur!BL82*Calculateur!BN82*VLOOKUP('Données projet'!$B$11,Paramètres!$A$1:$I$89,3,0)*0.475*44/12</f>
        <v>31.583668138838565</v>
      </c>
      <c r="BR82" s="21">
        <f>EXP(-LN(2)/2)*BR81+(1-EXP(-LN(2)/2))/(LN(2)/2)*BL82*BO82*VLOOKUP('Données projet'!$B$11,Paramètres!$A$1:$I$89,3,0)*0.475*44/12</f>
        <v>0.39274403220204335</v>
      </c>
      <c r="BS82" s="22">
        <f t="shared" si="63"/>
        <v>184.2465173961225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-1.9065282685915009E-13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490.96084572840579</v>
      </c>
      <c r="T83" s="59">
        <f t="shared" si="88"/>
        <v>597.91658789908263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230.45510178893323</v>
      </c>
      <c r="AA83" s="21">
        <f>EXP(-LN(2)/25)*AA82+(1-EXP(-LN(2)/25))/(LN(2)/25)*Calculateur!V83*Calculateur!X83*VLOOKUP('Données projet'!$B$9,Paramètres!$A$1:$I$89,3,0)*0.475*44/12</f>
        <v>49.04526331922056</v>
      </c>
      <c r="AB83" s="21">
        <f>EXP(-LN(2)/2)*AB82+(1-EXP(-LN(2)/2))/(LN(2)/2)*V83*Y83*VLOOKUP('Données projet'!$B$9,Paramètres!$A$1:$I$89,3,0)*0.475*44/12</f>
        <v>0.35319318850296766</v>
      </c>
      <c r="AC83" s="22">
        <f t="shared" si="57"/>
        <v>279.85355829665679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-1.064108801074326E-13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482.28841373508675</v>
      </c>
      <c r="AO83" s="59">
        <f t="shared" si="90"/>
        <v>746.97309214631684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325.60849535952406</v>
      </c>
      <c r="AV83" s="21">
        <f>EXP(-LN(2)/25)*AV82+(1-EXP(-LN(2)/25))/(LN(2)/25)*Calculateur!AQ83*Calculateur!AS83*VLOOKUP('Données projet'!$B$10,Paramètres!$A$1:$I$89,3,0)*0.475*44/12</f>
        <v>69.380489537969879</v>
      </c>
      <c r="AW83" s="21">
        <f>EXP(-LN(2)/2)*AW82+(1-EXP(-LN(2)/2))/(LN(2)/2)*AQ83*AT83*VLOOKUP('Données projet'!$B$10,Paramètres!$A$1:$I$89,3,0)*0.475*44/12</f>
        <v>20.544191100285783</v>
      </c>
      <c r="AX83" s="21">
        <f t="shared" si="60"/>
        <v>415.53317599777972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-6.7984728957526396E-14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284.42619963941019</v>
      </c>
      <c r="BJ83" s="59">
        <f t="shared" si="92"/>
        <v>301.41905904220812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149.28418133721152</v>
      </c>
      <c r="BQ83" s="21">
        <f>EXP(-LN(2)/25)*BQ82+(1-EXP(-LN(2)/25))/(LN(2)/25)*Calculateur!BL83*Calculateur!BN83*VLOOKUP('Données projet'!$B$11,Paramètres!$A$1:$I$89,3,0)*0.475*44/12</f>
        <v>30.720011072669102</v>
      </c>
      <c r="BR83" s="21">
        <f>EXP(-LN(2)/2)*BR82+(1-EXP(-LN(2)/2))/(LN(2)/2)*BL83*BO83*VLOOKUP('Données projet'!$B$11,Paramètres!$A$1:$I$89,3,0)*0.475*44/12</f>
        <v>0.27771196844061263</v>
      </c>
      <c r="BS83" s="22">
        <f t="shared" si="63"/>
        <v>180.28190437832123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490.96084572840579</v>
      </c>
      <c r="T84" s="59">
        <f t="shared" si="88"/>
        <v>597.91658789908263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225.93601780658483</v>
      </c>
      <c r="AA84" s="21">
        <f>EXP(-LN(2)/25)*AA83+(1-EXP(-LN(2)/25))/(LN(2)/25)*Calculateur!V84*Calculateur!X84*VLOOKUP('Données projet'!$B$9,Paramètres!$A$1:$I$89,3,0)*0.475*44/12</f>
        <v>47.704118014578171</v>
      </c>
      <c r="AB84" s="21">
        <f>EXP(-LN(2)/2)*AB83+(1-EXP(-LN(2)/2))/(LN(2)/2)*V84*Y84*VLOOKUP('Données projet'!$B$9,Paramètres!$A$1:$I$89,3,0)*0.475*44/12</f>
        <v>0.249745298659347</v>
      </c>
      <c r="AC84" s="22">
        <f t="shared" si="57"/>
        <v>273.88988111982229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-1.064108801074326E-13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482.28841373508675</v>
      </c>
      <c r="AO84" s="59">
        <f t="shared" si="90"/>
        <v>746.97309214631684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319.22351136709568</v>
      </c>
      <c r="AV84" s="21">
        <f>EXP(-LN(2)/25)*AV83+(1-EXP(-LN(2)/25))/(LN(2)/25)*Calculateur!AQ84*Calculateur!AS84*VLOOKUP('Données projet'!$B$10,Paramètres!$A$1:$I$89,3,0)*0.475*44/12</f>
        <v>67.483276402992715</v>
      </c>
      <c r="AW84" s="21">
        <f>EXP(-LN(2)/2)*AW83+(1-EXP(-LN(2)/2))/(LN(2)/2)*AQ84*AT84*VLOOKUP('Données projet'!$B$10,Paramètres!$A$1:$I$89,3,0)*0.475*44/12</f>
        <v>14.526936841004398</v>
      </c>
      <c r="AX84" s="21">
        <f t="shared" si="60"/>
        <v>401.23372461109278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-6.7984728957526396E-14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284.42619963941019</v>
      </c>
      <c r="BJ84" s="59">
        <f t="shared" si="92"/>
        <v>301.41905904220812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146.35680959554855</v>
      </c>
      <c r="BQ84" s="21">
        <f>EXP(-LN(2)/25)*BQ83+(1-EXP(-LN(2)/25))/(LN(2)/25)*Calculateur!BL84*Calculateur!BN84*VLOOKUP('Données projet'!$B$11,Paramètres!$A$1:$I$89,3,0)*0.475*44/12</f>
        <v>29.879970754391795</v>
      </c>
      <c r="BR84" s="21">
        <f>EXP(-LN(2)/2)*BR83+(1-EXP(-LN(2)/2))/(LN(2)/2)*BL84*BO84*VLOOKUP('Données projet'!$B$11,Paramètres!$A$1:$I$89,3,0)*0.475*44/12</f>
        <v>0.19637201610102167</v>
      </c>
      <c r="BS84" s="22">
        <f t="shared" si="63"/>
        <v>176.43315236604136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490.96084572840579</v>
      </c>
      <c r="T85" s="59">
        <f t="shared" si="88"/>
        <v>597.91658789908263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221.50555030476121</v>
      </c>
      <c r="AA85" s="21">
        <f>EXP(-LN(2)/25)*AA84+(1-EXP(-LN(2)/25))/(LN(2)/25)*Calculateur!V85*Calculateur!X85*VLOOKUP('Données projet'!$B$9,Paramètres!$A$1:$I$89,3,0)*0.475*44/12</f>
        <v>46.399646398818994</v>
      </c>
      <c r="AB85" s="21">
        <f>EXP(-LN(2)/2)*AB84+(1-EXP(-LN(2)/2))/(LN(2)/2)*V85*Y85*VLOOKUP('Données projet'!$B$9,Paramètres!$A$1:$I$89,3,0)*0.475*44/12</f>
        <v>0.17659659425148386</v>
      </c>
      <c r="AC85" s="22">
        <f t="shared" si="57"/>
        <v>268.08179329783167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-1.064108801074326E-13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482.28841373508675</v>
      </c>
      <c r="AO85" s="59">
        <f t="shared" si="90"/>
        <v>746.97309214631684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312.96373301630314</v>
      </c>
      <c r="AV85" s="21">
        <f>EXP(-LN(2)/25)*AV84+(1-EXP(-LN(2)/25))/(LN(2)/25)*Calculateur!AQ85*Calculateur!AS85*VLOOKUP('Données projet'!$B$10,Paramètres!$A$1:$I$89,3,0)*0.475*44/12</f>
        <v>65.637942660961613</v>
      </c>
      <c r="AW85" s="21">
        <f>EXP(-LN(2)/2)*AW84+(1-EXP(-LN(2)/2))/(LN(2)/2)*AQ85*AT85*VLOOKUP('Données projet'!$B$10,Paramètres!$A$1:$I$89,3,0)*0.475*44/12</f>
        <v>10.272095550142893</v>
      </c>
      <c r="AX85" s="21">
        <f t="shared" si="60"/>
        <v>388.8737712274077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-6.7984728957526396E-14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284.42619963941019</v>
      </c>
      <c r="BJ85" s="59">
        <f t="shared" si="92"/>
        <v>301.41905904220812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143.48684182821913</v>
      </c>
      <c r="BQ85" s="21">
        <f>EXP(-LN(2)/25)*BQ84+(1-EXP(-LN(2)/25))/(LN(2)/25)*Calculateur!BL85*Calculateur!BN85*VLOOKUP('Données projet'!$B$11,Paramètres!$A$1:$I$89,3,0)*0.475*44/12</f>
        <v>29.06290138279358</v>
      </c>
      <c r="BR85" s="21">
        <f>EXP(-LN(2)/2)*BR84+(1-EXP(-LN(2)/2))/(LN(2)/2)*BL85*BO85*VLOOKUP('Données projet'!$B$11,Paramètres!$A$1:$I$89,3,0)*0.475*44/12</f>
        <v>0.13885598422030632</v>
      </c>
      <c r="BS85" s="22">
        <f t="shared" si="63"/>
        <v>172.688599195233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490.96084572840579</v>
      </c>
      <c r="T86" s="59">
        <f t="shared" si="88"/>
        <v>597.91658789908263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217.16196156833001</v>
      </c>
      <c r="AA86" s="21">
        <f>EXP(-LN(2)/25)*AA85+(1-EXP(-LN(2)/25))/(LN(2)/25)*Calculateur!V86*Calculateur!X86*VLOOKUP('Données projet'!$B$9,Paramètres!$A$1:$I$89,3,0)*0.475*44/12</f>
        <v>45.130845627991931</v>
      </c>
      <c r="AB86" s="21">
        <f>EXP(-LN(2)/2)*AB85+(1-EXP(-LN(2)/2))/(LN(2)/2)*V86*Y86*VLOOKUP('Données projet'!$B$9,Paramètres!$A$1:$I$89,3,0)*0.475*44/12</f>
        <v>0.12487264932967353</v>
      </c>
      <c r="AC86" s="22">
        <f t="shared" si="57"/>
        <v>262.41767984565166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-1.064108801074326E-13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482.28841373508675</v>
      </c>
      <c r="AO86" s="59">
        <f t="shared" si="90"/>
        <v>746.97309214631684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306.82670510088184</v>
      </c>
      <c r="AV86" s="21">
        <f>EXP(-LN(2)/25)*AV85+(1-EXP(-LN(2)/25))/(LN(2)/25)*Calculateur!AQ86*Calculateur!AS86*VLOOKUP('Données projet'!$B$10,Paramètres!$A$1:$I$89,3,0)*0.475*44/12</f>
        <v>63.843069667148228</v>
      </c>
      <c r="AW86" s="21">
        <f>EXP(-LN(2)/2)*AW85+(1-EXP(-LN(2)/2))/(LN(2)/2)*AQ86*AT86*VLOOKUP('Données projet'!$B$10,Paramètres!$A$1:$I$89,3,0)*0.475*44/12</f>
        <v>7.2634684205021998</v>
      </c>
      <c r="AX86" s="21">
        <f t="shared" si="60"/>
        <v>377.93324318853223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-6.7984728957526396E-14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284.42619963941019</v>
      </c>
      <c r="BJ86" s="59">
        <f t="shared" si="92"/>
        <v>301.41905904220812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140.67315237829953</v>
      </c>
      <c r="BQ86" s="21">
        <f>EXP(-LN(2)/25)*BQ85+(1-EXP(-LN(2)/25))/(LN(2)/25)*Calculateur!BL86*Calculateur!BN86*VLOOKUP('Données projet'!$B$11,Paramètres!$A$1:$I$89,3,0)*0.475*44/12</f>
        <v>28.26817481612953</v>
      </c>
      <c r="BR86" s="21">
        <f>EXP(-LN(2)/2)*BR85+(1-EXP(-LN(2)/2))/(LN(2)/2)*BL86*BO86*VLOOKUP('Données projet'!$B$11,Paramètres!$A$1:$I$89,3,0)*0.475*44/12</f>
        <v>9.8186008050510837E-2</v>
      </c>
      <c r="BS86" s="22">
        <f t="shared" si="63"/>
        <v>169.03951320247955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490.96084572840579</v>
      </c>
      <c r="T87" s="59">
        <f t="shared" si="88"/>
        <v>597.91658789908263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212.90354795769269</v>
      </c>
      <c r="AA87" s="21">
        <f>EXP(-LN(2)/25)*AA86+(1-EXP(-LN(2)/25))/(LN(2)/25)*Calculateur!V87*Calculateur!X87*VLOOKUP('Données projet'!$B$9,Paramètres!$A$1:$I$89,3,0)*0.475*44/12</f>
        <v>43.896740280966469</v>
      </c>
      <c r="AB87" s="21">
        <f>EXP(-LN(2)/2)*AB86+(1-EXP(-LN(2)/2))/(LN(2)/2)*V87*Y87*VLOOKUP('Données projet'!$B$9,Paramètres!$A$1:$I$89,3,0)*0.475*44/12</f>
        <v>8.8298297125741942E-2</v>
      </c>
      <c r="AC87" s="22">
        <f t="shared" si="57"/>
        <v>256.8885865357849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-1.064108801074326E-13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482.28841373508675</v>
      </c>
      <c r="AO87" s="59">
        <f t="shared" si="90"/>
        <v>746.97309214631684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300.81002055966457</v>
      </c>
      <c r="AV87" s="21">
        <f>EXP(-LN(2)/25)*AV86+(1-EXP(-LN(2)/25))/(LN(2)/25)*Calculateur!AQ87*Calculateur!AS87*VLOOKUP('Données projet'!$B$10,Paramètres!$A$1:$I$89,3,0)*0.475*44/12</f>
        <v>62.097277569738942</v>
      </c>
      <c r="AW87" s="21">
        <f>EXP(-LN(2)/2)*AW86+(1-EXP(-LN(2)/2))/(LN(2)/2)*AQ87*AT87*VLOOKUP('Données projet'!$B$10,Paramètres!$A$1:$I$89,3,0)*0.475*44/12</f>
        <v>5.1360477750714475</v>
      </c>
      <c r="AX87" s="21">
        <f t="shared" si="60"/>
        <v>368.04334590447496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-6.7984728957526396E-14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284.42619963941019</v>
      </c>
      <c r="BJ87" s="59">
        <f t="shared" si="92"/>
        <v>301.41905904220812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137.91463766231178</v>
      </c>
      <c r="BQ87" s="21">
        <f>EXP(-LN(2)/25)*BQ86+(1-EXP(-LN(2)/25))/(LN(2)/25)*Calculateur!BL87*Calculateur!BN87*VLOOKUP('Données projet'!$B$11,Paramètres!$A$1:$I$89,3,0)*0.475*44/12</f>
        <v>27.495180089223762</v>
      </c>
      <c r="BR87" s="21">
        <f>EXP(-LN(2)/2)*BR86+(1-EXP(-LN(2)/2))/(LN(2)/2)*BL87*BO87*VLOOKUP('Données projet'!$B$11,Paramètres!$A$1:$I$89,3,0)*0.475*44/12</f>
        <v>6.9427992110153158E-2</v>
      </c>
      <c r="BS87" s="22">
        <f t="shared" si="63"/>
        <v>165.47924574364569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490.96084572840579</v>
      </c>
      <c r="T88" s="59">
        <f t="shared" si="88"/>
        <v>597.91658789908263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208.72863924058416</v>
      </c>
      <c r="AA88" s="21">
        <f>EXP(-LN(2)/25)*AA87+(1-EXP(-LN(2)/25))/(LN(2)/25)*Calculateur!V88*Calculateur!X88*VLOOKUP('Données projet'!$B$9,Paramètres!$A$1:$I$89,3,0)*0.475*44/12</f>
        <v>42.696381609554194</v>
      </c>
      <c r="AB88" s="21">
        <f>EXP(-LN(2)/2)*AB87+(1-EXP(-LN(2)/2))/(LN(2)/2)*V88*Y88*VLOOKUP('Données projet'!$B$9,Paramètres!$A$1:$I$89,3,0)*0.475*44/12</f>
        <v>6.243632466483677E-2</v>
      </c>
      <c r="AC88" s="22">
        <f t="shared" si="57"/>
        <v>251.48745717480321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-1.064108801074326E-13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482.28841373508675</v>
      </c>
      <c r="AO88" s="59">
        <f t="shared" si="90"/>
        <v>746.97309214631684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294.91131953248532</v>
      </c>
      <c r="AV88" s="21">
        <f>EXP(-LN(2)/25)*AV87+(1-EXP(-LN(2)/25))/(LN(2)/25)*Calculateur!AQ88*Calculateur!AS88*VLOOKUP('Données projet'!$B$10,Paramètres!$A$1:$I$89,3,0)*0.475*44/12</f>
        <v>60.399224249040529</v>
      </c>
      <c r="AW88" s="21">
        <f>EXP(-LN(2)/2)*AW87+(1-EXP(-LN(2)/2))/(LN(2)/2)*AQ88*AT88*VLOOKUP('Données projet'!$B$10,Paramètres!$A$1:$I$89,3,0)*0.475*44/12</f>
        <v>3.6317342102511003</v>
      </c>
      <c r="AX88" s="21">
        <f t="shared" si="60"/>
        <v>358.94227799177696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-6.7984728957526396E-14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284.42619963941019</v>
      </c>
      <c r="BJ88" s="59">
        <f t="shared" si="92"/>
        <v>301.41905904220812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135.2102157373767</v>
      </c>
      <c r="BQ88" s="21">
        <f>EXP(-LN(2)/25)*BQ87+(1-EXP(-LN(2)/25))/(LN(2)/25)*Calculateur!BL88*Calculateur!BN88*VLOOKUP('Données projet'!$B$11,Paramètres!$A$1:$I$89,3,0)*0.475*44/12</f>
        <v>26.743322943775258</v>
      </c>
      <c r="BR88" s="21">
        <f>EXP(-LN(2)/2)*BR87+(1-EXP(-LN(2)/2))/(LN(2)/2)*BL88*BO88*VLOOKUP('Données projet'!$B$11,Paramètres!$A$1:$I$89,3,0)*0.475*44/12</f>
        <v>4.9093004025255418E-2</v>
      </c>
      <c r="BS88" s="22">
        <f t="shared" si="63"/>
        <v>162.00263168517722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490.96084572840579</v>
      </c>
      <c r="T89" s="59">
        <f t="shared" si="88"/>
        <v>597.91658789908263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204.63559793697524</v>
      </c>
      <c r="AA89" s="21">
        <f>EXP(-LN(2)/25)*AA88+(1-EXP(-LN(2)/25))/(LN(2)/25)*Calculateur!V89*Calculateur!X89*VLOOKUP('Données projet'!$B$9,Paramètres!$A$1:$I$89,3,0)*0.475*44/12</f>
        <v>41.528846809135807</v>
      </c>
      <c r="AB89" s="21">
        <f>EXP(-LN(2)/2)*AB88+(1-EXP(-LN(2)/2))/(LN(2)/2)*V89*Y89*VLOOKUP('Données projet'!$B$9,Paramètres!$A$1:$I$89,3,0)*0.475*44/12</f>
        <v>4.4149148562870978E-2</v>
      </c>
      <c r="AC89" s="22">
        <f t="shared" si="57"/>
        <v>246.20859389467392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-1.064108801074326E-13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482.28841373508675</v>
      </c>
      <c r="AO89" s="59">
        <f t="shared" si="90"/>
        <v>746.97309214631684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289.1282884345967</v>
      </c>
      <c r="AV89" s="21">
        <f>EXP(-LN(2)/25)*AV88+(1-EXP(-LN(2)/25))/(LN(2)/25)*Calculateur!AQ89*Calculateur!AS89*VLOOKUP('Données projet'!$B$10,Paramètres!$A$1:$I$89,3,0)*0.475*44/12</f>
        <v>58.747604285693356</v>
      </c>
      <c r="AW89" s="21">
        <f>EXP(-LN(2)/2)*AW88+(1-EXP(-LN(2)/2))/(LN(2)/2)*AQ89*AT89*VLOOKUP('Données projet'!$B$10,Paramètres!$A$1:$I$89,3,0)*0.475*44/12</f>
        <v>2.5680238875357237</v>
      </c>
      <c r="AX89" s="21">
        <f t="shared" si="60"/>
        <v>350.44391660782577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-6.7984728957526396E-14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284.42619963941019</v>
      </c>
      <c r="BJ89" s="59">
        <f t="shared" si="92"/>
        <v>301.41905904220812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132.55882587685511</v>
      </c>
      <c r="BQ89" s="21">
        <f>EXP(-LN(2)/25)*BQ88+(1-EXP(-LN(2)/25))/(LN(2)/25)*Calculateur!BL89*Calculateur!BN89*VLOOKUP('Données projet'!$B$11,Paramètres!$A$1:$I$89,3,0)*0.475*44/12</f>
        <v>26.012025371507491</v>
      </c>
      <c r="BR89" s="21">
        <f>EXP(-LN(2)/2)*BR88+(1-EXP(-LN(2)/2))/(LN(2)/2)*BL89*BO89*VLOOKUP('Données projet'!$B$11,Paramètres!$A$1:$I$89,3,0)*0.475*44/12</f>
        <v>3.4713996055076579E-2</v>
      </c>
      <c r="BS89" s="22">
        <f t="shared" si="63"/>
        <v>158.60556524441768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490.96084572840579</v>
      </c>
      <c r="T90" s="59">
        <f t="shared" si="88"/>
        <v>597.91658789908263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200.6228186768214</v>
      </c>
      <c r="AA90" s="21">
        <f>EXP(-LN(2)/25)*AA89+(1-EXP(-LN(2)/25))/(LN(2)/25)*Calculateur!V90*Calculateur!X90*VLOOKUP('Données projet'!$B$9,Paramètres!$A$1:$I$89,3,0)*0.475*44/12</f>
        <v>40.393238309232849</v>
      </c>
      <c r="AB90" s="21">
        <f>EXP(-LN(2)/2)*AB89+(1-EXP(-LN(2)/2))/(LN(2)/2)*V90*Y90*VLOOKUP('Données projet'!$B$9,Paramètres!$A$1:$I$89,3,0)*0.475*44/12</f>
        <v>3.1218162332418389E-2</v>
      </c>
      <c r="AC90" s="22">
        <f t="shared" si="57"/>
        <v>241.04727514838666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-1.064108801074326E-13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482.28841373508675</v>
      </c>
      <c r="AO90" s="59">
        <f t="shared" si="90"/>
        <v>746.97309214631684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283.45865904923699</v>
      </c>
      <c r="AV90" s="21">
        <f>EXP(-LN(2)/25)*AV89+(1-EXP(-LN(2)/25))/(LN(2)/25)*Calculateur!AQ90*Calculateur!AS90*VLOOKUP('Données projet'!$B$10,Paramètres!$A$1:$I$89,3,0)*0.475*44/12</f>
        <v>57.141147957098831</v>
      </c>
      <c r="AW90" s="21">
        <f>EXP(-LN(2)/2)*AW89+(1-EXP(-LN(2)/2))/(LN(2)/2)*AQ90*AT90*VLOOKUP('Données projet'!$B$10,Paramètres!$A$1:$I$89,3,0)*0.475*44/12</f>
        <v>1.8158671051255502</v>
      </c>
      <c r="AX90" s="21">
        <f t="shared" si="60"/>
        <v>342.41567411146139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-6.7984728957526396E-14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284.42619963941019</v>
      </c>
      <c r="BJ90" s="59">
        <f t="shared" si="92"/>
        <v>301.41905904220812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129.95942815431022</v>
      </c>
      <c r="BQ90" s="21">
        <f>EXP(-LN(2)/25)*BQ89+(1-EXP(-LN(2)/25))/(LN(2)/25)*Calculateur!BL90*Calculateur!BN90*VLOOKUP('Données projet'!$B$11,Paramètres!$A$1:$I$89,3,0)*0.475*44/12</f>
        <v>25.300725169810654</v>
      </c>
      <c r="BR90" s="21">
        <f>EXP(-LN(2)/2)*BR89+(1-EXP(-LN(2)/2))/(LN(2)/2)*BL90*BO90*VLOOKUP('Données projet'!$B$11,Paramètres!$A$1:$I$89,3,0)*0.475*44/12</f>
        <v>2.4546502012627709E-2</v>
      </c>
      <c r="BS90" s="22">
        <f t="shared" si="63"/>
        <v>155.2846998261335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490.96084572840579</v>
      </c>
      <c r="T91" s="59">
        <f t="shared" si="88"/>
        <v>597.91658789908263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196.68872757040549</v>
      </c>
      <c r="AA91" s="21">
        <f>EXP(-LN(2)/25)*AA90+(1-EXP(-LN(2)/25))/(LN(2)/25)*Calculateur!V91*Calculateur!X91*VLOOKUP('Données projet'!$B$9,Paramètres!$A$1:$I$89,3,0)*0.475*44/12</f>
        <v>39.288683083478794</v>
      </c>
      <c r="AB91" s="21">
        <f>EXP(-LN(2)/2)*AB90+(1-EXP(-LN(2)/2))/(LN(2)/2)*V91*Y91*VLOOKUP('Données projet'!$B$9,Paramètres!$A$1:$I$89,3,0)*0.475*44/12</f>
        <v>2.2074574281435493E-2</v>
      </c>
      <c r="AC91" s="22">
        <f t="shared" si="57"/>
        <v>235.99948522816572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-1.064108801074326E-13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482.28841373508675</v>
      </c>
      <c r="AO91" s="59">
        <f t="shared" si="90"/>
        <v>746.97309214631684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277.90020763799174</v>
      </c>
      <c r="AV91" s="21">
        <f>EXP(-LN(2)/25)*AV90+(1-EXP(-LN(2)/25))/(LN(2)/25)*Calculateur!AQ91*Calculateur!AS91*VLOOKUP('Données projet'!$B$10,Paramètres!$A$1:$I$89,3,0)*0.475*44/12</f>
        <v>55.578620261289586</v>
      </c>
      <c r="AW91" s="21">
        <f>EXP(-LN(2)/2)*AW90+(1-EXP(-LN(2)/2))/(LN(2)/2)*AQ91*AT91*VLOOKUP('Données projet'!$B$10,Paramètres!$A$1:$I$89,3,0)*0.475*44/12</f>
        <v>1.2840119437678619</v>
      </c>
      <c r="AX91" s="21">
        <f t="shared" si="60"/>
        <v>334.76283984304916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-6.7984728957526396E-14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284.42619963941019</v>
      </c>
      <c r="BJ91" s="59">
        <f t="shared" si="92"/>
        <v>301.41905904220812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127.41100303562835</v>
      </c>
      <c r="BQ91" s="21">
        <f>EXP(-LN(2)/25)*BQ90+(1-EXP(-LN(2)/25))/(LN(2)/25)*Calculateur!BL91*Calculateur!BN91*VLOOKUP('Données projet'!$B$11,Paramètres!$A$1:$I$89,3,0)*0.475*44/12</f>
        <v>24.608875509534872</v>
      </c>
      <c r="BR91" s="21">
        <f>EXP(-LN(2)/2)*BR90+(1-EXP(-LN(2)/2))/(LN(2)/2)*BL91*BO91*VLOOKUP('Données projet'!$B$11,Paramètres!$A$1:$I$89,3,0)*0.475*44/12</f>
        <v>1.735699802753829E-2</v>
      </c>
      <c r="BS91" s="22">
        <f t="shared" si="63"/>
        <v>152.03723554319077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490.96084572840579</v>
      </c>
      <c r="T92" s="59">
        <f t="shared" si="88"/>
        <v>597.91658789908263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192.83178159102778</v>
      </c>
      <c r="AA92" s="21">
        <f>EXP(-LN(2)/25)*AA91+(1-EXP(-LN(2)/25))/(LN(2)/25)*Calculateur!V92*Calculateur!X92*VLOOKUP('Données projet'!$B$9,Paramètres!$A$1:$I$89,3,0)*0.475*44/12</f>
        <v>38.214331978459022</v>
      </c>
      <c r="AB92" s="21">
        <f>EXP(-LN(2)/2)*AB91+(1-EXP(-LN(2)/2))/(LN(2)/2)*V92*Y92*VLOOKUP('Données projet'!$B$9,Paramètres!$A$1:$I$89,3,0)*0.475*44/12</f>
        <v>1.5609081166209198E-2</v>
      </c>
      <c r="AC92" s="22">
        <f t="shared" si="57"/>
        <v>231.06172265065302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-1.064108801074326E-13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482.28841373508675</v>
      </c>
      <c r="AO92" s="59">
        <f t="shared" si="90"/>
        <v>746.97309214631684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272.45075406860042</v>
      </c>
      <c r="AV92" s="21">
        <f>EXP(-LN(2)/25)*AV91+(1-EXP(-LN(2)/25))/(LN(2)/25)*Calculateur!AQ92*Calculateur!AS92*VLOOKUP('Données projet'!$B$10,Paramètres!$A$1:$I$89,3,0)*0.475*44/12</f>
        <v>54.058819967492006</v>
      </c>
      <c r="AW92" s="21">
        <f>EXP(-LN(2)/2)*AW91+(1-EXP(-LN(2)/2))/(LN(2)/2)*AQ92*AT92*VLOOKUP('Données projet'!$B$10,Paramètres!$A$1:$I$89,3,0)*0.475*44/12</f>
        <v>0.90793355256277508</v>
      </c>
      <c r="AX92" s="21">
        <f t="shared" si="60"/>
        <v>327.41750758865521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-6.7984728957526396E-14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284.42619963941019</v>
      </c>
      <c r="BJ92" s="59">
        <f t="shared" si="92"/>
        <v>301.41905904220812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124.912550979138</v>
      </c>
      <c r="BQ92" s="21">
        <f>EXP(-LN(2)/25)*BQ91+(1-EXP(-LN(2)/25))/(LN(2)/25)*Calculateur!BL92*Calculateur!BN92*VLOOKUP('Données projet'!$B$11,Paramètres!$A$1:$I$89,3,0)*0.475*44/12</f>
        <v>23.935944514602124</v>
      </c>
      <c r="BR92" s="21">
        <f>EXP(-LN(2)/2)*BR91+(1-EXP(-LN(2)/2))/(LN(2)/2)*BL92*BO92*VLOOKUP('Données projet'!$B$11,Paramètres!$A$1:$I$89,3,0)*0.475*44/12</f>
        <v>1.2273251006313855E-2</v>
      </c>
      <c r="BS92" s="22">
        <f t="shared" si="63"/>
        <v>148.86076874474645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490.96084572840579</v>
      </c>
      <c r="T93" s="59">
        <f t="shared" si="88"/>
        <v>597.91658789908263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189.05046796980091</v>
      </c>
      <c r="AA93" s="21">
        <f>EXP(-LN(2)/25)*AA92+(1-EXP(-LN(2)/25))/(LN(2)/25)*Calculateur!V93*Calculateur!X93*VLOOKUP('Données projet'!$B$9,Paramètres!$A$1:$I$89,3,0)*0.475*44/12</f>
        <v>37.16935906090368</v>
      </c>
      <c r="AB93" s="21">
        <f>EXP(-LN(2)/2)*AB92+(1-EXP(-LN(2)/2))/(LN(2)/2)*V93*Y93*VLOOKUP('Données projet'!$B$9,Paramètres!$A$1:$I$89,3,0)*0.475*44/12</f>
        <v>1.1037287140717748E-2</v>
      </c>
      <c r="AC93" s="22">
        <f t="shared" si="57"/>
        <v>226.23086431784529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-1.064108801074326E-13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482.28841373508675</v>
      </c>
      <c r="AO93" s="59">
        <f t="shared" si="90"/>
        <v>746.97309214631684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267.10816095986638</v>
      </c>
      <c r="AV93" s="21">
        <f>EXP(-LN(2)/25)*AV92+(1-EXP(-LN(2)/25))/(LN(2)/25)*Calculateur!AQ93*Calculateur!AS93*VLOOKUP('Données projet'!$B$10,Paramètres!$A$1:$I$89,3,0)*0.475*44/12</f>
        <v>52.580578692651152</v>
      </c>
      <c r="AW93" s="21">
        <f>EXP(-LN(2)/2)*AW92+(1-EXP(-LN(2)/2))/(LN(2)/2)*AQ93*AT93*VLOOKUP('Données projet'!$B$10,Paramètres!$A$1:$I$89,3,0)*0.475*44/12</f>
        <v>0.64200597188393094</v>
      </c>
      <c r="AX93" s="21">
        <f t="shared" si="60"/>
        <v>320.33074562440146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-6.7984728957526396E-14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284.42619963941019</v>
      </c>
      <c r="BJ93" s="59">
        <f t="shared" si="92"/>
        <v>301.41905904220812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122.46309204357016</v>
      </c>
      <c r="BQ93" s="21">
        <f>EXP(-LN(2)/25)*BQ92+(1-EXP(-LN(2)/25))/(LN(2)/25)*Calculateur!BL93*Calculateur!BN93*VLOOKUP('Données projet'!$B$11,Paramètres!$A$1:$I$89,3,0)*0.475*44/12</f>
        <v>23.281414853113713</v>
      </c>
      <c r="BR93" s="21">
        <f>EXP(-LN(2)/2)*BR92+(1-EXP(-LN(2)/2))/(LN(2)/2)*BL93*BO93*VLOOKUP('Données projet'!$B$11,Paramètres!$A$1:$I$89,3,0)*0.475*44/12</f>
        <v>8.6784990137691448E-3</v>
      </c>
      <c r="BS93" s="22">
        <f t="shared" si="63"/>
        <v>145.75318539569764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490.96084572840579</v>
      </c>
      <c r="T94" s="59">
        <f t="shared" si="88"/>
        <v>597.91658789908263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185.34330360231272</v>
      </c>
      <c r="AA94" s="21">
        <f>EXP(-LN(2)/25)*AA93+(1-EXP(-LN(2)/25))/(LN(2)/25)*Calculateur!V94*Calculateur!X94*VLOOKUP('Données projet'!$B$9,Paramètres!$A$1:$I$89,3,0)*0.475*44/12</f>
        <v>36.152960982731628</v>
      </c>
      <c r="AB94" s="21">
        <f>EXP(-LN(2)/2)*AB93+(1-EXP(-LN(2)/2))/(LN(2)/2)*V94*Y94*VLOOKUP('Données projet'!$B$9,Paramètres!$A$1:$I$89,3,0)*0.475*44/12</f>
        <v>7.8045405831045998E-3</v>
      </c>
      <c r="AC94" s="22">
        <f t="shared" si="57"/>
        <v>221.50406912562744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-1.064108801074326E-13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482.28841373508675</v>
      </c>
      <c r="AO94" s="59">
        <f t="shared" si="90"/>
        <v>746.97309214631684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261.87033284333461</v>
      </c>
      <c r="AV94" s="21">
        <f>EXP(-LN(2)/25)*AV93+(1-EXP(-LN(2)/25))/(LN(2)/25)*Calculateur!AQ94*Calculateur!AS94*VLOOKUP('Données projet'!$B$10,Paramètres!$A$1:$I$89,3,0)*0.475*44/12</f>
        <v>51.142760003208146</v>
      </c>
      <c r="AW94" s="21">
        <f>EXP(-LN(2)/2)*AW93+(1-EXP(-LN(2)/2))/(LN(2)/2)*AQ94*AT94*VLOOKUP('Données projet'!$B$10,Paramètres!$A$1:$I$89,3,0)*0.475*44/12</f>
        <v>0.45396677628138754</v>
      </c>
      <c r="AX94" s="21">
        <f t="shared" si="60"/>
        <v>313.46705962282414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-6.7984728957526396E-14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284.42619963941019</v>
      </c>
      <c r="BJ94" s="59">
        <f t="shared" si="92"/>
        <v>301.41905904220812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120.06166550370637</v>
      </c>
      <c r="BQ94" s="21">
        <f>EXP(-LN(2)/25)*BQ93+(1-EXP(-LN(2)/25))/(LN(2)/25)*Calculateur!BL94*Calculateur!BN94*VLOOKUP('Données projet'!$B$11,Paramètres!$A$1:$I$89,3,0)*0.475*44/12</f>
        <v>22.64478333963892</v>
      </c>
      <c r="BR94" s="21">
        <f>EXP(-LN(2)/2)*BR93+(1-EXP(-LN(2)/2))/(LN(2)/2)*BL94*BO94*VLOOKUP('Données projet'!$B$11,Paramètres!$A$1:$I$89,3,0)*0.475*44/12</f>
        <v>6.1366255031569273E-3</v>
      </c>
      <c r="BS94" s="22">
        <f t="shared" si="63"/>
        <v>142.71258546884846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490.96084572840579</v>
      </c>
      <c r="T95" s="59">
        <f t="shared" si="88"/>
        <v>597.91658789908263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181.70883446692397</v>
      </c>
      <c r="AA95" s="21">
        <f>EXP(-LN(2)/25)*AA94+(1-EXP(-LN(2)/25))/(LN(2)/25)*Calculateur!V95*Calculateur!X95*VLOOKUP('Données projet'!$B$9,Paramètres!$A$1:$I$89,3,0)*0.475*44/12</f>
        <v>35.164356363457244</v>
      </c>
      <c r="AB95" s="21">
        <f>EXP(-LN(2)/2)*AB94+(1-EXP(-LN(2)/2))/(LN(2)/2)*V95*Y95*VLOOKUP('Données projet'!$B$9,Paramètres!$A$1:$I$89,3,0)*0.475*44/12</f>
        <v>5.5186435703588749E-3</v>
      </c>
      <c r="AC95" s="22">
        <f t="shared" si="57"/>
        <v>216.87870947395157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-1.064108801074326E-13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482.28841373508675</v>
      </c>
      <c r="AO95" s="59">
        <f t="shared" si="90"/>
        <v>746.97309214631684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256.73521534140832</v>
      </c>
      <c r="AV95" s="21">
        <f>EXP(-LN(2)/25)*AV94+(1-EXP(-LN(2)/25))/(LN(2)/25)*Calculateur!AQ95*Calculateur!AS95*VLOOKUP('Données projet'!$B$10,Paramètres!$A$1:$I$89,3,0)*0.475*44/12</f>
        <v>49.744258541439557</v>
      </c>
      <c r="AW95" s="21">
        <f>EXP(-LN(2)/2)*AW94+(1-EXP(-LN(2)/2))/(LN(2)/2)*AQ95*AT95*VLOOKUP('Données projet'!$B$10,Paramètres!$A$1:$I$89,3,0)*0.475*44/12</f>
        <v>0.32100298594196547</v>
      </c>
      <c r="AX95" s="21">
        <f t="shared" si="60"/>
        <v>306.80047686878981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-6.7984728957526396E-14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284.42619963941019</v>
      </c>
      <c r="BJ95" s="59">
        <f t="shared" si="92"/>
        <v>301.41905904220812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117.70732947356375</v>
      </c>
      <c r="BQ95" s="21">
        <f>EXP(-LN(2)/25)*BQ94+(1-EXP(-LN(2)/25))/(LN(2)/25)*Calculateur!BL95*Calculateur!BN95*VLOOKUP('Données projet'!$B$11,Paramètres!$A$1:$I$89,3,0)*0.475*44/12</f>
        <v>22.025560548379094</v>
      </c>
      <c r="BR95" s="21">
        <f>EXP(-LN(2)/2)*BR94+(1-EXP(-LN(2)/2))/(LN(2)/2)*BL95*BO95*VLOOKUP('Données projet'!$B$11,Paramètres!$A$1:$I$89,3,0)*0.475*44/12</f>
        <v>4.3392495068845724E-3</v>
      </c>
      <c r="BS95" s="22">
        <f t="shared" si="63"/>
        <v>139.73722927144973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490.96084572840579</v>
      </c>
      <c r="T96" s="59">
        <f t="shared" si="88"/>
        <v>597.91658789908263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178.14563505447293</v>
      </c>
      <c r="AA96" s="21">
        <f>EXP(-LN(2)/25)*AA95+(1-EXP(-LN(2)/25))/(LN(2)/25)*Calculateur!V96*Calculateur!X96*VLOOKUP('Données projet'!$B$9,Paramètres!$A$1:$I$89,3,0)*0.475*44/12</f>
        <v>34.202785189485375</v>
      </c>
      <c r="AB96" s="21">
        <f>EXP(-LN(2)/2)*AB95+(1-EXP(-LN(2)/2))/(LN(2)/2)*V96*Y96*VLOOKUP('Données projet'!$B$9,Paramètres!$A$1:$I$89,3,0)*0.475*44/12</f>
        <v>3.9022702915523007E-3</v>
      </c>
      <c r="AC96" s="22">
        <f t="shared" si="57"/>
        <v>212.35232251424986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-1.064108801074326E-13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482.28841373508675</v>
      </c>
      <c r="AO96" s="59">
        <f t="shared" si="90"/>
        <v>746.97309214631684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251.70079436158238</v>
      </c>
      <c r="AV96" s="21">
        <f>EXP(-LN(2)/25)*AV95+(1-EXP(-LN(2)/25))/(LN(2)/25)*Calculateur!AQ96*Calculateur!AS96*VLOOKUP('Données projet'!$B$10,Paramètres!$A$1:$I$89,3,0)*0.475*44/12</f>
        <v>48.38399917568703</v>
      </c>
      <c r="AW96" s="21">
        <f>EXP(-LN(2)/2)*AW95+(1-EXP(-LN(2)/2))/(LN(2)/2)*AQ96*AT96*VLOOKUP('Données projet'!$B$10,Paramètres!$A$1:$I$89,3,0)*0.475*44/12</f>
        <v>0.22698338814069377</v>
      </c>
      <c r="AX96" s="21">
        <f t="shared" si="60"/>
        <v>300.31177692541013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-6.7984728957526396E-14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284.42619963941019</v>
      </c>
      <c r="BJ96" s="59">
        <f t="shared" si="92"/>
        <v>301.41905904220812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115.39916053696903</v>
      </c>
      <c r="BQ96" s="21">
        <f>EXP(-LN(2)/25)*BQ95+(1-EXP(-LN(2)/25))/(LN(2)/25)*Calculateur!BL96*Calculateur!BN96*VLOOKUP('Données projet'!$B$11,Paramètres!$A$1:$I$89,3,0)*0.475*44/12</f>
        <v>21.423270436909778</v>
      </c>
      <c r="BR96" s="21">
        <f>EXP(-LN(2)/2)*BR95+(1-EXP(-LN(2)/2))/(LN(2)/2)*BL96*BO96*VLOOKUP('Données projet'!$B$11,Paramètres!$A$1:$I$89,3,0)*0.475*44/12</f>
        <v>3.0683127515784636E-3</v>
      </c>
      <c r="BS96" s="22">
        <f t="shared" si="63"/>
        <v>136.82549928663039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490.96084572840579</v>
      </c>
      <c r="T97" s="59">
        <f t="shared" si="88"/>
        <v>597.91658789908263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174.65230780916301</v>
      </c>
      <c r="AA97" s="21">
        <f>EXP(-LN(2)/25)*AA96+(1-EXP(-LN(2)/25))/(LN(2)/25)*Calculateur!V97*Calculateur!X97*VLOOKUP('Données projet'!$B$9,Paramètres!$A$1:$I$89,3,0)*0.475*44/12</f>
        <v>33.267508229832593</v>
      </c>
      <c r="AB97" s="21">
        <f>EXP(-LN(2)/2)*AB96+(1-EXP(-LN(2)/2))/(LN(2)/2)*V97*Y97*VLOOKUP('Données projet'!$B$9,Paramètres!$A$1:$I$89,3,0)*0.475*44/12</f>
        <v>2.7593217851794379E-3</v>
      </c>
      <c r="AC97" s="22">
        <f t="shared" si="57"/>
        <v>207.9225753607808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-1.064108801074326E-13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482.28841373508675</v>
      </c>
      <c r="AO97" s="59">
        <f t="shared" si="90"/>
        <v>746.97309214631684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246.76509530647724</v>
      </c>
      <c r="AV97" s="21">
        <f>EXP(-LN(2)/25)*AV96+(1-EXP(-LN(2)/25))/(LN(2)/25)*Calculateur!AQ97*Calculateur!AS97*VLOOKUP('Données projet'!$B$10,Paramètres!$A$1:$I$89,3,0)*0.475*44/12</f>
        <v>47.060936173823933</v>
      </c>
      <c r="AW97" s="21">
        <f>EXP(-LN(2)/2)*AW96+(1-EXP(-LN(2)/2))/(LN(2)/2)*AQ97*AT97*VLOOKUP('Données projet'!$B$10,Paramètres!$A$1:$I$89,3,0)*0.475*44/12</f>
        <v>0.16050149297098273</v>
      </c>
      <c r="AX97" s="21">
        <f t="shared" si="60"/>
        <v>293.98653297327212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-6.7984728957526396E-14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284.42619963941019</v>
      </c>
      <c r="BJ97" s="59">
        <f t="shared" si="92"/>
        <v>301.41905904220812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113.1362533853769</v>
      </c>
      <c r="BQ97" s="21">
        <f>EXP(-LN(2)/25)*BQ96+(1-EXP(-LN(2)/25))/(LN(2)/25)*Calculateur!BL97*Calculateur!BN97*VLOOKUP('Données projet'!$B$11,Paramètres!$A$1:$I$89,3,0)*0.475*44/12</f>
        <v>20.837449980211652</v>
      </c>
      <c r="BR97" s="21">
        <f>EXP(-LN(2)/2)*BR96+(1-EXP(-LN(2)/2))/(LN(2)/2)*BL97*BO97*VLOOKUP('Données projet'!$B$11,Paramètres!$A$1:$I$89,3,0)*0.475*44/12</f>
        <v>2.1696247534422862E-3</v>
      </c>
      <c r="BS97" s="22">
        <f t="shared" si="63"/>
        <v>133.975872990342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490.96084572840579</v>
      </c>
      <c r="T98" s="59">
        <f t="shared" si="88"/>
        <v>597.91658789908263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171.22748258041437</v>
      </c>
      <c r="AA98" s="21">
        <f>EXP(-LN(2)/25)*AA97+(1-EXP(-LN(2)/25))/(LN(2)/25)*Calculateur!V98*Calculateur!X98*VLOOKUP('Données projet'!$B$9,Paramètres!$A$1:$I$89,3,0)*0.475*44/12</f>
        <v>32.357806467825597</v>
      </c>
      <c r="AB98" s="21">
        <f>EXP(-LN(2)/2)*AB97+(1-EXP(-LN(2)/2))/(LN(2)/2)*V98*Y98*VLOOKUP('Données projet'!$B$9,Paramètres!$A$1:$I$89,3,0)*0.475*44/12</f>
        <v>1.9511351457761506E-3</v>
      </c>
      <c r="AC98" s="22">
        <f t="shared" si="57"/>
        <v>203.58724018338577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-1.064108801074326E-13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482.28841373508675</v>
      </c>
      <c r="AO98" s="59">
        <f t="shared" si="90"/>
        <v>746.97309214631684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241.92618229936355</v>
      </c>
      <c r="AV98" s="21">
        <f>EXP(-LN(2)/25)*AV97+(1-EXP(-LN(2)/25))/(LN(2)/25)*Calculateur!AQ98*Calculateur!AS98*VLOOKUP('Données projet'!$B$10,Paramètres!$A$1:$I$89,3,0)*0.475*44/12</f>
        <v>45.774052399323644</v>
      </c>
      <c r="AW98" s="21">
        <f>EXP(-LN(2)/2)*AW97+(1-EXP(-LN(2)/2))/(LN(2)/2)*AQ98*AT98*VLOOKUP('Données projet'!$B$10,Paramètres!$A$1:$I$89,3,0)*0.475*44/12</f>
        <v>0.11349169407034689</v>
      </c>
      <c r="AX98" s="21">
        <f t="shared" si="60"/>
        <v>287.81372639275753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-6.7984728957526396E-14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284.42619963941019</v>
      </c>
      <c r="BJ98" s="59">
        <f t="shared" si="92"/>
        <v>301.41905904220812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110.91772046279043</v>
      </c>
      <c r="BQ98" s="21">
        <f>EXP(-LN(2)/25)*BQ97+(1-EXP(-LN(2)/25))/(LN(2)/25)*Calculateur!BL98*Calculateur!BN98*VLOOKUP('Données projet'!$B$11,Paramètres!$A$1:$I$89,3,0)*0.475*44/12</f>
        <v>20.267648814708895</v>
      </c>
      <c r="BR98" s="21">
        <f>EXP(-LN(2)/2)*BR97+(1-EXP(-LN(2)/2))/(LN(2)/2)*BL98*BO98*VLOOKUP('Données projet'!$B$11,Paramètres!$A$1:$I$89,3,0)*0.475*44/12</f>
        <v>1.5341563757892318E-3</v>
      </c>
      <c r="BS98" s="22">
        <f t="shared" si="63"/>
        <v>131.1869034338751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490.96084572840579</v>
      </c>
      <c r="T99" s="59">
        <f t="shared" si="88"/>
        <v>597.91658789908263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167.86981608546438</v>
      </c>
      <c r="AA99" s="21">
        <f>EXP(-LN(2)/25)*AA98+(1-EXP(-LN(2)/25))/(LN(2)/25)*Calculateur!V99*Calculateur!X99*VLOOKUP('Données projet'!$B$9,Paramètres!$A$1:$I$89,3,0)*0.475*44/12</f>
        <v>31.47298054833982</v>
      </c>
      <c r="AB99" s="21">
        <f>EXP(-LN(2)/2)*AB98+(1-EXP(-LN(2)/2))/(LN(2)/2)*V99*Y99*VLOOKUP('Données projet'!$B$9,Paramètres!$A$1:$I$89,3,0)*0.475*44/12</f>
        <v>1.3796608925897192E-3</v>
      </c>
      <c r="AC99" s="22">
        <f t="shared" si="57"/>
        <v>199.34417629469678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-1.064108801074326E-13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482.28841373508675</v>
      </c>
      <c r="AO99" s="59">
        <f t="shared" si="90"/>
        <v>746.97309214631684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237.18215742487385</v>
      </c>
      <c r="AV99" s="21">
        <f>EXP(-LN(2)/25)*AV98+(1-EXP(-LN(2)/25))/(LN(2)/25)*Calculateur!AQ99*Calculateur!AS99*VLOOKUP('Données projet'!$B$10,Paramètres!$A$1:$I$89,3,0)*0.475*44/12</f>
        <v>44.52235852931134</v>
      </c>
      <c r="AW99" s="21">
        <f>EXP(-LN(2)/2)*AW98+(1-EXP(-LN(2)/2))/(LN(2)/2)*AQ99*AT99*VLOOKUP('Données projet'!$B$10,Paramètres!$A$1:$I$89,3,0)*0.475*44/12</f>
        <v>8.0250746485491367E-2</v>
      </c>
      <c r="AX99" s="21">
        <f t="shared" si="60"/>
        <v>281.78476670067067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-6.7984728957526396E-14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284.42619963941019</v>
      </c>
      <c r="BJ99" s="59">
        <f t="shared" si="92"/>
        <v>301.41905904220812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108.7426916176444</v>
      </c>
      <c r="BQ99" s="21">
        <f>EXP(-LN(2)/25)*BQ98+(1-EXP(-LN(2)/25))/(LN(2)/25)*Calculateur!BL99*Calculateur!BN99*VLOOKUP('Données projet'!$B$11,Paramètres!$A$1:$I$89,3,0)*0.475*44/12</f>
        <v>19.713428892041353</v>
      </c>
      <c r="BR99" s="21">
        <f>EXP(-LN(2)/2)*BR98+(1-EXP(-LN(2)/2))/(LN(2)/2)*BL99*BO99*VLOOKUP('Données projet'!$B$11,Paramètres!$A$1:$I$89,3,0)*0.475*44/12</f>
        <v>1.0848123767211431E-3</v>
      </c>
      <c r="BS99" s="22">
        <f t="shared" si="63"/>
        <v>128.45720532206246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490.96084572840579</v>
      </c>
      <c r="T100" s="59">
        <f t="shared" si="88"/>
        <v>597.91658789908263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164.57799138250601</v>
      </c>
      <c r="AA100" s="21">
        <f>EXP(-LN(2)/25)*AA99+(1-EXP(-LN(2)/25))/(LN(2)/25)*Calculateur!V100*Calculateur!X100*VLOOKUP('Données projet'!$B$9,Paramètres!$A$1:$I$89,3,0)*0.475*44/12</f>
        <v>30.612350240153354</v>
      </c>
      <c r="AB100" s="21">
        <f>EXP(-LN(2)/2)*AB99+(1-EXP(-LN(2)/2))/(LN(2)/2)*V100*Y100*VLOOKUP('Données projet'!$B$9,Paramètres!$A$1:$I$89,3,0)*0.475*44/12</f>
        <v>9.755675728880754E-4</v>
      </c>
      <c r="AC100" s="22">
        <f t="shared" si="57"/>
        <v>195.19131719023224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-1.064108801074326E-13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482.28841373508675</v>
      </c>
      <c r="AO100" s="59">
        <f t="shared" si="90"/>
        <v>746.97309214631684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232.53115998460345</v>
      </c>
      <c r="AV100" s="21">
        <f>EXP(-LN(2)/25)*AV99+(1-EXP(-LN(2)/25))/(LN(2)/25)*Calculateur!AQ100*Calculateur!AS100*VLOOKUP('Données projet'!$B$10,Paramètres!$A$1:$I$89,3,0)*0.475*44/12</f>
        <v>43.304892293998243</v>
      </c>
      <c r="AW100" s="21">
        <f>EXP(-LN(2)/2)*AW99+(1-EXP(-LN(2)/2))/(LN(2)/2)*AQ100*AT100*VLOOKUP('Données projet'!$B$10,Paramètres!$A$1:$I$89,3,0)*0.475*44/12</f>
        <v>5.6745847035173443E-2</v>
      </c>
      <c r="AX100" s="21">
        <f t="shared" si="60"/>
        <v>275.89279812563689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-6.7984728957526396E-14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284.42619963941019</v>
      </c>
      <c r="BJ100" s="59">
        <f t="shared" si="92"/>
        <v>301.41905904220812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106.61031376151507</v>
      </c>
      <c r="BQ100" s="21">
        <f>EXP(-LN(2)/25)*BQ99+(1-EXP(-LN(2)/25))/(LN(2)/25)*Calculateur!BL100*Calculateur!BN100*VLOOKUP('Données projet'!$B$11,Paramètres!$A$1:$I$89,3,0)*0.475*44/12</f>
        <v>19.174364142304313</v>
      </c>
      <c r="BR100" s="21">
        <f>EXP(-LN(2)/2)*BR99+(1-EXP(-LN(2)/2))/(LN(2)/2)*BL100*BO100*VLOOKUP('Données projet'!$B$11,Paramètres!$A$1:$I$89,3,0)*0.475*44/12</f>
        <v>7.6707818789461591E-4</v>
      </c>
      <c r="BS100" s="22">
        <f t="shared" si="63"/>
        <v>125.78544498200728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490.96084572840579</v>
      </c>
      <c r="T101" s="59">
        <f t="shared" si="88"/>
        <v>597.91658789908263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161.35071735415784</v>
      </c>
      <c r="AA101" s="21">
        <f>EXP(-LN(2)/25)*AA100+(1-EXP(-LN(2)/25))/(LN(2)/25)*Calculateur!V101*Calculateur!X101*VLOOKUP('Données projet'!$B$9,Paramètres!$A$1:$I$89,3,0)*0.475*44/12</f>
        <v>29.775253913002828</v>
      </c>
      <c r="AB101" s="21">
        <f>EXP(-LN(2)/2)*AB100+(1-EXP(-LN(2)/2))/(LN(2)/2)*V101*Y101*VLOOKUP('Données projet'!$B$9,Paramètres!$A$1:$I$89,3,0)*0.475*44/12</f>
        <v>6.8983044629485968E-4</v>
      </c>
      <c r="AC101" s="22">
        <f t="shared" si="57"/>
        <v>191.12666109760696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-1.064108801074326E-13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482.28841373508675</v>
      </c>
      <c r="AO101" s="59">
        <f t="shared" si="90"/>
        <v>746.97309214631684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227.97136576730841</v>
      </c>
      <c r="AV101" s="21">
        <f>EXP(-LN(2)/25)*AV100+(1-EXP(-LN(2)/25))/(LN(2)/25)*Calculateur!AQ101*Calculateur!AS101*VLOOKUP('Données projet'!$B$10,Paramètres!$A$1:$I$89,3,0)*0.475*44/12</f>
        <v>42.120717736913548</v>
      </c>
      <c r="AW101" s="21">
        <f>EXP(-LN(2)/2)*AW100+(1-EXP(-LN(2)/2))/(LN(2)/2)*AQ101*AT101*VLOOKUP('Données projet'!$B$10,Paramètres!$A$1:$I$89,3,0)*0.475*44/12</f>
        <v>4.0125373242745684E-2</v>
      </c>
      <c r="AX101" s="21">
        <f t="shared" si="60"/>
        <v>270.13220887746468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-6.7984728957526396E-14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284.42619963941019</v>
      </c>
      <c r="BJ101" s="59">
        <f t="shared" si="92"/>
        <v>301.41905904220812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104.51975053452239</v>
      </c>
      <c r="BQ101" s="21">
        <f>EXP(-LN(2)/25)*BQ100+(1-EXP(-LN(2)/25))/(LN(2)/25)*Calculateur!BL101*Calculateur!BN101*VLOOKUP('Données projet'!$B$11,Paramètres!$A$1:$I$89,3,0)*0.475*44/12</f>
        <v>18.650040146497016</v>
      </c>
      <c r="BR101" s="21">
        <f>EXP(-LN(2)/2)*BR100+(1-EXP(-LN(2)/2))/(LN(2)/2)*BL101*BO101*VLOOKUP('Données projet'!$B$11,Paramètres!$A$1:$I$89,3,0)*0.475*44/12</f>
        <v>5.4240618836057155E-4</v>
      </c>
      <c r="BS101" s="22">
        <f t="shared" si="63"/>
        <v>123.17033308720777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490.96084572840579</v>
      </c>
      <c r="T102" s="59">
        <f t="shared" si="88"/>
        <v>597.91658789908263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158.18672820106278</v>
      </c>
      <c r="AA102" s="21">
        <f>EXP(-LN(2)/25)*AA101+(1-EXP(-LN(2)/25))/(LN(2)/25)*Calculateur!V102*Calculateur!X102*VLOOKUP('Données projet'!$B$9,Paramètres!$A$1:$I$89,3,0)*0.475*44/12</f>
        <v>28.961048028939214</v>
      </c>
      <c r="AB102" s="21">
        <f>EXP(-LN(2)/2)*AB101+(1-EXP(-LN(2)/2))/(LN(2)/2)*V102*Y102*VLOOKUP('Données projet'!$B$9,Paramètres!$A$1:$I$89,3,0)*0.475*44/12</f>
        <v>4.8778378644403781E-4</v>
      </c>
      <c r="AC102" s="22">
        <f t="shared" si="57"/>
        <v>187.14826401378843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-1.064108801074326E-13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482.28841373508675</v>
      </c>
      <c r="AO102" s="59">
        <f t="shared" si="90"/>
        <v>746.97309214631684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223.50098633341469</v>
      </c>
      <c r="AV102" s="21">
        <f>EXP(-LN(2)/25)*AV101+(1-EXP(-LN(2)/25))/(LN(2)/25)*Calculateur!AQ102*Calculateur!AS102*VLOOKUP('Données projet'!$B$10,Paramètres!$A$1:$I$89,3,0)*0.475*44/12</f>
        <v>40.968924495365371</v>
      </c>
      <c r="AW102" s="21">
        <f>EXP(-LN(2)/2)*AW101+(1-EXP(-LN(2)/2))/(LN(2)/2)*AQ102*AT102*VLOOKUP('Données projet'!$B$10,Paramètres!$A$1:$I$89,3,0)*0.475*44/12</f>
        <v>2.8372923517586721E-2</v>
      </c>
      <c r="AX102" s="21">
        <f t="shared" si="60"/>
        <v>264.4982837522976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-6.7984728957526396E-14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284.42619963941019</v>
      </c>
      <c r="BJ102" s="59">
        <f t="shared" si="92"/>
        <v>301.41905904220812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102.47018197729336</v>
      </c>
      <c r="BQ102" s="21">
        <f>EXP(-LN(2)/25)*BQ101+(1-EXP(-LN(2)/25))/(LN(2)/25)*Calculateur!BL102*Calculateur!BN102*VLOOKUP('Données projet'!$B$11,Paramètres!$A$1:$I$89,3,0)*0.475*44/12</f>
        <v>18.14005381792807</v>
      </c>
      <c r="BR102" s="21">
        <f>EXP(-LN(2)/2)*BR101+(1-EXP(-LN(2)/2))/(LN(2)/2)*BL102*BO102*VLOOKUP('Données projet'!$B$11,Paramètres!$A$1:$I$89,3,0)*0.475*44/12</f>
        <v>3.8353909394730796E-4</v>
      </c>
      <c r="BS102" s="22">
        <f t="shared" si="63"/>
        <v>120.61061933431537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490.96084572840579</v>
      </c>
      <c r="T103" s="59">
        <f t="shared" si="88"/>
        <v>597.91658789908263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155.08478294541709</v>
      </c>
      <c r="AA103" s="21">
        <f>EXP(-LN(2)/25)*AA102+(1-EXP(-LN(2)/25))/(LN(2)/25)*Calculateur!V103*Calculateur!X103*VLOOKUP('Données projet'!$B$9,Paramètres!$A$1:$I$89,3,0)*0.475*44/12</f>
        <v>28.169106647592546</v>
      </c>
      <c r="AB103" s="21">
        <f>EXP(-LN(2)/2)*AB102+(1-EXP(-LN(2)/2))/(LN(2)/2)*V103*Y103*VLOOKUP('Données projet'!$B$9,Paramètres!$A$1:$I$89,3,0)*0.475*44/12</f>
        <v>3.449152231474299E-4</v>
      </c>
      <c r="AC103" s="22">
        <f t="shared" si="57"/>
        <v>183.25423450823277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-1.064108801074326E-13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482.28841373508675</v>
      </c>
      <c r="AO103" s="59">
        <f t="shared" si="90"/>
        <v>746.97309214631684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219.11826831355739</v>
      </c>
      <c r="AV103" s="21">
        <f>EXP(-LN(2)/25)*AV102+(1-EXP(-LN(2)/25))/(LN(2)/25)*Calculateur!AQ103*Calculateur!AS103*VLOOKUP('Données projet'!$B$10,Paramètres!$A$1:$I$89,3,0)*0.475*44/12</f>
        <v>39.848627100577502</v>
      </c>
      <c r="AW103" s="21">
        <f>EXP(-LN(2)/2)*AW102+(1-EXP(-LN(2)/2))/(LN(2)/2)*AQ103*AT103*VLOOKUP('Données projet'!$B$10,Paramètres!$A$1:$I$89,3,0)*0.475*44/12</f>
        <v>2.0062686621372842E-2</v>
      </c>
      <c r="AX103" s="21">
        <f t="shared" si="60"/>
        <v>258.98695810075628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-6.7984728957526396E-14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284.42619963941019</v>
      </c>
      <c r="BJ103" s="59">
        <f t="shared" si="92"/>
        <v>301.41905904220812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100.46080420935822</v>
      </c>
      <c r="BQ103" s="21">
        <f>EXP(-LN(2)/25)*BQ102+(1-EXP(-LN(2)/25))/(LN(2)/25)*Calculateur!BL103*Calculateur!BN103*VLOOKUP('Données projet'!$B$11,Paramètres!$A$1:$I$89,3,0)*0.475*44/12</f>
        <v>17.644013092332855</v>
      </c>
      <c r="BR103" s="21">
        <f>EXP(-LN(2)/2)*BR102+(1-EXP(-LN(2)/2))/(LN(2)/2)*BL103*BO103*VLOOKUP('Données projet'!$B$11,Paramètres!$A$1:$I$89,3,0)*0.475*44/12</f>
        <v>2.7120309418028577E-4</v>
      </c>
      <c r="BS103" s="22">
        <f t="shared" si="63"/>
        <v>118.10508850478526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490.96084572840579</v>
      </c>
      <c r="T104" s="59">
        <f t="shared" si="88"/>
        <v>597.91658789908263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152.04366494423485</v>
      </c>
      <c r="AA104" s="21">
        <f>EXP(-LN(2)/25)*AA103+(1-EXP(-LN(2)/25))/(LN(2)/25)*Calculateur!V104*Calculateur!X104*VLOOKUP('Données projet'!$B$9,Paramètres!$A$1:$I$89,3,0)*0.475*44/12</f>
        <v>27.398820944965191</v>
      </c>
      <c r="AB104" s="21">
        <f>EXP(-LN(2)/2)*AB103+(1-EXP(-LN(2)/2))/(LN(2)/2)*V104*Y104*VLOOKUP('Données projet'!$B$9,Paramètres!$A$1:$I$89,3,0)*0.475*44/12</f>
        <v>2.4389189322201893E-4</v>
      </c>
      <c r="AC104" s="22">
        <f t="shared" si="57"/>
        <v>179.44272978109328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-1.064108801074326E-13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482.28841373508675</v>
      </c>
      <c r="AO104" s="59">
        <f t="shared" si="90"/>
        <v>746.97309214631684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214.82149272087545</v>
      </c>
      <c r="AV104" s="21">
        <f>EXP(-LN(2)/25)*AV103+(1-EXP(-LN(2)/25))/(LN(2)/25)*Calculateur!AQ104*Calculateur!AS104*VLOOKUP('Données projet'!$B$10,Paramètres!$A$1:$I$89,3,0)*0.475*44/12</f>
        <v>38.758964296963988</v>
      </c>
      <c r="AW104" s="21">
        <f>EXP(-LN(2)/2)*AW103+(1-EXP(-LN(2)/2))/(LN(2)/2)*AQ104*AT104*VLOOKUP('Données projet'!$B$10,Paramètres!$A$1:$I$89,3,0)*0.475*44/12</f>
        <v>1.4186461758793361E-2</v>
      </c>
      <c r="AX104" s="21">
        <f t="shared" si="60"/>
        <v>253.59464347959823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-6.7984728957526396E-14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284.42619963941019</v>
      </c>
      <c r="BJ104" s="59">
        <f t="shared" si="92"/>
        <v>301.41905904220812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98.490829113852854</v>
      </c>
      <c r="BQ104" s="21">
        <f>EXP(-LN(2)/25)*BQ103+(1-EXP(-LN(2)/25))/(LN(2)/25)*Calculateur!BL104*Calculateur!BN104*VLOOKUP('Données projet'!$B$11,Paramètres!$A$1:$I$89,3,0)*0.475*44/12</f>
        <v>17.161536626464692</v>
      </c>
      <c r="BR104" s="21">
        <f>EXP(-LN(2)/2)*BR103+(1-EXP(-LN(2)/2))/(LN(2)/2)*BL104*BO104*VLOOKUP('Données projet'!$B$11,Paramètres!$A$1:$I$89,3,0)*0.475*44/12</f>
        <v>1.9176954697365398E-4</v>
      </c>
      <c r="BS104" s="22">
        <f t="shared" si="63"/>
        <v>115.65255750986452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490.96084572840579</v>
      </c>
      <c r="T105" s="59">
        <f t="shared" si="88"/>
        <v>597.91658789908263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149.06218141215695</v>
      </c>
      <c r="AA105" s="21">
        <f>EXP(-LN(2)/25)*AA104+(1-EXP(-LN(2)/25))/(LN(2)/25)*Calculateur!V105*Calculateur!X105*VLOOKUP('Données projet'!$B$9,Paramètres!$A$1:$I$89,3,0)*0.475*44/12</f>
        <v>26.649598745383745</v>
      </c>
      <c r="AB105" s="21">
        <f>EXP(-LN(2)/2)*AB104+(1-EXP(-LN(2)/2))/(LN(2)/2)*V105*Y105*VLOOKUP('Données projet'!$B$9,Paramètres!$A$1:$I$89,3,0)*0.475*44/12</f>
        <v>1.7245761157371498E-4</v>
      </c>
      <c r="AC105" s="22">
        <f t="shared" si="57"/>
        <v>175.71195261515226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-1.064108801074326E-13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482.28841373508675</v>
      </c>
      <c r="AO105" s="59">
        <f t="shared" si="90"/>
        <v>746.97309214631684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210.60897427679168</v>
      </c>
      <c r="AV105" s="21">
        <f>EXP(-LN(2)/25)*AV104+(1-EXP(-LN(2)/25))/(LN(2)/25)*Calculateur!AQ105*Calculateur!AS105*VLOOKUP('Données projet'!$B$10,Paramètres!$A$1:$I$89,3,0)*0.475*44/12</f>
        <v>37.699098380018164</v>
      </c>
      <c r="AW105" s="21">
        <f>EXP(-LN(2)/2)*AW104+(1-EXP(-LN(2)/2))/(LN(2)/2)*AQ105*AT105*VLOOKUP('Données projet'!$B$10,Paramètres!$A$1:$I$89,3,0)*0.475*44/12</f>
        <v>1.0031343310686421E-2</v>
      </c>
      <c r="AX105" s="21">
        <f t="shared" si="60"/>
        <v>248.31810400012054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-6.7984728957526396E-14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284.42619963941019</v>
      </c>
      <c r="BJ105" s="59">
        <f t="shared" si="92"/>
        <v>301.41905904220812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96.559484028404199</v>
      </c>
      <c r="BQ105" s="21">
        <f>EXP(-LN(2)/25)*BQ104+(1-EXP(-LN(2)/25))/(LN(2)/25)*Calculateur!BL105*Calculateur!BN105*VLOOKUP('Données projet'!$B$11,Paramètres!$A$1:$I$89,3,0)*0.475*44/12</f>
        <v>16.692253504928026</v>
      </c>
      <c r="BR105" s="21">
        <f>EXP(-LN(2)/2)*BR104+(1-EXP(-LN(2)/2))/(LN(2)/2)*BL105*BO105*VLOOKUP('Données projet'!$B$11,Paramètres!$A$1:$I$89,3,0)*0.475*44/12</f>
        <v>1.3560154709014289E-4</v>
      </c>
      <c r="BS105" s="22">
        <f t="shared" si="63"/>
        <v>113.25187313487932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490.96084572840579</v>
      </c>
      <c r="T106" s="59">
        <f t="shared" si="88"/>
        <v>597.91658789908263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146.1391629536177</v>
      </c>
      <c r="AA106" s="21">
        <f>EXP(-LN(2)/25)*AA105+(1-EXP(-LN(2)/25))/(LN(2)/25)*Calculateur!V106*Calculateur!X106*VLOOKUP('Données projet'!$B$9,Paramètres!$A$1:$I$89,3,0)*0.475*44/12</f>
        <v>25.920864066249738</v>
      </c>
      <c r="AB106" s="21">
        <f>EXP(-LN(2)/2)*AB105+(1-EXP(-LN(2)/2))/(LN(2)/2)*V106*Y106*VLOOKUP('Données projet'!$B$9,Paramètres!$A$1:$I$89,3,0)*0.475*44/12</f>
        <v>1.2194594661100949E-4</v>
      </c>
      <c r="AC106" s="22">
        <f t="shared" si="57"/>
        <v>172.06014896581405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-1.064108801074326E-13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482.28841373508675</v>
      </c>
      <c r="AO106" s="59">
        <f t="shared" si="90"/>
        <v>746.97309214631684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206.47906075001384</v>
      </c>
      <c r="AV106" s="21">
        <f>EXP(-LN(2)/25)*AV105+(1-EXP(-LN(2)/25))/(LN(2)/25)*Calculateur!AQ106*Calculateur!AS106*VLOOKUP('Données projet'!$B$10,Paramètres!$A$1:$I$89,3,0)*0.475*44/12</f>
        <v>36.668214552307148</v>
      </c>
      <c r="AW106" s="21">
        <f>EXP(-LN(2)/2)*AW105+(1-EXP(-LN(2)/2))/(LN(2)/2)*AQ106*AT106*VLOOKUP('Données projet'!$B$10,Paramètres!$A$1:$I$89,3,0)*0.475*44/12</f>
        <v>7.0932308793966803E-3</v>
      </c>
      <c r="AX106" s="21">
        <f t="shared" si="60"/>
        <v>243.1543685332004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-6.7984728957526396E-14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284.42619963941019</v>
      </c>
      <c r="BJ106" s="59">
        <f t="shared" si="92"/>
        <v>301.41905904220812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94.666011442077007</v>
      </c>
      <c r="BQ106" s="21">
        <f>EXP(-LN(2)/25)*BQ105+(1-EXP(-LN(2)/25))/(LN(2)/25)*Calculateur!BL106*Calculateur!BN106*VLOOKUP('Données projet'!$B$11,Paramètres!$A$1:$I$89,3,0)*0.475*44/12</f>
        <v>16.235802955028309</v>
      </c>
      <c r="BR106" s="21">
        <f>EXP(-LN(2)/2)*BR105+(1-EXP(-LN(2)/2))/(LN(2)/2)*BL106*BO106*VLOOKUP('Données projet'!$B$11,Paramètres!$A$1:$I$89,3,0)*0.475*44/12</f>
        <v>9.5884773486826989E-5</v>
      </c>
      <c r="BS106" s="22">
        <f t="shared" si="63"/>
        <v>110.9019102818788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490.96084572840579</v>
      </c>
      <c r="T107" s="59">
        <f t="shared" si="88"/>
        <v>597.91658789908263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143.2734631041852</v>
      </c>
      <c r="AA107" s="21">
        <f>EXP(-LN(2)/25)*AA106+(1-EXP(-LN(2)/25))/(LN(2)/25)*Calculateur!V107*Calculateur!X107*VLOOKUP('Données projet'!$B$9,Paramètres!$A$1:$I$89,3,0)*0.475*44/12</f>
        <v>25.21205667523914</v>
      </c>
      <c r="AB107" s="21">
        <f>EXP(-LN(2)/2)*AB106+(1-EXP(-LN(2)/2))/(LN(2)/2)*V107*Y107*VLOOKUP('Données projet'!$B$9,Paramètres!$A$1:$I$89,3,0)*0.475*44/12</f>
        <v>8.6228805786857501E-5</v>
      </c>
      <c r="AC107" s="22">
        <f t="shared" si="57"/>
        <v>168.48560600823015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-1.064108801074326E-13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482.28841373508675</v>
      </c>
      <c r="AO107" s="59">
        <f t="shared" si="90"/>
        <v>746.97309214631684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202.4301323084976</v>
      </c>
      <c r="AV107" s="21">
        <f>EXP(-LN(2)/25)*AV106+(1-EXP(-LN(2)/25))/(LN(2)/25)*Calculateur!AQ107*Calculateur!AS107*VLOOKUP('Données projet'!$B$10,Paramètres!$A$1:$I$89,3,0)*0.475*44/12</f>
        <v>35.665520297076711</v>
      </c>
      <c r="AW107" s="21">
        <f>EXP(-LN(2)/2)*AW106+(1-EXP(-LN(2)/2))/(LN(2)/2)*AQ107*AT107*VLOOKUP('Données projet'!$B$10,Paramètres!$A$1:$I$89,3,0)*0.475*44/12</f>
        <v>5.0156716553432104E-3</v>
      </c>
      <c r="AX107" s="21">
        <f t="shared" si="60"/>
        <v>238.10066827722966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-6.7984728957526396E-14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284.42619963941019</v>
      </c>
      <c r="BJ107" s="59">
        <f t="shared" si="92"/>
        <v>301.41905904220812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92.809668698263451</v>
      </c>
      <c r="BQ107" s="21">
        <f>EXP(-LN(2)/25)*BQ106+(1-EXP(-LN(2)/25))/(LN(2)/25)*Calculateur!BL107*Calculateur!BN107*VLOOKUP('Données projet'!$B$11,Paramètres!$A$1:$I$89,3,0)*0.475*44/12</f>
        <v>15.79183406941929</v>
      </c>
      <c r="BR107" s="21">
        <f>EXP(-LN(2)/2)*BR106+(1-EXP(-LN(2)/2))/(LN(2)/2)*BL107*BO107*VLOOKUP('Données projet'!$B$11,Paramètres!$A$1:$I$89,3,0)*0.475*44/12</f>
        <v>6.7800773545071444E-5</v>
      </c>
      <c r="BS107" s="22">
        <f t="shared" si="63"/>
        <v>108.6015705684563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490.96084572840579</v>
      </c>
      <c r="T108" s="59">
        <f t="shared" si="88"/>
        <v>597.91658789908263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140.46395788089575</v>
      </c>
      <c r="AA108" s="21">
        <f>EXP(-LN(2)/25)*AA107+(1-EXP(-LN(2)/25))/(LN(2)/25)*Calculateur!V108*Calculateur!X108*VLOOKUP('Données projet'!$B$9,Paramètres!$A$1:$I$89,3,0)*0.475*44/12</f>
        <v>24.522631659610287</v>
      </c>
      <c r="AB108" s="21">
        <f>EXP(-LN(2)/2)*AB107+(1-EXP(-LN(2)/2))/(LN(2)/2)*V108*Y108*VLOOKUP('Données projet'!$B$9,Paramètres!$A$1:$I$89,3,0)*0.475*44/12</f>
        <v>6.0972973305504753E-5</v>
      </c>
      <c r="AC108" s="22">
        <f t="shared" si="57"/>
        <v>164.98665051347933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-1.064108801074326E-13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482.28841373508675</v>
      </c>
      <c r="AO108" s="59">
        <f t="shared" si="90"/>
        <v>746.97309214631684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198.46060088411701</v>
      </c>
      <c r="AV108" s="21">
        <f>EXP(-LN(2)/25)*AV107+(1-EXP(-LN(2)/25))/(LN(2)/25)*Calculateur!AQ108*Calculateur!AS108*VLOOKUP('Données projet'!$B$10,Paramètres!$A$1:$I$89,3,0)*0.475*44/12</f>
        <v>34.690244768984954</v>
      </c>
      <c r="AW108" s="21">
        <f>EXP(-LN(2)/2)*AW107+(1-EXP(-LN(2)/2))/(LN(2)/2)*AQ108*AT108*VLOOKUP('Données projet'!$B$10,Paramètres!$A$1:$I$89,3,0)*0.475*44/12</f>
        <v>3.5466154396983402E-3</v>
      </c>
      <c r="AX108" s="21">
        <f t="shared" si="60"/>
        <v>233.15439226854164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-6.7984728957526396E-14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284.42619963941019</v>
      </c>
      <c r="BJ108" s="59">
        <f t="shared" si="92"/>
        <v>301.41905904220812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90.989727703398799</v>
      </c>
      <c r="BQ108" s="21">
        <f>EXP(-LN(2)/25)*BQ107+(1-EXP(-LN(2)/25))/(LN(2)/25)*Calculateur!BL108*Calculateur!BN108*VLOOKUP('Données projet'!$B$11,Paramètres!$A$1:$I$89,3,0)*0.475*44/12</f>
        <v>15.360005536334558</v>
      </c>
      <c r="BR108" s="21">
        <f>EXP(-LN(2)/2)*BR107+(1-EXP(-LN(2)/2))/(LN(2)/2)*BL108*BO108*VLOOKUP('Données projet'!$B$11,Paramètres!$A$1:$I$89,3,0)*0.475*44/12</f>
        <v>4.7942386743413495E-5</v>
      </c>
      <c r="BS108" s="22">
        <f t="shared" si="63"/>
        <v>106.3497811821201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490.96084572840579</v>
      </c>
      <c r="T109" s="59">
        <f t="shared" si="88"/>
        <v>597.91658789908263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137.70954534140603</v>
      </c>
      <c r="AA109" s="21">
        <f>EXP(-LN(2)/25)*AA108+(1-EXP(-LN(2)/25))/(LN(2)/25)*Calculateur!V109*Calculateur!X109*VLOOKUP('Données projet'!$B$9,Paramètres!$A$1:$I$89,3,0)*0.475*44/12</f>
        <v>23.852059007289093</v>
      </c>
      <c r="AB109" s="21">
        <f>EXP(-LN(2)/2)*AB108+(1-EXP(-LN(2)/2))/(LN(2)/2)*V109*Y109*VLOOKUP('Données projet'!$B$9,Paramètres!$A$1:$I$89,3,0)*0.475*44/12</f>
        <v>4.3114402893428757E-5</v>
      </c>
      <c r="AC109" s="22">
        <f t="shared" si="57"/>
        <v>161.56164746309801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-1.064108801074326E-13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482.28841373508675</v>
      </c>
      <c r="AO109" s="59">
        <f t="shared" si="90"/>
        <v>746.97309214631684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194.56890954979343</v>
      </c>
      <c r="AV109" s="21">
        <f>EXP(-LN(2)/25)*AV108+(1-EXP(-LN(2)/25))/(LN(2)/25)*Calculateur!AQ109*Calculateur!AS109*VLOOKUP('Données projet'!$B$10,Paramètres!$A$1:$I$89,3,0)*0.475*44/12</f>
        <v>33.741638201496372</v>
      </c>
      <c r="AW109" s="21">
        <f>EXP(-LN(2)/2)*AW108+(1-EXP(-LN(2)/2))/(LN(2)/2)*AQ109*AT109*VLOOKUP('Données projet'!$B$10,Paramètres!$A$1:$I$89,3,0)*0.475*44/12</f>
        <v>2.5078358276716052E-3</v>
      </c>
      <c r="AX109" s="21">
        <f t="shared" si="60"/>
        <v>228.31305558711747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-6.7984728957526396E-14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284.42619963941019</v>
      </c>
      <c r="BJ109" s="59">
        <f t="shared" si="92"/>
        <v>301.41905904220812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89.205474641389046</v>
      </c>
      <c r="BQ109" s="21">
        <f>EXP(-LN(2)/25)*BQ108+(1-EXP(-LN(2)/25))/(LN(2)/25)*Calculateur!BL109*Calculateur!BN109*VLOOKUP('Données projet'!$B$11,Paramètres!$A$1:$I$89,3,0)*0.475*44/12</f>
        <v>14.939985377195905</v>
      </c>
      <c r="BR109" s="21">
        <f>EXP(-LN(2)/2)*BR108+(1-EXP(-LN(2)/2))/(LN(2)/2)*BL109*BO109*VLOOKUP('Données projet'!$B$11,Paramètres!$A$1:$I$89,3,0)*0.475*44/12</f>
        <v>3.3900386772535722E-5</v>
      </c>
      <c r="BS109" s="22">
        <f t="shared" si="63"/>
        <v>104.14549391897172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490.96084572840579</v>
      </c>
      <c r="T110" s="59">
        <f t="shared" si="88"/>
        <v>597.91658789908263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135.00914515178994</v>
      </c>
      <c r="AA110" s="21">
        <f>EXP(-LN(2)/25)*AA109+(1-EXP(-LN(2)/25))/(LN(2)/25)*Calculateur!V110*Calculateur!X110*VLOOKUP('Données projet'!$B$9,Paramètres!$A$1:$I$89,3,0)*0.475*44/12</f>
        <v>23.199823199409504</v>
      </c>
      <c r="AB110" s="21">
        <f>EXP(-LN(2)/2)*AB109+(1-EXP(-LN(2)/2))/(LN(2)/2)*V110*Y110*VLOOKUP('Données projet'!$B$9,Paramètres!$A$1:$I$89,3,0)*0.475*44/12</f>
        <v>3.0486486652752383E-5</v>
      </c>
      <c r="AC110" s="22">
        <f t="shared" si="57"/>
        <v>158.2089988376861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-1.064108801074326E-13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482.28841373508675</v>
      </c>
      <c r="AO110" s="59">
        <f t="shared" si="90"/>
        <v>746.97309214631684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190.7535319088386</v>
      </c>
      <c r="AV110" s="21">
        <f>EXP(-LN(2)/25)*AV109+(1-EXP(-LN(2)/25))/(LN(2)/25)*Calculateur!AQ110*Calculateur!AS110*VLOOKUP('Données projet'!$B$10,Paramètres!$A$1:$I$89,3,0)*0.475*44/12</f>
        <v>32.818971330480821</v>
      </c>
      <c r="AW110" s="21">
        <f>EXP(-LN(2)/2)*AW109+(1-EXP(-LN(2)/2))/(LN(2)/2)*AQ110*AT110*VLOOKUP('Données projet'!$B$10,Paramètres!$A$1:$I$89,3,0)*0.475*44/12</f>
        <v>1.7733077198491701E-3</v>
      </c>
      <c r="AX110" s="21">
        <f t="shared" si="60"/>
        <v>223.57427654703926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-6.7984728957526396E-14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284.42619963941019</v>
      </c>
      <c r="BJ110" s="59">
        <f t="shared" si="92"/>
        <v>301.41905904220812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87.456209693638399</v>
      </c>
      <c r="BQ110" s="21">
        <f>EXP(-LN(2)/25)*BQ109+(1-EXP(-LN(2)/25))/(LN(2)/25)*Calculateur!BL110*Calculateur!BN110*VLOOKUP('Données projet'!$B$11,Paramètres!$A$1:$I$89,3,0)*0.475*44/12</f>
        <v>14.531450691396797</v>
      </c>
      <c r="BR110" s="21">
        <f>EXP(-LN(2)/2)*BR109+(1-EXP(-LN(2)/2))/(LN(2)/2)*BL110*BO110*VLOOKUP('Données projet'!$B$11,Paramètres!$A$1:$I$89,3,0)*0.475*44/12</f>
        <v>2.3971193371706747E-5</v>
      </c>
      <c r="BS110" s="22">
        <f t="shared" si="63"/>
        <v>101.98768435622857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490.96084572840579</v>
      </c>
      <c r="T111" s="59">
        <f t="shared" si="88"/>
        <v>597.91658789908263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132.36169816281074</v>
      </c>
      <c r="AA111" s="21">
        <f>EXP(-LN(2)/25)*AA110+(1-EXP(-LN(2)/25))/(LN(2)/25)*Calculateur!V111*Calculateur!X111*VLOOKUP('Données projet'!$B$9,Paramètres!$A$1:$I$89,3,0)*0.475*44/12</f>
        <v>22.565422813995973</v>
      </c>
      <c r="AB111" s="21">
        <f>EXP(-LN(2)/2)*AB110+(1-EXP(-LN(2)/2))/(LN(2)/2)*V111*Y111*VLOOKUP('Données projet'!$B$9,Paramètres!$A$1:$I$89,3,0)*0.475*44/12</f>
        <v>2.1557201446714382E-5</v>
      </c>
      <c r="AC111" s="22">
        <f t="shared" si="57"/>
        <v>154.92714253400817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-1.064108801074326E-13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482.28841373508675</v>
      </c>
      <c r="AO111" s="59">
        <f t="shared" si="90"/>
        <v>746.97309214631684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187.01297149627231</v>
      </c>
      <c r="AV111" s="21">
        <f>EXP(-LN(2)/25)*AV110+(1-EXP(-LN(2)/25))/(LN(2)/25)*Calculateur!AQ111*Calculateur!AS111*VLOOKUP('Données projet'!$B$10,Paramètres!$A$1:$I$89,3,0)*0.475*44/12</f>
        <v>31.921534833574128</v>
      </c>
      <c r="AW111" s="21">
        <f>EXP(-LN(2)/2)*AW110+(1-EXP(-LN(2)/2))/(LN(2)/2)*AQ111*AT111*VLOOKUP('Données projet'!$B$10,Paramètres!$A$1:$I$89,3,0)*0.475*44/12</f>
        <v>1.2539179138358026E-3</v>
      </c>
      <c r="AX111" s="21">
        <f t="shared" si="60"/>
        <v>218.93576024776027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-6.7984728957526396E-14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284.42619963941019</v>
      </c>
      <c r="BJ111" s="59">
        <f t="shared" si="92"/>
        <v>301.41905904220812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85.741246764566881</v>
      </c>
      <c r="BQ111" s="21">
        <f>EXP(-LN(2)/25)*BQ110+(1-EXP(-LN(2)/25))/(LN(2)/25)*Calculateur!BL111*Calculateur!BN111*VLOOKUP('Données projet'!$B$11,Paramètres!$A$1:$I$89,3,0)*0.475*44/12</f>
        <v>14.134087408064772</v>
      </c>
      <c r="BR111" s="21">
        <f>EXP(-LN(2)/2)*BR110+(1-EXP(-LN(2)/2))/(LN(2)/2)*BL111*BO111*VLOOKUP('Données projet'!$B$11,Paramètres!$A$1:$I$89,3,0)*0.475*44/12</f>
        <v>1.6950193386267861E-5</v>
      </c>
      <c r="BS111" s="22">
        <f t="shared" si="63"/>
        <v>99.875351122825037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490.96084572840579</v>
      </c>
      <c r="T112" s="59">
        <f t="shared" si="88"/>
        <v>597.91658789908263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129.76616599450222</v>
      </c>
      <c r="AA112" s="21">
        <f>EXP(-LN(2)/25)*AA111+(1-EXP(-LN(2)/25))/(LN(2)/25)*Calculateur!V112*Calculateur!X112*VLOOKUP('Données projet'!$B$9,Paramètres!$A$1:$I$89,3,0)*0.475*44/12</f>
        <v>21.948370140483242</v>
      </c>
      <c r="AB112" s="21">
        <f>EXP(-LN(2)/2)*AB111+(1-EXP(-LN(2)/2))/(LN(2)/2)*V112*Y112*VLOOKUP('Données projet'!$B$9,Paramètres!$A$1:$I$89,3,0)*0.475*44/12</f>
        <v>1.5243243326376193E-5</v>
      </c>
      <c r="AC112" s="22">
        <f t="shared" si="57"/>
        <v>151.71455137822878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-1.064108801074326E-13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482.28841373508675</v>
      </c>
      <c r="AO112" s="59">
        <f t="shared" si="90"/>
        <v>746.97309214631684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183.34576119187989</v>
      </c>
      <c r="AV112" s="21">
        <f>EXP(-LN(2)/25)*AV111+(1-EXP(-LN(2)/25))/(LN(2)/25)*Calculateur!AQ112*Calculateur!AS112*VLOOKUP('Données projet'!$B$10,Paramètres!$A$1:$I$89,3,0)*0.475*44/12</f>
        <v>31.048638784869485</v>
      </c>
      <c r="AW112" s="21">
        <f>EXP(-LN(2)/2)*AW111+(1-EXP(-LN(2)/2))/(LN(2)/2)*AQ112*AT112*VLOOKUP('Données projet'!$B$10,Paramètres!$A$1:$I$89,3,0)*0.475*44/12</f>
        <v>8.8665385992458504E-4</v>
      </c>
      <c r="AX112" s="21">
        <f t="shared" si="60"/>
        <v>214.39528663060932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-6.7984728957526396E-14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284.42619963941019</v>
      </c>
      <c r="BJ112" s="59">
        <f t="shared" si="92"/>
        <v>301.41905904220812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84.059913212510352</v>
      </c>
      <c r="BQ112" s="21">
        <f>EXP(-LN(2)/25)*BQ111+(1-EXP(-LN(2)/25))/(LN(2)/25)*Calculateur!BL112*Calculateur!BN112*VLOOKUP('Données projet'!$B$11,Paramètres!$A$1:$I$89,3,0)*0.475*44/12</f>
        <v>13.747590044611888</v>
      </c>
      <c r="BR112" s="21">
        <f>EXP(-LN(2)/2)*BR111+(1-EXP(-LN(2)/2))/(LN(2)/2)*BL112*BO112*VLOOKUP('Données projet'!$B$11,Paramètres!$A$1:$I$89,3,0)*0.475*44/12</f>
        <v>1.1985596685853374E-5</v>
      </c>
      <c r="BS112" s="22">
        <f t="shared" si="63"/>
        <v>97.807515242718921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490.96084572840579</v>
      </c>
      <c r="T113" s="59">
        <f t="shared" si="88"/>
        <v>597.91658789908263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127.22153062889592</v>
      </c>
      <c r="AA113" s="21">
        <f>EXP(-LN(2)/25)*AA112+(1-EXP(-LN(2)/25))/(LN(2)/25)*Calculateur!V113*Calculateur!X113*VLOOKUP('Données projet'!$B$9,Paramètres!$A$1:$I$89,3,0)*0.475*44/12</f>
        <v>21.348190804777104</v>
      </c>
      <c r="AB113" s="21">
        <f>EXP(-LN(2)/2)*AB112+(1-EXP(-LN(2)/2))/(LN(2)/2)*V113*Y113*VLOOKUP('Données projet'!$B$9,Paramètres!$A$1:$I$89,3,0)*0.475*44/12</f>
        <v>1.0778600723357193E-5</v>
      </c>
      <c r="AC113" s="22">
        <f t="shared" si="57"/>
        <v>148.56973221227372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-1.064108801074326E-13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482.28841373508675</v>
      </c>
      <c r="AO113" s="59">
        <f t="shared" si="90"/>
        <v>746.97309214631684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179.75046264477916</v>
      </c>
      <c r="AV113" s="21">
        <f>EXP(-LN(2)/25)*AV112+(1-EXP(-LN(2)/25))/(LN(2)/25)*Calculateur!AQ113*Calculateur!AS113*VLOOKUP('Données projet'!$B$10,Paramètres!$A$1:$I$89,3,0)*0.475*44/12</f>
        <v>30.199612124520279</v>
      </c>
      <c r="AW113" s="21">
        <f>EXP(-LN(2)/2)*AW112+(1-EXP(-LN(2)/2))/(LN(2)/2)*AQ113*AT113*VLOOKUP('Données projet'!$B$10,Paramètres!$A$1:$I$89,3,0)*0.475*44/12</f>
        <v>6.2695895691790131E-4</v>
      </c>
      <c r="AX113" s="21">
        <f t="shared" si="60"/>
        <v>209.95070172825638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-6.7984728957526396E-14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284.42619963941019</v>
      </c>
      <c r="BJ113" s="59">
        <f t="shared" si="92"/>
        <v>301.41905904220812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82.411549585897447</v>
      </c>
      <c r="BQ113" s="21">
        <f>EXP(-LN(2)/25)*BQ112+(1-EXP(-LN(2)/25))/(LN(2)/25)*Calculateur!BL113*Calculateur!BN113*VLOOKUP('Données projet'!$B$11,Paramètres!$A$1:$I$89,3,0)*0.475*44/12</f>
        <v>13.371661471887636</v>
      </c>
      <c r="BR113" s="21">
        <f>EXP(-LN(2)/2)*BR112+(1-EXP(-LN(2)/2))/(LN(2)/2)*BL113*BO113*VLOOKUP('Données projet'!$B$11,Paramètres!$A$1:$I$89,3,0)*0.475*44/12</f>
        <v>8.4750966931339305E-6</v>
      </c>
      <c r="BS113" s="22">
        <f t="shared" si="63"/>
        <v>95.783219532881773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490.96084572840579</v>
      </c>
      <c r="T114" s="59">
        <f t="shared" si="88"/>
        <v>597.91658789908263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124.72679401073484</v>
      </c>
      <c r="AA114" s="21">
        <f>EXP(-LN(2)/25)*AA113+(1-EXP(-LN(2)/25))/(LN(2)/25)*Calculateur!V114*Calculateur!X114*VLOOKUP('Données projet'!$B$9,Paramètres!$A$1:$I$89,3,0)*0.475*44/12</f>
        <v>20.764423404567911</v>
      </c>
      <c r="AB114" s="21">
        <f>EXP(-LN(2)/2)*AB113+(1-EXP(-LN(2)/2))/(LN(2)/2)*V114*Y114*VLOOKUP('Données projet'!$B$9,Paramètres!$A$1:$I$89,3,0)*0.475*44/12</f>
        <v>7.6216216631880976E-6</v>
      </c>
      <c r="AC114" s="22">
        <f t="shared" si="57"/>
        <v>145.49122503692442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-1.064108801074326E-13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482.28841373508675</v>
      </c>
      <c r="AO114" s="59">
        <f t="shared" si="90"/>
        <v>746.97309214631684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176.22566570927151</v>
      </c>
      <c r="AV114" s="21">
        <f>EXP(-LN(2)/25)*AV113+(1-EXP(-LN(2)/25))/(LN(2)/25)*Calculateur!AQ114*Calculateur!AS114*VLOOKUP('Données projet'!$B$10,Paramètres!$A$1:$I$89,3,0)*0.475*44/12</f>
        <v>29.373802142846692</v>
      </c>
      <c r="AW114" s="21">
        <f>EXP(-LN(2)/2)*AW113+(1-EXP(-LN(2)/2))/(LN(2)/2)*AQ114*AT114*VLOOKUP('Données projet'!$B$10,Paramètres!$A$1:$I$89,3,0)*0.475*44/12</f>
        <v>4.4332692996229252E-4</v>
      </c>
      <c r="AX114" s="21">
        <f t="shared" si="60"/>
        <v>205.59991117904818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-6.7984728957526396E-14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284.42619963941019</v>
      </c>
      <c r="BJ114" s="59">
        <f t="shared" si="92"/>
        <v>301.41905904220812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80.79550936459988</v>
      </c>
      <c r="BQ114" s="21">
        <f>EXP(-LN(2)/25)*BQ113+(1-EXP(-LN(2)/25))/(LN(2)/25)*Calculateur!BL114*Calculateur!BN114*VLOOKUP('Données projet'!$B$11,Paramètres!$A$1:$I$89,3,0)*0.475*44/12</f>
        <v>13.006012685753753</v>
      </c>
      <c r="BR114" s="21">
        <f>EXP(-LN(2)/2)*BR113+(1-EXP(-LN(2)/2))/(LN(2)/2)*BL114*BO114*VLOOKUP('Données projet'!$B$11,Paramètres!$A$1:$I$89,3,0)*0.475*44/12</f>
        <v>5.9927983429266868E-6</v>
      </c>
      <c r="BS114" s="22">
        <f t="shared" si="63"/>
        <v>93.80152804315199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490.96084572840579</v>
      </c>
      <c r="T115" s="59">
        <f t="shared" si="88"/>
        <v>597.91658789908263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122.2809776560168</v>
      </c>
      <c r="AA115" s="21">
        <f>EXP(-LN(2)/25)*AA114+(1-EXP(-LN(2)/25))/(LN(2)/25)*Calculateur!V115*Calculateur!X115*VLOOKUP('Données projet'!$B$9,Paramètres!$A$1:$I$89,3,0)*0.475*44/12</f>
        <v>20.196619154616432</v>
      </c>
      <c r="AB115" s="21">
        <f>EXP(-LN(2)/2)*AB114+(1-EXP(-LN(2)/2))/(LN(2)/2)*V115*Y115*VLOOKUP('Données projet'!$B$9,Paramètres!$A$1:$I$89,3,0)*0.475*44/12</f>
        <v>5.3893003616785972E-6</v>
      </c>
      <c r="AC115" s="22">
        <f t="shared" si="57"/>
        <v>142.47760219993359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-1.064108801074326E-13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482.28841373508675</v>
      </c>
      <c r="AO115" s="59">
        <f t="shared" si="90"/>
        <v>746.97309214631684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172.76998789175531</v>
      </c>
      <c r="AV115" s="21">
        <f>EXP(-LN(2)/25)*AV114+(1-EXP(-LN(2)/25))/(LN(2)/25)*Calculateur!AQ115*Calculateur!AS115*VLOOKUP('Données projet'!$B$10,Paramètres!$A$1:$I$89,3,0)*0.475*44/12</f>
        <v>28.570573978549429</v>
      </c>
      <c r="AW115" s="21">
        <f>EXP(-LN(2)/2)*AW114+(1-EXP(-LN(2)/2))/(LN(2)/2)*AQ115*AT115*VLOOKUP('Données projet'!$B$10,Paramètres!$A$1:$I$89,3,0)*0.475*44/12</f>
        <v>3.1347947845895065E-4</v>
      </c>
      <c r="AX115" s="21">
        <f t="shared" si="60"/>
        <v>201.34087534978318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-6.7984728957526396E-14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284.42619963941019</v>
      </c>
      <c r="BJ115" s="59">
        <f t="shared" si="92"/>
        <v>301.41905904220812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79.211158706354752</v>
      </c>
      <c r="BQ115" s="21">
        <f>EXP(-LN(2)/25)*BQ114+(1-EXP(-LN(2)/25))/(LN(2)/25)*Calculateur!BL115*Calculateur!BN115*VLOOKUP('Données projet'!$B$11,Paramètres!$A$1:$I$89,3,0)*0.475*44/12</f>
        <v>12.650362584905334</v>
      </c>
      <c r="BR115" s="21">
        <f>EXP(-LN(2)/2)*BR114+(1-EXP(-LN(2)/2))/(LN(2)/2)*BL115*BO115*VLOOKUP('Données projet'!$B$11,Paramètres!$A$1:$I$89,3,0)*0.475*44/12</f>
        <v>4.2375483465669652E-6</v>
      </c>
      <c r="BS115" s="22">
        <f t="shared" si="63"/>
        <v>91.861525528808443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490.96084572840579</v>
      </c>
      <c r="T116" s="59">
        <f t="shared" si="88"/>
        <v>597.91658789908263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119.88312226821412</v>
      </c>
      <c r="AA116" s="21">
        <f>EXP(-LN(2)/25)*AA115+(1-EXP(-LN(2)/25))/(LN(2)/25)*Calculateur!V116*Calculateur!X116*VLOOKUP('Données projet'!$B$9,Paramètres!$A$1:$I$89,3,0)*0.475*44/12</f>
        <v>19.644341541739404</v>
      </c>
      <c r="AB116" s="21">
        <f>EXP(-LN(2)/2)*AB115+(1-EXP(-LN(2)/2))/(LN(2)/2)*V116*Y116*VLOOKUP('Données projet'!$B$9,Paramètres!$A$1:$I$89,3,0)*0.475*44/12</f>
        <v>3.8108108315940496E-6</v>
      </c>
      <c r="AC116" s="22">
        <f t="shared" si="57"/>
        <v>139.52746762076436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-1.064108801074326E-13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482.28841373508675</v>
      </c>
      <c r="AO116" s="59">
        <f t="shared" si="90"/>
        <v>746.97309214631684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169.38207380848525</v>
      </c>
      <c r="AV116" s="21">
        <f>EXP(-LN(2)/25)*AV115+(1-EXP(-LN(2)/25))/(LN(2)/25)*Calculateur!AQ116*Calculateur!AS116*VLOOKUP('Données projet'!$B$10,Paramètres!$A$1:$I$89,3,0)*0.475*44/12</f>
        <v>27.789310130644807</v>
      </c>
      <c r="AW116" s="21">
        <f>EXP(-LN(2)/2)*AW115+(1-EXP(-LN(2)/2))/(LN(2)/2)*AQ116*AT116*VLOOKUP('Données projet'!$B$10,Paramètres!$A$1:$I$89,3,0)*0.475*44/12</f>
        <v>2.2166346498114626E-4</v>
      </c>
      <c r="AX116" s="21">
        <f t="shared" si="60"/>
        <v>197.17160560259504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-6.7984728957526396E-14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284.42619963941019</v>
      </c>
      <c r="BJ116" s="59">
        <f t="shared" si="92"/>
        <v>301.41905904220812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77.657876198159329</v>
      </c>
      <c r="BQ116" s="21">
        <f>EXP(-LN(2)/25)*BQ115+(1-EXP(-LN(2)/25))/(LN(2)/25)*Calculateur!BL116*Calculateur!BN116*VLOOKUP('Données projet'!$B$11,Paramètres!$A$1:$I$89,3,0)*0.475*44/12</f>
        <v>12.304437754767442</v>
      </c>
      <c r="BR116" s="21">
        <f>EXP(-LN(2)/2)*BR115+(1-EXP(-LN(2)/2))/(LN(2)/2)*BL116*BO116*VLOOKUP('Données projet'!$B$11,Paramètres!$A$1:$I$89,3,0)*0.475*44/12</f>
        <v>2.9963991714633434E-6</v>
      </c>
      <c r="BS116" s="22">
        <f t="shared" si="63"/>
        <v>89.962316949325938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490.96084572840579</v>
      </c>
      <c r="T117" s="59">
        <f t="shared" si="88"/>
        <v>597.91658789908263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117.53228736201888</v>
      </c>
      <c r="AA117" s="21">
        <f>EXP(-LN(2)/25)*AA116+(1-EXP(-LN(2)/25))/(LN(2)/25)*Calculateur!V117*Calculateur!X117*VLOOKUP('Données projet'!$B$9,Paramètres!$A$1:$I$89,3,0)*0.475*44/12</f>
        <v>19.107165989229518</v>
      </c>
      <c r="AB117" s="21">
        <f>EXP(-LN(2)/2)*AB116+(1-EXP(-LN(2)/2))/(LN(2)/2)*V117*Y117*VLOOKUP('Données projet'!$B$9,Paramètres!$A$1:$I$89,3,0)*0.475*44/12</f>
        <v>2.694650180839299E-6</v>
      </c>
      <c r="AC117" s="22">
        <f t="shared" si="57"/>
        <v>136.63945604589858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-1.064108801074326E-13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482.28841373508675</v>
      </c>
      <c r="AO117" s="59">
        <f t="shared" si="90"/>
        <v>746.97309214631684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166.06059465396459</v>
      </c>
      <c r="AV117" s="21">
        <f>EXP(-LN(2)/25)*AV116+(1-EXP(-LN(2)/25))/(LN(2)/25)*Calculateur!AQ117*Calculateur!AS117*VLOOKUP('Données projet'!$B$10,Paramètres!$A$1:$I$89,3,0)*0.475*44/12</f>
        <v>27.029409983746017</v>
      </c>
      <c r="AW117" s="21">
        <f>EXP(-LN(2)/2)*AW116+(1-EXP(-LN(2)/2))/(LN(2)/2)*AQ117*AT117*VLOOKUP('Données projet'!$B$10,Paramètres!$A$1:$I$89,3,0)*0.475*44/12</f>
        <v>1.5673973922947533E-4</v>
      </c>
      <c r="AX117" s="21">
        <f t="shared" si="60"/>
        <v>193.09016137744982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-6.7984728957526396E-14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284.42619963941019</v>
      </c>
      <c r="BJ117" s="59">
        <f t="shared" si="92"/>
        <v>301.41905904220812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76.135052612540832</v>
      </c>
      <c r="BQ117" s="21">
        <f>EXP(-LN(2)/25)*BQ116+(1-EXP(-LN(2)/25))/(LN(2)/25)*Calculateur!BL117*Calculateur!BN117*VLOOKUP('Données projet'!$B$11,Paramètres!$A$1:$I$89,3,0)*0.475*44/12</f>
        <v>11.967972257301067</v>
      </c>
      <c r="BR117" s="21">
        <f>EXP(-LN(2)/2)*BR116+(1-EXP(-LN(2)/2))/(LN(2)/2)*BL117*BO117*VLOOKUP('Données projet'!$B$11,Paramètres!$A$1:$I$89,3,0)*0.475*44/12</f>
        <v>2.1187741732834826E-6</v>
      </c>
      <c r="BS117" s="22">
        <f t="shared" si="63"/>
        <v>88.10302698861608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490.96084572840579</v>
      </c>
      <c r="T118" s="59">
        <f t="shared" si="88"/>
        <v>597.91658789908263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115.22755089446642</v>
      </c>
      <c r="AA118" s="21">
        <f>EXP(-LN(2)/25)*AA117+(1-EXP(-LN(2)/25))/(LN(2)/25)*Calculateur!V118*Calculateur!X118*VLOOKUP('Données projet'!$B$9,Paramètres!$A$1:$I$89,3,0)*0.475*44/12</f>
        <v>18.584679530451847</v>
      </c>
      <c r="AB118" s="21">
        <f>EXP(-LN(2)/2)*AB117+(1-EXP(-LN(2)/2))/(LN(2)/2)*V118*Y118*VLOOKUP('Données projet'!$B$9,Paramètres!$A$1:$I$89,3,0)*0.475*44/12</f>
        <v>1.905405415797025E-6</v>
      </c>
      <c r="AC118" s="22">
        <f t="shared" si="57"/>
        <v>133.81223233032367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-1.064108801074326E-13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482.28841373508675</v>
      </c>
      <c r="AO118" s="59">
        <f t="shared" si="90"/>
        <v>746.97309214631684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162.80424767976183</v>
      </c>
      <c r="AV118" s="21">
        <f>EXP(-LN(2)/25)*AV117+(1-EXP(-LN(2)/25))/(LN(2)/25)*Calculateur!AQ118*Calculateur!AS118*VLOOKUP('Données projet'!$B$10,Paramètres!$A$1:$I$89,3,0)*0.475*44/12</f>
        <v>26.290289346325586</v>
      </c>
      <c r="AW118" s="21">
        <f>EXP(-LN(2)/2)*AW117+(1-EXP(-LN(2)/2))/(LN(2)/2)*AQ118*AT118*VLOOKUP('Données projet'!$B$10,Paramètres!$A$1:$I$89,3,0)*0.475*44/12</f>
        <v>1.1083173249057313E-4</v>
      </c>
      <c r="AX118" s="21">
        <f t="shared" si="60"/>
        <v>189.09464785781989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-6.7984728957526396E-14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284.42619963941019</v>
      </c>
      <c r="BJ118" s="59">
        <f t="shared" si="92"/>
        <v>301.41905904220812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74.642090668605647</v>
      </c>
      <c r="BQ118" s="21">
        <f>EXP(-LN(2)/25)*BQ117+(1-EXP(-LN(2)/25))/(LN(2)/25)*Calculateur!BL118*Calculateur!BN118*VLOOKUP('Données projet'!$B$11,Paramètres!$A$1:$I$89,3,0)*0.475*44/12</f>
        <v>11.640707426556862</v>
      </c>
      <c r="BR118" s="21">
        <f>EXP(-LN(2)/2)*BR117+(1-EXP(-LN(2)/2))/(LN(2)/2)*BL118*BO118*VLOOKUP('Données projet'!$B$11,Paramètres!$A$1:$I$89,3,0)*0.475*44/12</f>
        <v>1.4981995857316717E-6</v>
      </c>
      <c r="BS118" s="22">
        <f t="shared" si="63"/>
        <v>86.282799593362085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490.96084572840579</v>
      </c>
      <c r="T119" s="59">
        <f t="shared" si="88"/>
        <v>597.91658789908263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112.96800890329222</v>
      </c>
      <c r="AA119" s="21">
        <f>EXP(-LN(2)/25)*AA118+(1-EXP(-LN(2)/25))/(LN(2)/25)*Calculateur!V119*Calculateur!X119*VLOOKUP('Données projet'!$B$9,Paramètres!$A$1:$I$89,3,0)*0.475*44/12</f>
        <v>18.076480491365821</v>
      </c>
      <c r="AB119" s="21">
        <f>EXP(-LN(2)/2)*AB118+(1-EXP(-LN(2)/2))/(LN(2)/2)*V119*Y119*VLOOKUP('Données projet'!$B$9,Paramètres!$A$1:$I$89,3,0)*0.475*44/12</f>
        <v>1.3473250904196497E-6</v>
      </c>
      <c r="AC119" s="22">
        <f t="shared" si="57"/>
        <v>131.04449074198311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-1.064108801074326E-13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482.28841373508675</v>
      </c>
      <c r="AO119" s="59">
        <f t="shared" si="90"/>
        <v>746.97309214631684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159.61175568354764</v>
      </c>
      <c r="AV119" s="21">
        <f>EXP(-LN(2)/25)*AV118+(1-EXP(-LN(2)/25))/(LN(2)/25)*Calculateur!AQ119*Calculateur!AS119*VLOOKUP('Données projet'!$B$10,Paramètres!$A$1:$I$89,3,0)*0.475*44/12</f>
        <v>25.571380001604084</v>
      </c>
      <c r="AW119" s="21">
        <f>EXP(-LN(2)/2)*AW118+(1-EXP(-LN(2)/2))/(LN(2)/2)*AQ119*AT119*VLOOKUP('Données projet'!$B$10,Paramètres!$A$1:$I$89,3,0)*0.475*44/12</f>
        <v>7.8369869614737663E-5</v>
      </c>
      <c r="AX119" s="21">
        <f t="shared" si="60"/>
        <v>185.18321405502135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-6.7984728957526396E-14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284.42619963941019</v>
      </c>
      <c r="BJ119" s="59">
        <f t="shared" si="92"/>
        <v>301.41905904220812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73.178404797774164</v>
      </c>
      <c r="BQ119" s="21">
        <f>EXP(-LN(2)/25)*BQ118+(1-EXP(-LN(2)/25))/(LN(2)/25)*Calculateur!BL119*Calculateur!BN119*VLOOKUP('Données projet'!$B$11,Paramètres!$A$1:$I$89,3,0)*0.475*44/12</f>
        <v>11.322391669819465</v>
      </c>
      <c r="BR119" s="21">
        <f>EXP(-LN(2)/2)*BR118+(1-EXP(-LN(2)/2))/(LN(2)/2)*BL119*BO119*VLOOKUP('Données projet'!$B$11,Paramètres!$A$1:$I$89,3,0)*0.475*44/12</f>
        <v>1.0593870866417413E-6</v>
      </c>
      <c r="BS119" s="22">
        <f t="shared" si="63"/>
        <v>84.500797526980719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490.96084572840579</v>
      </c>
      <c r="T120" s="59">
        <f t="shared" si="88"/>
        <v>597.91658789908263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110.75277515238041</v>
      </c>
      <c r="AA120" s="21">
        <f>EXP(-LN(2)/25)*AA119+(1-EXP(-LN(2)/25))/(LN(2)/25)*Calculateur!V120*Calculateur!X120*VLOOKUP('Données projet'!$B$9,Paramètres!$A$1:$I$89,3,0)*0.475*44/12</f>
        <v>17.582178181728629</v>
      </c>
      <c r="AB120" s="21">
        <f>EXP(-LN(2)/2)*AB119+(1-EXP(-LN(2)/2))/(LN(2)/2)*V120*Y120*VLOOKUP('Données projet'!$B$9,Paramètres!$A$1:$I$89,3,0)*0.475*44/12</f>
        <v>9.5270270789851272E-7</v>
      </c>
      <c r="AC120" s="22">
        <f t="shared" si="57"/>
        <v>128.33495428681175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-1.064108801074326E-13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482.28841373508675</v>
      </c>
      <c r="AO120" s="59">
        <f t="shared" si="90"/>
        <v>746.97309214631684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156.48186650815137</v>
      </c>
      <c r="AV120" s="21">
        <f>EXP(-LN(2)/25)*AV119+(1-EXP(-LN(2)/25))/(LN(2)/25)*Calculateur!AQ120*Calculateur!AS120*VLOOKUP('Données projet'!$B$10,Paramètres!$A$1:$I$89,3,0)*0.475*44/12</f>
        <v>24.872129270719789</v>
      </c>
      <c r="AW120" s="21">
        <f>EXP(-LN(2)/2)*AW119+(1-EXP(-LN(2)/2))/(LN(2)/2)*AQ120*AT120*VLOOKUP('Données projet'!$B$10,Paramètres!$A$1:$I$89,3,0)*0.475*44/12</f>
        <v>5.5415866245286565E-5</v>
      </c>
      <c r="AX120" s="21">
        <f t="shared" si="60"/>
        <v>181.35405119473742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-6.7984728957526396E-14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284.42619963941019</v>
      </c>
      <c r="BJ120" s="59">
        <f t="shared" si="92"/>
        <v>301.41905904220812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71.74342091410945</v>
      </c>
      <c r="BQ120" s="21">
        <f>EXP(-LN(2)/25)*BQ119+(1-EXP(-LN(2)/25))/(LN(2)/25)*Calculateur!BL120*Calculateur!BN120*VLOOKUP('Données projet'!$B$11,Paramètres!$A$1:$I$89,3,0)*0.475*44/12</f>
        <v>11.012780274189552</v>
      </c>
      <c r="BR120" s="21">
        <f>EXP(-LN(2)/2)*BR119+(1-EXP(-LN(2)/2))/(LN(2)/2)*BL120*BO120*VLOOKUP('Données projet'!$B$11,Paramètres!$A$1:$I$89,3,0)*0.475*44/12</f>
        <v>7.4909979286583585E-7</v>
      </c>
      <c r="BS120" s="22">
        <f t="shared" si="63"/>
        <v>82.756201937398799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490.96084572840579</v>
      </c>
      <c r="T121" s="59">
        <f t="shared" si="88"/>
        <v>597.91658789908263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108.58098078416481</v>
      </c>
      <c r="AA121" s="21">
        <f>EXP(-LN(2)/25)*AA120+(1-EXP(-LN(2)/25))/(LN(2)/25)*Calculateur!V121*Calculateur!X121*VLOOKUP('Données projet'!$B$9,Paramètres!$A$1:$I$89,3,0)*0.475*44/12</f>
        <v>17.101392594742695</v>
      </c>
      <c r="AB121" s="21">
        <f>EXP(-LN(2)/2)*AB120+(1-EXP(-LN(2)/2))/(LN(2)/2)*V121*Y121*VLOOKUP('Données projet'!$B$9,Paramètres!$A$1:$I$89,3,0)*0.475*44/12</f>
        <v>6.7366254520982497E-7</v>
      </c>
      <c r="AC121" s="22">
        <f t="shared" si="57"/>
        <v>125.68237405257004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-1.064108801074326E-13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482.28841373508675</v>
      </c>
      <c r="AO121" s="59">
        <f t="shared" si="90"/>
        <v>746.97309214631684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153.41335255044072</v>
      </c>
      <c r="AV121" s="21">
        <f>EXP(-LN(2)/25)*AV120+(1-EXP(-LN(2)/25))/(LN(2)/25)*Calculateur!AQ121*Calculateur!AS121*VLOOKUP('Données projet'!$B$10,Paramètres!$A$1:$I$89,3,0)*0.475*44/12</f>
        <v>24.191999587843522</v>
      </c>
      <c r="AW121" s="21">
        <f>EXP(-LN(2)/2)*AW120+(1-EXP(-LN(2)/2))/(LN(2)/2)*AQ121*AT121*VLOOKUP('Données projet'!$B$10,Paramètres!$A$1:$I$89,3,0)*0.475*44/12</f>
        <v>3.9184934807368832E-5</v>
      </c>
      <c r="AX121" s="21">
        <f t="shared" si="60"/>
        <v>177.60539132321907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-6.7984728957526396E-14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284.42619963941019</v>
      </c>
      <c r="BJ121" s="59">
        <f t="shared" si="92"/>
        <v>301.41905904220812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70.336576189149667</v>
      </c>
      <c r="BQ121" s="21">
        <f>EXP(-LN(2)/25)*BQ120+(1-EXP(-LN(2)/25))/(LN(2)/25)*Calculateur!BL121*Calculateur!BN121*VLOOKUP('Données projet'!$B$11,Paramètres!$A$1:$I$89,3,0)*0.475*44/12</f>
        <v>10.711635218454894</v>
      </c>
      <c r="BR121" s="21">
        <f>EXP(-LN(2)/2)*BR120+(1-EXP(-LN(2)/2))/(LN(2)/2)*BL121*BO121*VLOOKUP('Données projet'!$B$11,Paramètres!$A$1:$I$89,3,0)*0.475*44/12</f>
        <v>5.2969354332087065E-7</v>
      </c>
      <c r="BS121" s="22">
        <f t="shared" si="63"/>
        <v>81.048211937298092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490.96084572840579</v>
      </c>
      <c r="T122" s="59">
        <f t="shared" si="88"/>
        <v>597.91658789908263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106.45177397884616</v>
      </c>
      <c r="AA122" s="21">
        <f>EXP(-LN(2)/25)*AA121+(1-EXP(-LN(2)/25))/(LN(2)/25)*Calculateur!V122*Calculateur!X122*VLOOKUP('Données projet'!$B$9,Paramètres!$A$1:$I$89,3,0)*0.475*44/12</f>
        <v>16.633754114916304</v>
      </c>
      <c r="AB122" s="21">
        <f>EXP(-LN(2)/2)*AB121+(1-EXP(-LN(2)/2))/(LN(2)/2)*V122*Y122*VLOOKUP('Données projet'!$B$9,Paramètres!$A$1:$I$89,3,0)*0.475*44/12</f>
        <v>4.7635135394925642E-7</v>
      </c>
      <c r="AC122" s="22">
        <f t="shared" si="57"/>
        <v>123.08552857011382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-1.064108801074326E-13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482.28841373508675</v>
      </c>
      <c r="AO122" s="59">
        <f t="shared" si="90"/>
        <v>746.97309214631684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150.40501027983208</v>
      </c>
      <c r="AV122" s="21">
        <f>EXP(-LN(2)/25)*AV121+(1-EXP(-LN(2)/25))/(LN(2)/25)*Calculateur!AQ122*Calculateur!AS122*VLOOKUP('Données projet'!$B$10,Paramètres!$A$1:$I$89,3,0)*0.475*44/12</f>
        <v>23.530468086911974</v>
      </c>
      <c r="AW122" s="21">
        <f>EXP(-LN(2)/2)*AW121+(1-EXP(-LN(2)/2))/(LN(2)/2)*AQ122*AT122*VLOOKUP('Données projet'!$B$10,Paramètres!$A$1:$I$89,3,0)*0.475*44/12</f>
        <v>2.7707933122643283E-5</v>
      </c>
      <c r="AX122" s="21">
        <f t="shared" si="60"/>
        <v>173.93550607467719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-6.7984728957526396E-14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284.42619963941019</v>
      </c>
      <c r="BJ122" s="59">
        <f t="shared" si="92"/>
        <v>301.41905904220812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68.957318831155789</v>
      </c>
      <c r="BQ122" s="21">
        <f>EXP(-LN(2)/25)*BQ121+(1-EXP(-LN(2)/25))/(LN(2)/25)*Calculateur!BL122*Calculateur!BN122*VLOOKUP('Données projet'!$B$11,Paramètres!$A$1:$I$89,3,0)*0.475*44/12</f>
        <v>10.418724990105831</v>
      </c>
      <c r="BR122" s="21">
        <f>EXP(-LN(2)/2)*BR121+(1-EXP(-LN(2)/2))/(LN(2)/2)*BL122*BO122*VLOOKUP('Données projet'!$B$11,Paramètres!$A$1:$I$89,3,0)*0.475*44/12</f>
        <v>3.7454989643291793E-7</v>
      </c>
      <c r="BS122" s="22">
        <f t="shared" si="63"/>
        <v>79.376044195811517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490.96084572840579</v>
      </c>
      <c r="T123" s="59">
        <f t="shared" si="88"/>
        <v>597.91658789908263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104.36431962029189</v>
      </c>
      <c r="AA123" s="21">
        <f>EXP(-LN(2)/25)*AA122+(1-EXP(-LN(2)/25))/(LN(2)/25)*Calculateur!V123*Calculateur!X123*VLOOKUP('Données projet'!$B$9,Paramètres!$A$1:$I$89,3,0)*0.475*44/12</f>
        <v>16.178903233912806</v>
      </c>
      <c r="AB123" s="21">
        <f>EXP(-LN(2)/2)*AB122+(1-EXP(-LN(2)/2))/(LN(2)/2)*V123*Y123*VLOOKUP('Données projet'!$B$9,Paramètres!$A$1:$I$89,3,0)*0.475*44/12</f>
        <v>3.3683127260491254E-7</v>
      </c>
      <c r="AC123" s="22">
        <f t="shared" si="57"/>
        <v>120.54322319103598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-1.064108801074326E-13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482.28841373508675</v>
      </c>
      <c r="AO123" s="59">
        <f t="shared" si="90"/>
        <v>746.97309214631684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147.45565976624246</v>
      </c>
      <c r="AV123" s="21">
        <f>EXP(-LN(2)/25)*AV122+(1-EXP(-LN(2)/25))/(LN(2)/25)*Calculateur!AQ123*Calculateur!AS123*VLOOKUP('Données projet'!$B$10,Paramètres!$A$1:$I$89,3,0)*0.475*44/12</f>
        <v>22.887026199661829</v>
      </c>
      <c r="AW123" s="21">
        <f>EXP(-LN(2)/2)*AW122+(1-EXP(-LN(2)/2))/(LN(2)/2)*AQ123*AT123*VLOOKUP('Données projet'!$B$10,Paramètres!$A$1:$I$89,3,0)*0.475*44/12</f>
        <v>1.9592467403684416E-5</v>
      </c>
      <c r="AX123" s="21">
        <f t="shared" si="60"/>
        <v>170.34270555837168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-6.7984728957526396E-14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284.42619963941019</v>
      </c>
      <c r="BJ123" s="59">
        <f t="shared" si="92"/>
        <v>301.41905904220812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67.605107868688251</v>
      </c>
      <c r="BQ123" s="21">
        <f>EXP(-LN(2)/25)*BQ122+(1-EXP(-LN(2)/25))/(LN(2)/25)*Calculateur!BL123*Calculateur!BN123*VLOOKUP('Données projet'!$B$11,Paramètres!$A$1:$I$89,3,0)*0.475*44/12</f>
        <v>10.133824407354453</v>
      </c>
      <c r="BR123" s="21">
        <f>EXP(-LN(2)/2)*BR122+(1-EXP(-LN(2)/2))/(LN(2)/2)*BL123*BO123*VLOOKUP('Données projet'!$B$11,Paramètres!$A$1:$I$89,3,0)*0.475*44/12</f>
        <v>2.6484677166043533E-7</v>
      </c>
      <c r="BS123" s="22">
        <f t="shared" si="63"/>
        <v>77.738932540889479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490.96084572840579</v>
      </c>
      <c r="T124" s="59">
        <f t="shared" si="88"/>
        <v>597.91658789908263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102.31779896848744</v>
      </c>
      <c r="AA124" s="21">
        <f>EXP(-LN(2)/25)*AA123+(1-EXP(-LN(2)/25))/(LN(2)/25)*Calculateur!V124*Calculateur!X124*VLOOKUP('Données projet'!$B$9,Paramètres!$A$1:$I$89,3,0)*0.475*44/12</f>
        <v>15.736490274169917</v>
      </c>
      <c r="AB124" s="21">
        <f>EXP(-LN(2)/2)*AB123+(1-EXP(-LN(2)/2))/(LN(2)/2)*V124*Y124*VLOOKUP('Données projet'!$B$9,Paramètres!$A$1:$I$89,3,0)*0.475*44/12</f>
        <v>2.3817567697462823E-7</v>
      </c>
      <c r="AC124" s="22">
        <f t="shared" si="57"/>
        <v>118.05428948083302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-1.064108801074326E-13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482.28841373508675</v>
      </c>
      <c r="AO124" s="59">
        <f t="shared" si="90"/>
        <v>746.97309214631684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144.56414421729815</v>
      </c>
      <c r="AV124" s="21">
        <f>EXP(-LN(2)/25)*AV123+(1-EXP(-LN(2)/25))/(LN(2)/25)*Calculateur!AQ124*Calculateur!AS124*VLOOKUP('Données projet'!$B$10,Paramètres!$A$1:$I$89,3,0)*0.475*44/12</f>
        <v>22.261179264655677</v>
      </c>
      <c r="AW124" s="21">
        <f>EXP(-LN(2)/2)*AW123+(1-EXP(-LN(2)/2))/(LN(2)/2)*AQ124*AT124*VLOOKUP('Données projet'!$B$10,Paramètres!$A$1:$I$89,3,0)*0.475*44/12</f>
        <v>1.3853966561321641E-5</v>
      </c>
      <c r="AX124" s="21">
        <f t="shared" si="60"/>
        <v>166.82533733592038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-6.7984728957526396E-14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284.42619963941019</v>
      </c>
      <c r="BJ124" s="59">
        <f t="shared" si="92"/>
        <v>301.41905904220812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66.279412938427456</v>
      </c>
      <c r="BQ124" s="21">
        <f>EXP(-LN(2)/25)*BQ123+(1-EXP(-LN(2)/25))/(LN(2)/25)*Calculateur!BL124*Calculateur!BN124*VLOOKUP('Données projet'!$B$11,Paramètres!$A$1:$I$89,3,0)*0.475*44/12</f>
        <v>9.8567144460206819</v>
      </c>
      <c r="BR124" s="21">
        <f>EXP(-LN(2)/2)*BR123+(1-EXP(-LN(2)/2))/(LN(2)/2)*BL124*BO124*VLOOKUP('Données projet'!$B$11,Paramètres!$A$1:$I$89,3,0)*0.475*44/12</f>
        <v>1.8727494821645896E-7</v>
      </c>
      <c r="BS124" s="22">
        <f t="shared" si="63"/>
        <v>76.136127571723094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490.96084572840579</v>
      </c>
      <c r="T125" s="59">
        <f t="shared" si="88"/>
        <v>597.91658789908263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100.31140933841053</v>
      </c>
      <c r="AA125" s="21">
        <f>EXP(-LN(2)/25)*AA124+(1-EXP(-LN(2)/25))/(LN(2)/25)*Calculateur!V125*Calculateur!X125*VLOOKUP('Données projet'!$B$9,Paramètres!$A$1:$I$89,3,0)*0.475*44/12</f>
        <v>15.306175120076682</v>
      </c>
      <c r="AB125" s="21">
        <f>EXP(-LN(2)/2)*AB124+(1-EXP(-LN(2)/2))/(LN(2)/2)*V125*Y125*VLOOKUP('Données projet'!$B$9,Paramètres!$A$1:$I$89,3,0)*0.475*44/12</f>
        <v>1.684156363024563E-7</v>
      </c>
      <c r="AC125" s="22">
        <f t="shared" si="57"/>
        <v>115.61758462690285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-1.064108801074326E-13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482.28841373508675</v>
      </c>
      <c r="AO125" s="59">
        <f t="shared" si="90"/>
        <v>746.97309214631684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141.72932952461829</v>
      </c>
      <c r="AV125" s="21">
        <f>EXP(-LN(2)/25)*AV124+(1-EXP(-LN(2)/25))/(LN(2)/25)*Calculateur!AQ125*Calculateur!AS125*VLOOKUP('Données projet'!$B$10,Paramètres!$A$1:$I$89,3,0)*0.475*44/12</f>
        <v>21.652446146999129</v>
      </c>
      <c r="AW125" s="21">
        <f>EXP(-LN(2)/2)*AW124+(1-EXP(-LN(2)/2))/(LN(2)/2)*AQ125*AT125*VLOOKUP('Données projet'!$B$10,Paramètres!$A$1:$I$89,3,0)*0.475*44/12</f>
        <v>9.7962337018422079E-6</v>
      </c>
      <c r="AX125" s="21">
        <f t="shared" si="60"/>
        <v>163.38178546785113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-6.7984728957526396E-14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284.42619963941019</v>
      </c>
      <c r="BJ125" s="59">
        <f t="shared" si="92"/>
        <v>301.41905904220812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64.979714077155009</v>
      </c>
      <c r="BQ125" s="21">
        <f>EXP(-LN(2)/25)*BQ124+(1-EXP(-LN(2)/25))/(LN(2)/25)*Calculateur!BL125*Calculateur!BN125*VLOOKUP('Données projet'!$B$11,Paramètres!$A$1:$I$89,3,0)*0.475*44/12</f>
        <v>9.5871820711521618</v>
      </c>
      <c r="BR125" s="21">
        <f>EXP(-LN(2)/2)*BR124+(1-EXP(-LN(2)/2))/(LN(2)/2)*BL125*BO125*VLOOKUP('Données projet'!$B$11,Paramètres!$A$1:$I$89,3,0)*0.475*44/12</f>
        <v>1.3242338583021766E-7</v>
      </c>
      <c r="BS125" s="22">
        <f t="shared" si="63"/>
        <v>74.566896280730546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490.96084572840579</v>
      </c>
      <c r="T126" s="59">
        <f t="shared" si="88"/>
        <v>597.91658789908263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98.344363785202589</v>
      </c>
      <c r="AA126" s="21">
        <f>EXP(-LN(2)/25)*AA125+(1-EXP(-LN(2)/25))/(LN(2)/25)*Calculateur!V126*Calculateur!X126*VLOOKUP('Données projet'!$B$9,Paramètres!$A$1:$I$89,3,0)*0.475*44/12</f>
        <v>14.887626956501419</v>
      </c>
      <c r="AB126" s="21">
        <f>EXP(-LN(2)/2)*AB125+(1-EXP(-LN(2)/2))/(LN(2)/2)*V126*Y126*VLOOKUP('Données projet'!$B$9,Paramètres!$A$1:$I$89,3,0)*0.475*44/12</f>
        <v>1.1908783848731414E-7</v>
      </c>
      <c r="AC126" s="22">
        <f t="shared" si="57"/>
        <v>113.23199086079185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-1.064108801074326E-13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482.28841373508675</v>
      </c>
      <c r="AO126" s="59">
        <f t="shared" si="90"/>
        <v>746.97309214631684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138.95010381899567</v>
      </c>
      <c r="AV126" s="21">
        <f>EXP(-LN(2)/25)*AV125+(1-EXP(-LN(2)/25))/(LN(2)/25)*Calculateur!AQ126*Calculateur!AS126*VLOOKUP('Données projet'!$B$10,Paramètres!$A$1:$I$89,3,0)*0.475*44/12</f>
        <v>21.060358868456781</v>
      </c>
      <c r="AW126" s="21">
        <f>EXP(-LN(2)/2)*AW125+(1-EXP(-LN(2)/2))/(LN(2)/2)*AQ126*AT126*VLOOKUP('Données projet'!$B$10,Paramètres!$A$1:$I$89,3,0)*0.475*44/12</f>
        <v>6.9269832806608206E-6</v>
      </c>
      <c r="AX126" s="21">
        <f t="shared" si="60"/>
        <v>160.01046961443572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-6.7984728957526396E-14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284.42619963941019</v>
      </c>
      <c r="BJ126" s="59">
        <f t="shared" si="92"/>
        <v>301.41905904220812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63.705501517814085</v>
      </c>
      <c r="BQ126" s="21">
        <f>EXP(-LN(2)/25)*BQ125+(1-EXP(-LN(2)/25))/(LN(2)/25)*Calculateur!BL126*Calculateur!BN126*VLOOKUP('Données projet'!$B$11,Paramètres!$A$1:$I$89,3,0)*0.475*44/12</f>
        <v>9.3250200732485133</v>
      </c>
      <c r="BR126" s="21">
        <f>EXP(-LN(2)/2)*BR125+(1-EXP(-LN(2)/2))/(LN(2)/2)*BL126*BO126*VLOOKUP('Données projet'!$B$11,Paramètres!$A$1:$I$89,3,0)*0.475*44/12</f>
        <v>9.3637474108229482E-8</v>
      </c>
      <c r="BS126" s="22">
        <f t="shared" si="63"/>
        <v>73.030521684700062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490.96084572840579</v>
      </c>
      <c r="T127" s="59">
        <f t="shared" si="88"/>
        <v>597.91658789908263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96.415890795513732</v>
      </c>
      <c r="AA127" s="21">
        <f>EXP(-LN(2)/25)*AA126+(1-EXP(-LN(2)/25))/(LN(2)/25)*Calculateur!V127*Calculateur!X127*VLOOKUP('Données projet'!$B$9,Paramètres!$A$1:$I$89,3,0)*0.475*44/12</f>
        <v>14.480524014469612</v>
      </c>
      <c r="AB127" s="21">
        <f>EXP(-LN(2)/2)*AB126+(1-EXP(-LN(2)/2))/(LN(2)/2)*V127*Y127*VLOOKUP('Données projet'!$B$9,Paramètres!$A$1:$I$89,3,0)*0.475*44/12</f>
        <v>8.4207818151228161E-8</v>
      </c>
      <c r="AC127" s="22">
        <f t="shared" si="57"/>
        <v>110.89641489419115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-1.064108801074326E-13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482.28841373508675</v>
      </c>
      <c r="AO127" s="59">
        <f t="shared" si="90"/>
        <v>746.97309214631684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136.22537703430001</v>
      </c>
      <c r="AV127" s="21">
        <f>EXP(-LN(2)/25)*AV126+(1-EXP(-LN(2)/25))/(LN(2)/25)*Calculateur!AQ127*Calculateur!AS127*VLOOKUP('Données projet'!$B$10,Paramètres!$A$1:$I$89,3,0)*0.475*44/12</f>
        <v>20.484462247682693</v>
      </c>
      <c r="AW127" s="21">
        <f>EXP(-LN(2)/2)*AW126+(1-EXP(-LN(2)/2))/(LN(2)/2)*AQ127*AT127*VLOOKUP('Données projet'!$B$10,Paramètres!$A$1:$I$89,3,0)*0.475*44/12</f>
        <v>4.898116850921104E-6</v>
      </c>
      <c r="AX127" s="21">
        <f t="shared" si="60"/>
        <v>156.70984418009957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-6.7984728957526396E-14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284.42619963941019</v>
      </c>
      <c r="BJ127" s="59">
        <f t="shared" si="92"/>
        <v>301.41905904220812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62.456275489568917</v>
      </c>
      <c r="BQ127" s="21">
        <f>EXP(-LN(2)/25)*BQ126+(1-EXP(-LN(2)/25))/(LN(2)/25)*Calculateur!BL127*Calculateur!BN127*VLOOKUP('Données projet'!$B$11,Paramètres!$A$1:$I$89,3,0)*0.475*44/12</f>
        <v>9.0700269089640404</v>
      </c>
      <c r="BR127" s="21">
        <f>EXP(-LN(2)/2)*BR126+(1-EXP(-LN(2)/2))/(LN(2)/2)*BL127*BO127*VLOOKUP('Données projet'!$B$11,Paramètres!$A$1:$I$89,3,0)*0.475*44/12</f>
        <v>6.6211692915108832E-8</v>
      </c>
      <c r="BS127" s="22">
        <f t="shared" si="63"/>
        <v>71.52630246474466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490.96084572840579</v>
      </c>
      <c r="T128" s="59">
        <f t="shared" si="88"/>
        <v>597.91658789908263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94.525233984900296</v>
      </c>
      <c r="AA128" s="21">
        <f>EXP(-LN(2)/25)*AA127+(1-EXP(-LN(2)/25))/(LN(2)/25)*Calculateur!V128*Calculateur!X128*VLOOKUP('Données projet'!$B$9,Paramètres!$A$1:$I$89,3,0)*0.475*44/12</f>
        <v>14.084553323796278</v>
      </c>
      <c r="AB128" s="21">
        <f>EXP(-LN(2)/2)*AB127+(1-EXP(-LN(2)/2))/(LN(2)/2)*V128*Y128*VLOOKUP('Données projet'!$B$9,Paramètres!$A$1:$I$89,3,0)*0.475*44/12</f>
        <v>5.9543919243657078E-8</v>
      </c>
      <c r="AC128" s="22">
        <f t="shared" si="57"/>
        <v>108.6097873682405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-1.064108801074326E-13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482.28841373508675</v>
      </c>
      <c r="AO128" s="59">
        <f t="shared" si="90"/>
        <v>746.97309214631684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133.55408047993299</v>
      </c>
      <c r="AV128" s="21">
        <f>EXP(-LN(2)/25)*AV127+(1-EXP(-LN(2)/25))/(LN(2)/25)*Calculateur!AQ128*Calculateur!AS128*VLOOKUP('Données projet'!$B$10,Paramètres!$A$1:$I$89,3,0)*0.475*44/12</f>
        <v>19.924313550288758</v>
      </c>
      <c r="AW128" s="21">
        <f>EXP(-LN(2)/2)*AW127+(1-EXP(-LN(2)/2))/(LN(2)/2)*AQ128*AT128*VLOOKUP('Données projet'!$B$10,Paramètres!$A$1:$I$89,3,0)*0.475*44/12</f>
        <v>3.4634916403304103E-6</v>
      </c>
      <c r="AX128" s="21">
        <f t="shared" si="60"/>
        <v>153.4783974937134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-6.7984728957526396E-14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284.42619963941019</v>
      </c>
      <c r="BJ128" s="59">
        <f t="shared" si="92"/>
        <v>301.41905904220812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61.231546021784993</v>
      </c>
      <c r="BQ128" s="21">
        <f>EXP(-LN(2)/25)*BQ127+(1-EXP(-LN(2)/25))/(LN(2)/25)*Calculateur!BL128*Calculateur!BN128*VLOOKUP('Données projet'!$B$11,Paramètres!$A$1:$I$89,3,0)*0.475*44/12</f>
        <v>8.822006546166433</v>
      </c>
      <c r="BR128" s="21">
        <f>EXP(-LN(2)/2)*BR127+(1-EXP(-LN(2)/2))/(LN(2)/2)*BL128*BO128*VLOOKUP('Données projet'!$B$11,Paramètres!$A$1:$I$89,3,0)*0.475*44/12</f>
        <v>4.6818737054114741E-8</v>
      </c>
      <c r="BS128" s="22">
        <f t="shared" si="63"/>
        <v>70.053552614770169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490.96084572840579</v>
      </c>
      <c r="T129" s="59">
        <f t="shared" si="88"/>
        <v>597.91658789908263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92.671651801156202</v>
      </c>
      <c r="AA129" s="21">
        <f>EXP(-LN(2)/25)*AA128+(1-EXP(-LN(2)/25))/(LN(2)/25)*Calculateur!V129*Calculateur!X129*VLOOKUP('Données projet'!$B$9,Paramètres!$A$1:$I$89,3,0)*0.475*44/12</f>
        <v>13.699410472482601</v>
      </c>
      <c r="AB129" s="21">
        <f>EXP(-LN(2)/2)*AB128+(1-EXP(-LN(2)/2))/(LN(2)/2)*V129*Y129*VLOOKUP('Données projet'!$B$9,Paramètres!$A$1:$I$89,3,0)*0.475*44/12</f>
        <v>4.2103909075614087E-8</v>
      </c>
      <c r="AC129" s="22">
        <f t="shared" si="57"/>
        <v>106.37106231574271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-1.064108801074326E-13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482.28841373508675</v>
      </c>
      <c r="AO129" s="59">
        <f t="shared" si="90"/>
        <v>746.97309214631684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130.93516642166711</v>
      </c>
      <c r="AV129" s="21">
        <f>EXP(-LN(2)/25)*AV128+(1-EXP(-LN(2)/25))/(LN(2)/25)*Calculateur!AQ129*Calculateur!AS129*VLOOKUP('Données projet'!$B$10,Paramètres!$A$1:$I$89,3,0)*0.475*44/12</f>
        <v>19.379482148482001</v>
      </c>
      <c r="AW129" s="21">
        <f>EXP(-LN(2)/2)*AW128+(1-EXP(-LN(2)/2))/(LN(2)/2)*AQ129*AT129*VLOOKUP('Données projet'!$B$10,Paramètres!$A$1:$I$89,3,0)*0.475*44/12</f>
        <v>2.449058425460552E-6</v>
      </c>
      <c r="AX129" s="21">
        <f t="shared" si="60"/>
        <v>150.31465101920753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-6.7984728957526396E-14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284.42619963941019</v>
      </c>
      <c r="BJ129" s="59">
        <f t="shared" si="92"/>
        <v>301.41905904220812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60.030832751853097</v>
      </c>
      <c r="BQ129" s="21">
        <f>EXP(-LN(2)/25)*BQ128+(1-EXP(-LN(2)/25))/(LN(2)/25)*Calculateur!BL129*Calculateur!BN129*VLOOKUP('Données projet'!$B$11,Paramètres!$A$1:$I$89,3,0)*0.475*44/12</f>
        <v>8.5807683132323511</v>
      </c>
      <c r="BR129" s="21">
        <f>EXP(-LN(2)/2)*BR128+(1-EXP(-LN(2)/2))/(LN(2)/2)*BL129*BO129*VLOOKUP('Données projet'!$B$11,Paramètres!$A$1:$I$89,3,0)*0.475*44/12</f>
        <v>3.3105846457554416E-8</v>
      </c>
      <c r="BS129" s="22">
        <f t="shared" si="63"/>
        <v>68.611601098191301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490.96084572840579</v>
      </c>
      <c r="T130" s="59">
        <f t="shared" si="88"/>
        <v>597.91658789908263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90.854417233461831</v>
      </c>
      <c r="AA130" s="21">
        <f>EXP(-LN(2)/25)*AA129+(1-EXP(-LN(2)/25))/(LN(2)/25)*Calculateur!V130*Calculateur!X130*VLOOKUP('Données projet'!$B$9,Paramètres!$A$1:$I$89,3,0)*0.475*44/12</f>
        <v>13.324799372691878</v>
      </c>
      <c r="AB130" s="21">
        <f>EXP(-LN(2)/2)*AB129+(1-EXP(-LN(2)/2))/(LN(2)/2)*V130*Y130*VLOOKUP('Données projet'!$B$9,Paramètres!$A$1:$I$89,3,0)*0.475*44/12</f>
        <v>2.9771959621828546E-8</v>
      </c>
      <c r="AC130" s="22">
        <f t="shared" si="57"/>
        <v>104.17921663592567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-1.064108801074326E-13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482.28841373508675</v>
      </c>
      <c r="AO130" s="59">
        <f t="shared" si="90"/>
        <v>746.97309214631684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128.36760767070396</v>
      </c>
      <c r="AV130" s="21">
        <f>EXP(-LN(2)/25)*AV129+(1-EXP(-LN(2)/25))/(LN(2)/25)*Calculateur!AQ130*Calculateur!AS130*VLOOKUP('Données projet'!$B$10,Paramètres!$A$1:$I$89,3,0)*0.475*44/12</f>
        <v>18.849549190009085</v>
      </c>
      <c r="AW130" s="21">
        <f>EXP(-LN(2)/2)*AW129+(1-EXP(-LN(2)/2))/(LN(2)/2)*AQ130*AT130*VLOOKUP('Données projet'!$B$10,Paramètres!$A$1:$I$89,3,0)*0.475*44/12</f>
        <v>1.7317458201652052E-6</v>
      </c>
      <c r="AX130" s="21">
        <f t="shared" si="60"/>
        <v>147.21715859245884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-6.7984728957526396E-14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284.42619963941019</v>
      </c>
      <c r="BJ130" s="59">
        <f t="shared" si="92"/>
        <v>301.41905904220812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58.853664736781788</v>
      </c>
      <c r="BQ130" s="21">
        <f>EXP(-LN(2)/25)*BQ129+(1-EXP(-LN(2)/25))/(LN(2)/25)*Calculateur!BL130*Calculateur!BN130*VLOOKUP('Données projet'!$B$11,Paramètres!$A$1:$I$89,3,0)*0.475*44/12</f>
        <v>8.3461267524640181</v>
      </c>
      <c r="BR130" s="21">
        <f>EXP(-LN(2)/2)*BR129+(1-EXP(-LN(2)/2))/(LN(2)/2)*BL130*BO130*VLOOKUP('Données projet'!$B$11,Paramètres!$A$1:$I$89,3,0)*0.475*44/12</f>
        <v>2.340936852705737E-8</v>
      </c>
      <c r="BS130" s="22">
        <f t="shared" si="63"/>
        <v>67.199791512655182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490.96084572840579</v>
      </c>
      <c r="T131" s="59">
        <f t="shared" si="88"/>
        <v>597.91658789908263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89.07281752723631</v>
      </c>
      <c r="AA131" s="21">
        <f>EXP(-LN(2)/25)*AA130+(1-EXP(-LN(2)/25))/(LN(2)/25)*Calculateur!V131*Calculateur!X131*VLOOKUP('Données projet'!$B$9,Paramètres!$A$1:$I$89,3,0)*0.475*44/12</f>
        <v>12.960432033124874</v>
      </c>
      <c r="AB131" s="21">
        <f>EXP(-LN(2)/2)*AB130+(1-EXP(-LN(2)/2))/(LN(2)/2)*V131*Y131*VLOOKUP('Données projet'!$B$9,Paramètres!$A$1:$I$89,3,0)*0.475*44/12</f>
        <v>2.1051954537807047E-8</v>
      </c>
      <c r="AC131" s="22">
        <f t="shared" si="57"/>
        <v>102.03324958141314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-1.064108801074326E-13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482.28841373508675</v>
      </c>
      <c r="AO131" s="59">
        <f t="shared" si="90"/>
        <v>746.97309214631684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125.85039718079099</v>
      </c>
      <c r="AV131" s="21">
        <f>EXP(-LN(2)/25)*AV130+(1-EXP(-LN(2)/25))/(LN(2)/25)*Calculateur!AQ131*Calculateur!AS131*VLOOKUP('Données projet'!$B$10,Paramètres!$A$1:$I$89,3,0)*0.475*44/12</f>
        <v>18.334107276153578</v>
      </c>
      <c r="AW131" s="21">
        <f>EXP(-LN(2)/2)*AW130+(1-EXP(-LN(2)/2))/(LN(2)/2)*AQ131*AT131*VLOOKUP('Données projet'!$B$10,Paramètres!$A$1:$I$89,3,0)*0.475*44/12</f>
        <v>1.224529212730276E-6</v>
      </c>
      <c r="AX131" s="21">
        <f t="shared" si="60"/>
        <v>144.18450568147378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-6.7984728957526396E-14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284.42619963941019</v>
      </c>
      <c r="BJ131" s="59">
        <f t="shared" si="92"/>
        <v>301.41905904220812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57.699580268484432</v>
      </c>
      <c r="BQ131" s="21">
        <f>EXP(-LN(2)/25)*BQ130+(1-EXP(-LN(2)/25))/(LN(2)/25)*Calculateur!BL131*Calculateur!BN131*VLOOKUP('Données projet'!$B$11,Paramètres!$A$1:$I$89,3,0)*0.475*44/12</f>
        <v>8.1179014775141596</v>
      </c>
      <c r="BR131" s="21">
        <f>EXP(-LN(2)/2)*BR130+(1-EXP(-LN(2)/2))/(LN(2)/2)*BL131*BO131*VLOOKUP('Données projet'!$B$11,Paramètres!$A$1:$I$89,3,0)*0.475*44/12</f>
        <v>1.6552923228777208E-8</v>
      </c>
      <c r="BS131" s="22">
        <f t="shared" si="63"/>
        <v>65.817481762551509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490.96084572840579</v>
      </c>
      <c r="T132" s="59">
        <f t="shared" si="88"/>
        <v>597.91658789908263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87.326153904581346</v>
      </c>
      <c r="AA132" s="21">
        <f>EXP(-LN(2)/25)*AA131+(1-EXP(-LN(2)/25))/(LN(2)/25)*Calculateur!V132*Calculateur!X132*VLOOKUP('Données projet'!$B$9,Paramètres!$A$1:$I$89,3,0)*0.475*44/12</f>
        <v>12.606028337619575</v>
      </c>
      <c r="AB132" s="21">
        <f>EXP(-LN(2)/2)*AB131+(1-EXP(-LN(2)/2))/(LN(2)/2)*V132*Y132*VLOOKUP('Données projet'!$B$9,Paramètres!$A$1:$I$89,3,0)*0.475*44/12</f>
        <v>1.4885979810914275E-8</v>
      </c>
      <c r="AC132" s="22">
        <f t="shared" ref="AC132:AC153" si="111">SUM(Z132:AB132)</f>
        <v>99.932182257086907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-1.064108801074326E-13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482.28841373508675</v>
      </c>
      <c r="AO132" s="59">
        <f t="shared" si="90"/>
        <v>746.97309214631684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123.38254765323842</v>
      </c>
      <c r="AV132" s="21">
        <f>EXP(-LN(2)/25)*AV131+(1-EXP(-LN(2)/25))/(LN(2)/25)*Calculateur!AQ132*Calculateur!AS132*VLOOKUP('Données projet'!$B$10,Paramètres!$A$1:$I$89,3,0)*0.475*44/12</f>
        <v>17.832760148538359</v>
      </c>
      <c r="AW132" s="21">
        <f>EXP(-LN(2)/2)*AW131+(1-EXP(-LN(2)/2))/(LN(2)/2)*AQ132*AT132*VLOOKUP('Données projet'!$B$10,Paramètres!$A$1:$I$89,3,0)*0.475*44/12</f>
        <v>8.6587291008260258E-7</v>
      </c>
      <c r="AX132" s="21">
        <f t="shared" ref="AX132:AX153" si="114">SUM(AU132:AW132)</f>
        <v>141.21530866764971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-6.7984728957526396E-14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284.42619963941019</v>
      </c>
      <c r="BJ132" s="59">
        <f t="shared" si="92"/>
        <v>301.41905904220812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56.568126692688367</v>
      </c>
      <c r="BQ132" s="21">
        <f>EXP(-LN(2)/25)*BQ131+(1-EXP(-LN(2)/25))/(LN(2)/25)*Calculateur!BL132*Calculateur!BN132*VLOOKUP('Données projet'!$B$11,Paramètres!$A$1:$I$89,3,0)*0.475*44/12</f>
        <v>7.8959170347096501</v>
      </c>
      <c r="BR132" s="21">
        <f>EXP(-LN(2)/2)*BR131+(1-EXP(-LN(2)/2))/(LN(2)/2)*BL132*BO132*VLOOKUP('Données projet'!$B$11,Paramètres!$A$1:$I$89,3,0)*0.475*44/12</f>
        <v>1.1704684263528685E-8</v>
      </c>
      <c r="BS132" s="22">
        <f t="shared" ref="BS132:BS153" si="117">SUM(BP132:BR132)</f>
        <v>64.464043739102706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490.96084572840579</v>
      </c>
      <c r="T133" s="59">
        <f t="shared" ref="T133:T196" si="142">$T$3</f>
        <v>597.91658789908263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85.613741290207031</v>
      </c>
      <c r="AA133" s="21">
        <f>EXP(-LN(2)/25)*AA132+(1-EXP(-LN(2)/25))/(LN(2)/25)*Calculateur!V133*Calculateur!X133*VLOOKUP('Données projet'!$B$9,Paramètres!$A$1:$I$89,3,0)*0.475*44/12</f>
        <v>12.261315829805149</v>
      </c>
      <c r="AB133" s="21">
        <f>EXP(-LN(2)/2)*AB132+(1-EXP(-LN(2)/2))/(LN(2)/2)*V133*Y133*VLOOKUP('Données projet'!$B$9,Paramètres!$A$1:$I$89,3,0)*0.475*44/12</f>
        <v>1.0525977268903525E-8</v>
      </c>
      <c r="AC133" s="22">
        <f t="shared" si="111"/>
        <v>97.875057130538153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-1.064108801074326E-13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482.28841373508675</v>
      </c>
      <c r="AO133" s="59">
        <f t="shared" ref="AO133:AO196" si="144">$AO$3</f>
        <v>746.97309214631684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120.96309114968157</v>
      </c>
      <c r="AV133" s="21">
        <f>EXP(-LN(2)/25)*AV132+(1-EXP(-LN(2)/25))/(LN(2)/25)*Calculateur!AQ133*Calculateur!AS133*VLOOKUP('Données projet'!$B$10,Paramètres!$A$1:$I$89,3,0)*0.475*44/12</f>
        <v>17.345122384492477</v>
      </c>
      <c r="AW133" s="21">
        <f>EXP(-LN(2)/2)*AW132+(1-EXP(-LN(2)/2))/(LN(2)/2)*AQ133*AT133*VLOOKUP('Données projet'!$B$10,Paramètres!$A$1:$I$89,3,0)*0.475*44/12</f>
        <v>6.1226460636513799E-7</v>
      </c>
      <c r="AX133" s="21">
        <f t="shared" si="114"/>
        <v>138.30821414643867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-6.7984728957526396E-14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284.42619963941019</v>
      </c>
      <c r="BJ133" s="59">
        <f t="shared" ref="BJ133:BJ196" si="146">$BJ$3</f>
        <v>301.41905904220812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55.458860231395128</v>
      </c>
      <c r="BQ133" s="21">
        <f>EXP(-LN(2)/25)*BQ132+(1-EXP(-LN(2)/25))/(LN(2)/25)*Calculateur!BL133*Calculateur!BN133*VLOOKUP('Données projet'!$B$11,Paramètres!$A$1:$I$89,3,0)*0.475*44/12</f>
        <v>7.6800027681672844</v>
      </c>
      <c r="BR133" s="21">
        <f>EXP(-LN(2)/2)*BR132+(1-EXP(-LN(2)/2))/(LN(2)/2)*BL133*BO133*VLOOKUP('Données projet'!$B$11,Paramètres!$A$1:$I$89,3,0)*0.475*44/12</f>
        <v>8.276461614388604E-9</v>
      </c>
      <c r="BS133" s="22">
        <f t="shared" si="117"/>
        <v>63.138863007838872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490.96084572840579</v>
      </c>
      <c r="T134" s="59">
        <f t="shared" si="142"/>
        <v>597.91658789908263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83.934908042732033</v>
      </c>
      <c r="AA134" s="21">
        <f>EXP(-LN(2)/25)*AA133+(1-EXP(-LN(2)/25))/(LN(2)/25)*Calculateur!V134*Calculateur!X134*VLOOKUP('Données projet'!$B$9,Paramètres!$A$1:$I$89,3,0)*0.475*44/12</f>
        <v>11.926029503644552</v>
      </c>
      <c r="AB134" s="21">
        <f>EXP(-LN(2)/2)*AB133+(1-EXP(-LN(2)/2))/(LN(2)/2)*V134*Y134*VLOOKUP('Données projet'!$B$9,Paramètres!$A$1:$I$89,3,0)*0.475*44/12</f>
        <v>7.4429899054571389E-9</v>
      </c>
      <c r="AC134" s="22">
        <f t="shared" si="111"/>
        <v>95.860937553819582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-1.064108801074326E-13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482.28841373508675</v>
      </c>
      <c r="AO134" s="59">
        <f t="shared" si="144"/>
        <v>746.97309214631684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118.59107871243673</v>
      </c>
      <c r="AV134" s="21">
        <f>EXP(-LN(2)/25)*AV133+(1-EXP(-LN(2)/25))/(LN(2)/25)*Calculateur!AQ134*Calculateur!AS134*VLOOKUP('Données projet'!$B$10,Paramètres!$A$1:$I$89,3,0)*0.475*44/12</f>
        <v>16.870819100748186</v>
      </c>
      <c r="AW134" s="21">
        <f>EXP(-LN(2)/2)*AW133+(1-EXP(-LN(2)/2))/(LN(2)/2)*AQ134*AT134*VLOOKUP('Données projet'!$B$10,Paramètres!$A$1:$I$89,3,0)*0.475*44/12</f>
        <v>4.3293645504130129E-7</v>
      </c>
      <c r="AX134" s="21">
        <f t="shared" si="114"/>
        <v>135.46189824612136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-6.7984728957526396E-14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284.42619963941019</v>
      </c>
      <c r="BJ134" s="59">
        <f t="shared" si="146"/>
        <v>301.41905904220812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54.371345808822113</v>
      </c>
      <c r="BQ134" s="21">
        <f>EXP(-LN(2)/25)*BQ133+(1-EXP(-LN(2)/25))/(LN(2)/25)*Calculateur!BL134*Calculateur!BN134*VLOOKUP('Données projet'!$B$11,Paramètres!$A$1:$I$89,3,0)*0.475*44/12</f>
        <v>7.4699926885979577</v>
      </c>
      <c r="BR134" s="21">
        <f>EXP(-LN(2)/2)*BR133+(1-EXP(-LN(2)/2))/(LN(2)/2)*BL134*BO134*VLOOKUP('Données projet'!$B$11,Paramètres!$A$1:$I$89,3,0)*0.475*44/12</f>
        <v>5.8523421317643426E-9</v>
      </c>
      <c r="BS134" s="22">
        <f t="shared" si="117"/>
        <v>61.841338503272411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490.96084572840579</v>
      </c>
      <c r="T135" s="59">
        <f t="shared" si="142"/>
        <v>597.91658789908263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82.28899569125285</v>
      </c>
      <c r="AA135" s="21">
        <f>EXP(-LN(2)/25)*AA134+(1-EXP(-LN(2)/25))/(LN(2)/25)*Calculateur!V135*Calculateur!X135*VLOOKUP('Données projet'!$B$9,Paramètres!$A$1:$I$89,3,0)*0.475*44/12</f>
        <v>11.599911599704757</v>
      </c>
      <c r="AB135" s="21">
        <f>EXP(-LN(2)/2)*AB134+(1-EXP(-LN(2)/2))/(LN(2)/2)*V135*Y135*VLOOKUP('Données projet'!$B$9,Paramètres!$A$1:$I$89,3,0)*0.475*44/12</f>
        <v>5.2629886344517634E-9</v>
      </c>
      <c r="AC135" s="22">
        <f t="shared" si="111"/>
        <v>93.888907296220594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-1.064108801074326E-13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482.28841373508675</v>
      </c>
      <c r="AO135" s="59">
        <f t="shared" si="144"/>
        <v>746.97309214631684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116.26557999230153</v>
      </c>
      <c r="AV135" s="21">
        <f>EXP(-LN(2)/25)*AV134+(1-EXP(-LN(2)/25))/(LN(2)/25)*Calculateur!AQ135*Calculateur!AS135*VLOOKUP('Données projet'!$B$10,Paramètres!$A$1:$I$89,3,0)*0.475*44/12</f>
        <v>16.40948566524041</v>
      </c>
      <c r="AW135" s="21">
        <f>EXP(-LN(2)/2)*AW134+(1-EXP(-LN(2)/2))/(LN(2)/2)*AQ135*AT135*VLOOKUP('Données projet'!$B$10,Paramètres!$A$1:$I$89,3,0)*0.475*44/12</f>
        <v>3.06132303182569E-7</v>
      </c>
      <c r="AX135" s="21">
        <f t="shared" si="114"/>
        <v>132.67506596367426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-6.7984728957526396E-14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284.42619963941019</v>
      </c>
      <c r="BJ135" s="59">
        <f t="shared" si="146"/>
        <v>301.41905904220812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53.305156880757458</v>
      </c>
      <c r="BQ135" s="21">
        <f>EXP(-LN(2)/25)*BQ134+(1-EXP(-LN(2)/25))/(LN(2)/25)*Calculateur!BL135*Calculateur!BN135*VLOOKUP('Données projet'!$B$11,Paramètres!$A$1:$I$89,3,0)*0.475*44/12</f>
        <v>7.2657253456984039</v>
      </c>
      <c r="BR135" s="21">
        <f>EXP(-LN(2)/2)*BR134+(1-EXP(-LN(2)/2))/(LN(2)/2)*BL135*BO135*VLOOKUP('Données projet'!$B$11,Paramètres!$A$1:$I$89,3,0)*0.475*44/12</f>
        <v>4.138230807194302E-9</v>
      </c>
      <c r="BS135" s="22">
        <f t="shared" si="117"/>
        <v>60.570882230594094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490.96084572840579</v>
      </c>
      <c r="T136" s="59">
        <f t="shared" si="142"/>
        <v>597.91658789908263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80.675358677078776</v>
      </c>
      <c r="AA136" s="21">
        <f>EXP(-LN(2)/25)*AA135+(1-EXP(-LN(2)/25))/(LN(2)/25)*Calculateur!V136*Calculateur!X136*VLOOKUP('Données projet'!$B$9,Paramètres!$A$1:$I$89,3,0)*0.475*44/12</f>
        <v>11.282711406997992</v>
      </c>
      <c r="AB136" s="21">
        <f>EXP(-LN(2)/2)*AB135+(1-EXP(-LN(2)/2))/(LN(2)/2)*V136*Y136*VLOOKUP('Données projet'!$B$9,Paramètres!$A$1:$I$89,3,0)*0.475*44/12</f>
        <v>3.7214949527285699E-9</v>
      </c>
      <c r="AC136" s="22">
        <f t="shared" si="111"/>
        <v>91.958070087798262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-1.064108801074326E-13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482.28841373508675</v>
      </c>
      <c r="AO136" s="59">
        <f t="shared" si="144"/>
        <v>746.97309214631684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113.98568288365401</v>
      </c>
      <c r="AV136" s="21">
        <f>EXP(-LN(2)/25)*AV135+(1-EXP(-LN(2)/25))/(LN(2)/25)*Calculateur!AQ136*Calculateur!AS136*VLOOKUP('Données projet'!$B$10,Paramètres!$A$1:$I$89,3,0)*0.475*44/12</f>
        <v>15.960767416787064</v>
      </c>
      <c r="AW136" s="21">
        <f>EXP(-LN(2)/2)*AW135+(1-EXP(-LN(2)/2))/(LN(2)/2)*AQ136*AT136*VLOOKUP('Données projet'!$B$10,Paramètres!$A$1:$I$89,3,0)*0.475*44/12</f>
        <v>2.1646822752065064E-7</v>
      </c>
      <c r="AX136" s="21">
        <f t="shared" si="114"/>
        <v>129.94645051690932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-6.7984728957526396E-14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284.42619963941019</v>
      </c>
      <c r="BJ136" s="59">
        <f t="shared" si="146"/>
        <v>301.41905904220812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52.259875267261116</v>
      </c>
      <c r="BQ136" s="21">
        <f>EXP(-LN(2)/25)*BQ135+(1-EXP(-LN(2)/25))/(LN(2)/25)*Calculateur!BL136*Calculateur!BN136*VLOOKUP('Données projet'!$B$11,Paramètres!$A$1:$I$89,3,0)*0.475*44/12</f>
        <v>7.0670437040323915</v>
      </c>
      <c r="BR136" s="21">
        <f>EXP(-LN(2)/2)*BR135+(1-EXP(-LN(2)/2))/(LN(2)/2)*BL136*BO136*VLOOKUP('Données projet'!$B$11,Paramètres!$A$1:$I$89,3,0)*0.475*44/12</f>
        <v>2.9261710658821713E-9</v>
      </c>
      <c r="BS136" s="22">
        <f t="shared" si="117"/>
        <v>59.32691897421968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490.96084572840579</v>
      </c>
      <c r="T137" s="59">
        <f t="shared" si="142"/>
        <v>597.91658789908263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79.093364100531261</v>
      </c>
      <c r="AA137" s="21">
        <f>EXP(-LN(2)/25)*AA136+(1-EXP(-LN(2)/25))/(LN(2)/25)*Calculateur!V137*Calculateur!X137*VLOOKUP('Données projet'!$B$9,Paramètres!$A$1:$I$89,3,0)*0.475*44/12</f>
        <v>10.974185070241626</v>
      </c>
      <c r="AB137" s="21">
        <f>EXP(-LN(2)/2)*AB136+(1-EXP(-LN(2)/2))/(LN(2)/2)*V137*Y137*VLOOKUP('Données projet'!$B$9,Paramètres!$A$1:$I$89,3,0)*0.475*44/12</f>
        <v>2.6314943172258821E-9</v>
      </c>
      <c r="AC137" s="22">
        <f t="shared" si="111"/>
        <v>90.067549173404387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-1.064108801074326E-13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482.28841373508675</v>
      </c>
      <c r="AO137" s="59">
        <f t="shared" si="144"/>
        <v>746.97309214631684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111.75049316670714</v>
      </c>
      <c r="AV137" s="21">
        <f>EXP(-LN(2)/25)*AV136+(1-EXP(-LN(2)/25))/(LN(2)/25)*Calculateur!AQ137*Calculateur!AS137*VLOOKUP('Données projet'!$B$10,Paramètres!$A$1:$I$89,3,0)*0.475*44/12</f>
        <v>15.524319392434743</v>
      </c>
      <c r="AW137" s="21">
        <f>EXP(-LN(2)/2)*AW136+(1-EXP(-LN(2)/2))/(LN(2)/2)*AQ137*AT137*VLOOKUP('Données projet'!$B$10,Paramètres!$A$1:$I$89,3,0)*0.475*44/12</f>
        <v>1.530661515912845E-7</v>
      </c>
      <c r="AX137" s="21">
        <f t="shared" si="114"/>
        <v>127.27481271220805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-6.7984728957526396E-14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284.42619963941019</v>
      </c>
      <c r="BJ137" s="59">
        <f t="shared" si="146"/>
        <v>301.41905904220812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51.235090988646604</v>
      </c>
      <c r="BQ137" s="21">
        <f>EXP(-LN(2)/25)*BQ136+(1-EXP(-LN(2)/25))/(LN(2)/25)*Calculateur!BL137*Calculateur!BN137*VLOOKUP('Données projet'!$B$11,Paramètres!$A$1:$I$89,3,0)*0.475*44/12</f>
        <v>6.8737950223059494</v>
      </c>
      <c r="BR137" s="21">
        <f>EXP(-LN(2)/2)*BR136+(1-EXP(-LN(2)/2))/(LN(2)/2)*BL137*BO137*VLOOKUP('Données projet'!$B$11,Paramètres!$A$1:$I$89,3,0)*0.475*44/12</f>
        <v>2.069115403597151E-9</v>
      </c>
      <c r="BS137" s="22">
        <f t="shared" si="117"/>
        <v>58.108886013021667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490.96084572840579</v>
      </c>
      <c r="T138" s="59">
        <f t="shared" si="142"/>
        <v>597.91658789908263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77.542391472708417</v>
      </c>
      <c r="AA138" s="21">
        <f>EXP(-LN(2)/25)*AA137+(1-EXP(-LN(2)/25))/(LN(2)/25)*Calculateur!V138*Calculateur!X138*VLOOKUP('Données projet'!$B$9,Paramètres!$A$1:$I$89,3,0)*0.475*44/12</f>
        <v>10.674095402388557</v>
      </c>
      <c r="AB138" s="21">
        <f>EXP(-LN(2)/2)*AB137+(1-EXP(-LN(2)/2))/(LN(2)/2)*V138*Y138*VLOOKUP('Données projet'!$B$9,Paramètres!$A$1:$I$89,3,0)*0.475*44/12</f>
        <v>1.8607474763642851E-9</v>
      </c>
      <c r="AC138" s="22">
        <f t="shared" si="111"/>
        <v>88.216486876957717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-1.064108801074326E-13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482.28841373508675</v>
      </c>
      <c r="AO138" s="59">
        <f t="shared" si="144"/>
        <v>746.97309214631684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109.5591341567785</v>
      </c>
      <c r="AV138" s="21">
        <f>EXP(-LN(2)/25)*AV137+(1-EXP(-LN(2)/25))/(LN(2)/25)*Calculateur!AQ138*Calculateur!AS138*VLOOKUP('Données projet'!$B$10,Paramètres!$A$1:$I$89,3,0)*0.475*44/12</f>
        <v>15.099806062260139</v>
      </c>
      <c r="AW138" s="21">
        <f>EXP(-LN(2)/2)*AW137+(1-EXP(-LN(2)/2))/(LN(2)/2)*AQ138*AT138*VLOOKUP('Données projet'!$B$10,Paramètres!$A$1:$I$89,3,0)*0.475*44/12</f>
        <v>1.0823411376032532E-7</v>
      </c>
      <c r="AX138" s="21">
        <f t="shared" si="114"/>
        <v>124.65894032727276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-6.7984728957526396E-14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284.42619963941019</v>
      </c>
      <c r="BJ138" s="59">
        <f t="shared" si="146"/>
        <v>301.41905904220812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50.230402104679037</v>
      </c>
      <c r="BQ138" s="21">
        <f>EXP(-LN(2)/25)*BQ137+(1-EXP(-LN(2)/25))/(LN(2)/25)*Calculateur!BL138*Calculateur!BN138*VLOOKUP('Données projet'!$B$11,Paramètres!$A$1:$I$89,3,0)*0.475*44/12</f>
        <v>6.6858307359438234</v>
      </c>
      <c r="BR138" s="21">
        <f>EXP(-LN(2)/2)*BR137+(1-EXP(-LN(2)/2))/(LN(2)/2)*BL138*BO138*VLOOKUP('Données projet'!$B$11,Paramètres!$A$1:$I$89,3,0)*0.475*44/12</f>
        <v>1.4630855329410856E-9</v>
      </c>
      <c r="BS138" s="22">
        <f t="shared" si="117"/>
        <v>56.916232842085947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490.96084572840579</v>
      </c>
      <c r="T139" s="59">
        <f t="shared" si="142"/>
        <v>597.91658789908263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76.021832472117296</v>
      </c>
      <c r="AA139" s="21">
        <f>EXP(-LN(2)/25)*AA138+(1-EXP(-LN(2)/25))/(LN(2)/25)*Calculateur!V139*Calculateur!X139*VLOOKUP('Données projet'!$B$9,Paramètres!$A$1:$I$89,3,0)*0.475*44/12</f>
        <v>10.382211702283961</v>
      </c>
      <c r="AB139" s="21">
        <f>EXP(-LN(2)/2)*AB138+(1-EXP(-LN(2)/2))/(LN(2)/2)*V139*Y139*VLOOKUP('Données projet'!$B$9,Paramètres!$A$1:$I$89,3,0)*0.475*44/12</f>
        <v>1.3157471586129413E-9</v>
      </c>
      <c r="AC139" s="22">
        <f t="shared" si="111"/>
        <v>86.404044175717004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-1.064108801074326E-13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482.28841373508675</v>
      </c>
      <c r="AO139" s="59">
        <f t="shared" si="144"/>
        <v>746.97309214631684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107.41074636043754</v>
      </c>
      <c r="AV139" s="21">
        <f>EXP(-LN(2)/25)*AV138+(1-EXP(-LN(2)/25))/(LN(2)/25)*Calculateur!AQ139*Calculateur!AS139*VLOOKUP('Données projet'!$B$10,Paramètres!$A$1:$I$89,3,0)*0.475*44/12</f>
        <v>14.686901071423346</v>
      </c>
      <c r="AW139" s="21">
        <f>EXP(-LN(2)/2)*AW138+(1-EXP(-LN(2)/2))/(LN(2)/2)*AQ139*AT139*VLOOKUP('Données projet'!$B$10,Paramètres!$A$1:$I$89,3,0)*0.475*44/12</f>
        <v>7.6533075795642249E-8</v>
      </c>
      <c r="AX139" s="21">
        <f t="shared" si="114"/>
        <v>122.09764750839396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-6.7984728957526396E-14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284.42619963941019</v>
      </c>
      <c r="BJ139" s="59">
        <f t="shared" si="146"/>
        <v>301.41905904220812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49.245414556926363</v>
      </c>
      <c r="BQ139" s="21">
        <f>EXP(-LN(2)/25)*BQ138+(1-EXP(-LN(2)/25))/(LN(2)/25)*Calculateur!BL139*Calculateur!BN139*VLOOKUP('Données projet'!$B$11,Paramètres!$A$1:$I$89,3,0)*0.475*44/12</f>
        <v>6.5030063428768816</v>
      </c>
      <c r="BR139" s="21">
        <f>EXP(-LN(2)/2)*BR138+(1-EXP(-LN(2)/2))/(LN(2)/2)*BL139*BO139*VLOOKUP('Données projet'!$B$11,Paramètres!$A$1:$I$89,3,0)*0.475*44/12</f>
        <v>1.0345577017985755E-9</v>
      </c>
      <c r="BS139" s="22">
        <f t="shared" si="117"/>
        <v>55.7484209008378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490.96084572840579</v>
      </c>
      <c r="T140" s="59">
        <f t="shared" si="142"/>
        <v>597.91658789908263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74.531090706078345</v>
      </c>
      <c r="AA140" s="21">
        <f>EXP(-LN(2)/25)*AA139+(1-EXP(-LN(2)/25))/(LN(2)/25)*Calculateur!V140*Calculateur!X140*VLOOKUP('Données projet'!$B$9,Paramètres!$A$1:$I$89,3,0)*0.475*44/12</f>
        <v>10.098309577308221</v>
      </c>
      <c r="AB140" s="21">
        <f>EXP(-LN(2)/2)*AB139+(1-EXP(-LN(2)/2))/(LN(2)/2)*V140*Y140*VLOOKUP('Données projet'!$B$9,Paramètres!$A$1:$I$89,3,0)*0.475*44/12</f>
        <v>9.3037373818214278E-10</v>
      </c>
      <c r="AC140" s="22">
        <f t="shared" si="111"/>
        <v>84.62940028431693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-1.064108801074326E-13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482.28841373508675</v>
      </c>
      <c r="AO140" s="59">
        <f t="shared" si="144"/>
        <v>746.97309214631684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105.30448713839566</v>
      </c>
      <c r="AV140" s="21">
        <f>EXP(-LN(2)/25)*AV139+(1-EXP(-LN(2)/25))/(LN(2)/25)*Calculateur!AQ140*Calculateur!AS140*VLOOKUP('Données projet'!$B$10,Paramètres!$A$1:$I$89,3,0)*0.475*44/12</f>
        <v>14.285286989274715</v>
      </c>
      <c r="AW140" s="21">
        <f>EXP(-LN(2)/2)*AW139+(1-EXP(-LN(2)/2))/(LN(2)/2)*AQ140*AT140*VLOOKUP('Données projet'!$B$10,Paramètres!$A$1:$I$89,3,0)*0.475*44/12</f>
        <v>5.4117056880162661E-8</v>
      </c>
      <c r="AX140" s="21">
        <f t="shared" si="114"/>
        <v>119.58977418178742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-6.7984728957526396E-14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284.42619963941019</v>
      </c>
      <c r="BJ140" s="59">
        <f t="shared" si="146"/>
        <v>301.41905904220812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48.279742014202036</v>
      </c>
      <c r="BQ140" s="21">
        <f>EXP(-LN(2)/25)*BQ139+(1-EXP(-LN(2)/25))/(LN(2)/25)*Calculateur!BL140*Calculateur!BN140*VLOOKUP('Données projet'!$B$11,Paramètres!$A$1:$I$89,3,0)*0.475*44/12</f>
        <v>6.3251812924526725</v>
      </c>
      <c r="BR140" s="21">
        <f>EXP(-LN(2)/2)*BR139+(1-EXP(-LN(2)/2))/(LN(2)/2)*BL140*BO140*VLOOKUP('Données projet'!$B$11,Paramètres!$A$1:$I$89,3,0)*0.475*44/12</f>
        <v>7.3154276647054282E-10</v>
      </c>
      <c r="BS140" s="22">
        <f t="shared" si="117"/>
        <v>54.604923307386251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490.96084572840579</v>
      </c>
      <c r="T141" s="59">
        <f t="shared" si="142"/>
        <v>597.91658789908263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73.069581476808736</v>
      </c>
      <c r="AA141" s="21">
        <f>EXP(-LN(2)/25)*AA140+(1-EXP(-LN(2)/25))/(LN(2)/25)*Calculateur!V141*Calculateur!X141*VLOOKUP('Données projet'!$B$9,Paramètres!$A$1:$I$89,3,0)*0.475*44/12</f>
        <v>9.8221707708697075</v>
      </c>
      <c r="AB141" s="21">
        <f>EXP(-LN(2)/2)*AB140+(1-EXP(-LN(2)/2))/(LN(2)/2)*V141*Y141*VLOOKUP('Données projet'!$B$9,Paramètres!$A$1:$I$89,3,0)*0.475*44/12</f>
        <v>6.5787357930647073E-10</v>
      </c>
      <c r="AC141" s="22">
        <f t="shared" si="111"/>
        <v>82.891752248336317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-1.064108801074326E-13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482.28841373508675</v>
      </c>
      <c r="AO141" s="59">
        <f t="shared" si="144"/>
        <v>746.97309214631684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103.23953037500675</v>
      </c>
      <c r="AV141" s="21">
        <f>EXP(-LN(2)/25)*AV140+(1-EXP(-LN(2)/25))/(LN(2)/25)*Calculateur!AQ141*Calculateur!AS141*VLOOKUP('Données projet'!$B$10,Paramètres!$A$1:$I$89,3,0)*0.475*44/12</f>
        <v>13.894655065322404</v>
      </c>
      <c r="AW141" s="21">
        <f>EXP(-LN(2)/2)*AW140+(1-EXP(-LN(2)/2))/(LN(2)/2)*AQ141*AT141*VLOOKUP('Données projet'!$B$10,Paramètres!$A$1:$I$89,3,0)*0.475*44/12</f>
        <v>3.8266537897821125E-8</v>
      </c>
      <c r="AX141" s="21">
        <f t="shared" si="114"/>
        <v>117.1341854785957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-6.7984728957526396E-14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284.42619963941019</v>
      </c>
      <c r="BJ141" s="59">
        <f t="shared" si="146"/>
        <v>301.41905904220812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47.33300572103844</v>
      </c>
      <c r="BQ141" s="21">
        <f>EXP(-LN(2)/25)*BQ140+(1-EXP(-LN(2)/25))/(LN(2)/25)*Calculateur!BL141*Calculateur!BN141*VLOOKUP('Données projet'!$B$11,Paramètres!$A$1:$I$89,3,0)*0.475*44/12</f>
        <v>6.1522188773837261</v>
      </c>
      <c r="BR141" s="21">
        <f>EXP(-LN(2)/2)*BR140+(1-EXP(-LN(2)/2))/(LN(2)/2)*BL141*BO141*VLOOKUP('Données projet'!$B$11,Paramètres!$A$1:$I$89,3,0)*0.475*44/12</f>
        <v>5.1727885089928775E-10</v>
      </c>
      <c r="BS141" s="22">
        <f t="shared" si="117"/>
        <v>53.485224598939446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490.96084572840579</v>
      </c>
      <c r="T142" s="59">
        <f t="shared" si="142"/>
        <v>597.91658789908263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71.636731552092485</v>
      </c>
      <c r="AA142" s="21">
        <f>EXP(-LN(2)/25)*AA141+(1-EXP(-LN(2)/25))/(LN(2)/25)*Calculateur!V142*Calculateur!X142*VLOOKUP('Données projet'!$B$9,Paramètres!$A$1:$I$89,3,0)*0.475*44/12</f>
        <v>9.5535829946147626</v>
      </c>
      <c r="AB142" s="21">
        <f>EXP(-LN(2)/2)*AB141+(1-EXP(-LN(2)/2))/(LN(2)/2)*V142*Y142*VLOOKUP('Données projet'!$B$9,Paramètres!$A$1:$I$89,3,0)*0.475*44/12</f>
        <v>4.6518686909107144E-10</v>
      </c>
      <c r="AC142" s="22">
        <f t="shared" si="111"/>
        <v>81.190314547172434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-1.064108801074326E-13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482.28841373508675</v>
      </c>
      <c r="AO142" s="59">
        <f t="shared" si="144"/>
        <v>746.97309214631684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101.21506615424863</v>
      </c>
      <c r="AV142" s="21">
        <f>EXP(-LN(2)/25)*AV141+(1-EXP(-LN(2)/25))/(LN(2)/25)*Calculateur!AQ142*Calculateur!AS142*VLOOKUP('Données projet'!$B$10,Paramètres!$A$1:$I$89,3,0)*0.475*44/12</f>
        <v>13.514704991873009</v>
      </c>
      <c r="AW142" s="21">
        <f>EXP(-LN(2)/2)*AW141+(1-EXP(-LN(2)/2))/(LN(2)/2)*AQ142*AT142*VLOOKUP('Données projet'!$B$10,Paramètres!$A$1:$I$89,3,0)*0.475*44/12</f>
        <v>2.7058528440081331E-8</v>
      </c>
      <c r="AX142" s="21">
        <f t="shared" si="114"/>
        <v>114.72977117318017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-6.7984728957526396E-14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284.42619963941019</v>
      </c>
      <c r="BJ142" s="59">
        <f t="shared" si="146"/>
        <v>301.41905904220812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46.404834349131661</v>
      </c>
      <c r="BQ142" s="21">
        <f>EXP(-LN(2)/25)*BQ141+(1-EXP(-LN(2)/25))/(LN(2)/25)*Calculateur!BL142*Calculateur!BN142*VLOOKUP('Données projet'!$B$11,Paramètres!$A$1:$I$89,3,0)*0.475*44/12</f>
        <v>5.983986128650538</v>
      </c>
      <c r="BR142" s="21">
        <f>EXP(-LN(2)/2)*BR141+(1-EXP(-LN(2)/2))/(LN(2)/2)*BL142*BO142*VLOOKUP('Données projet'!$B$11,Paramètres!$A$1:$I$89,3,0)*0.475*44/12</f>
        <v>3.6577138323527141E-10</v>
      </c>
      <c r="BS142" s="22">
        <f t="shared" si="117"/>
        <v>52.38882047814797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490.96084572840579</v>
      </c>
      <c r="T143" s="59">
        <f t="shared" si="142"/>
        <v>597.91658789908263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70.23197894044776</v>
      </c>
      <c r="AA143" s="21">
        <f>EXP(-LN(2)/25)*AA142+(1-EXP(-LN(2)/25))/(LN(2)/25)*Calculateur!V143*Calculateur!X143*VLOOKUP('Données projet'!$B$9,Paramètres!$A$1:$I$89,3,0)*0.475*44/12</f>
        <v>9.2923397652259272</v>
      </c>
      <c r="AB143" s="21">
        <f>EXP(-LN(2)/2)*AB142+(1-EXP(-LN(2)/2))/(LN(2)/2)*V143*Y143*VLOOKUP('Données projet'!$B$9,Paramètres!$A$1:$I$89,3,0)*0.475*44/12</f>
        <v>3.2893678965323542E-10</v>
      </c>
      <c r="AC143" s="22">
        <f t="shared" si="111"/>
        <v>79.524318706002632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-1.064108801074326E-13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482.28841373508675</v>
      </c>
      <c r="AO143" s="59">
        <f t="shared" si="144"/>
        <v>746.97309214631684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99.230300442058336</v>
      </c>
      <c r="AV143" s="21">
        <f>EXP(-LN(2)/25)*AV142+(1-EXP(-LN(2)/25))/(LN(2)/25)*Calculateur!AQ143*Calculateur!AS143*VLOOKUP('Données projet'!$B$10,Paramètres!$A$1:$I$89,3,0)*0.475*44/12</f>
        <v>13.145144673162793</v>
      </c>
      <c r="AW143" s="21">
        <f>EXP(-LN(2)/2)*AW142+(1-EXP(-LN(2)/2))/(LN(2)/2)*AQ143*AT143*VLOOKUP('Données projet'!$B$10,Paramètres!$A$1:$I$89,3,0)*0.475*44/12</f>
        <v>1.9133268948910562E-8</v>
      </c>
      <c r="AX143" s="21">
        <f t="shared" si="114"/>
        <v>112.37544513435439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-6.7984728957526396E-14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284.42619963941019</v>
      </c>
      <c r="BJ143" s="59">
        <f t="shared" si="146"/>
        <v>301.41905904220812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45.494863851699343</v>
      </c>
      <c r="BQ143" s="21">
        <f>EXP(-LN(2)/25)*BQ142+(1-EXP(-LN(2)/25))/(LN(2)/25)*Calculateur!BL143*Calculateur!BN143*VLOOKUP('Données projet'!$B$11,Paramètres!$A$1:$I$89,3,0)*0.475*44/12</f>
        <v>5.8203537132784353</v>
      </c>
      <c r="BR143" s="21">
        <f>EXP(-LN(2)/2)*BR142+(1-EXP(-LN(2)/2))/(LN(2)/2)*BL143*BO143*VLOOKUP('Données projet'!$B$11,Paramètres!$A$1:$I$89,3,0)*0.475*44/12</f>
        <v>2.5863942544964387E-10</v>
      </c>
      <c r="BS143" s="22">
        <f t="shared" si="117"/>
        <v>51.315217565236416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490.96084572840579</v>
      </c>
      <c r="T144" s="59">
        <f t="shared" si="142"/>
        <v>597.91658789908263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68.8547726707029</v>
      </c>
      <c r="AA144" s="21">
        <f>EXP(-LN(2)/25)*AA143+(1-EXP(-LN(2)/25))/(LN(2)/25)*Calculateur!V144*Calculateur!X144*VLOOKUP('Données projet'!$B$9,Paramètres!$A$1:$I$89,3,0)*0.475*44/12</f>
        <v>9.0382402456829141</v>
      </c>
      <c r="AB144" s="21">
        <f>EXP(-LN(2)/2)*AB143+(1-EXP(-LN(2)/2))/(LN(2)/2)*V144*Y144*VLOOKUP('Données projet'!$B$9,Paramètres!$A$1:$I$89,3,0)*0.475*44/12</f>
        <v>2.3259343454553577E-10</v>
      </c>
      <c r="AC144" s="22">
        <f t="shared" si="111"/>
        <v>77.893012916618403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-1.064108801074326E-13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482.28841373508675</v>
      </c>
      <c r="AO144" s="59">
        <f t="shared" si="144"/>
        <v>746.97309214631684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97.284454774896545</v>
      </c>
      <c r="AV144" s="21">
        <f>EXP(-LN(2)/25)*AV143+(1-EXP(-LN(2)/25))/(LN(2)/25)*Calculateur!AQ144*Calculateur!AS144*VLOOKUP('Données projet'!$B$10,Paramètres!$A$1:$I$89,3,0)*0.475*44/12</f>
        <v>12.785690000802042</v>
      </c>
      <c r="AW144" s="21">
        <f>EXP(-LN(2)/2)*AW143+(1-EXP(-LN(2)/2))/(LN(2)/2)*AQ144*AT144*VLOOKUP('Données projet'!$B$10,Paramètres!$A$1:$I$89,3,0)*0.475*44/12</f>
        <v>1.3529264220040665E-8</v>
      </c>
      <c r="AX144" s="21">
        <f t="shared" si="114"/>
        <v>110.07014478922785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-6.7984728957526396E-14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284.42619963941019</v>
      </c>
      <c r="BJ144" s="59">
        <f t="shared" si="146"/>
        <v>301.41905904220812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44.602737320694466</v>
      </c>
      <c r="BQ144" s="21">
        <f>EXP(-LN(2)/25)*BQ143+(1-EXP(-LN(2)/25))/(LN(2)/25)*Calculateur!BL144*Calculateur!BN144*VLOOKUP('Données projet'!$B$11,Paramètres!$A$1:$I$89,3,0)*0.475*44/12</f>
        <v>5.6611958349097371</v>
      </c>
      <c r="BR144" s="21">
        <f>EXP(-LN(2)/2)*BR143+(1-EXP(-LN(2)/2))/(LN(2)/2)*BL144*BO144*VLOOKUP('Données projet'!$B$11,Paramètres!$A$1:$I$89,3,0)*0.475*44/12</f>
        <v>1.8288569161763571E-10</v>
      </c>
      <c r="BS144" s="22">
        <f t="shared" si="117"/>
        <v>50.263933155787093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490.96084572840579</v>
      </c>
      <c r="T145" s="59">
        <f t="shared" si="142"/>
        <v>597.91658789908263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67.504572575894855</v>
      </c>
      <c r="AA145" s="21">
        <f>EXP(-LN(2)/25)*AA144+(1-EXP(-LN(2)/25))/(LN(2)/25)*Calculateur!V145*Calculateur!X145*VLOOKUP('Données projet'!$B$9,Paramètres!$A$1:$I$89,3,0)*0.475*44/12</f>
        <v>8.7910890908643182</v>
      </c>
      <c r="AB145" s="21">
        <f>EXP(-LN(2)/2)*AB144+(1-EXP(-LN(2)/2))/(LN(2)/2)*V145*Y145*VLOOKUP('Données projet'!$B$9,Paramètres!$A$1:$I$89,3,0)*0.475*44/12</f>
        <v>1.6446839482661773E-10</v>
      </c>
      <c r="AC145" s="22">
        <f t="shared" si="111"/>
        <v>76.295661666923635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-1.064108801074326E-13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482.28841373508675</v>
      </c>
      <c r="AO145" s="59">
        <f t="shared" si="144"/>
        <v>746.97309214631684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95.376765954419128</v>
      </c>
      <c r="AV145" s="21">
        <f>EXP(-LN(2)/25)*AV144+(1-EXP(-LN(2)/25))/(LN(2)/25)*Calculateur!AQ145*Calculateur!AS145*VLOOKUP('Données projet'!$B$10,Paramètres!$A$1:$I$89,3,0)*0.475*44/12</f>
        <v>12.436064635359894</v>
      </c>
      <c r="AW145" s="21">
        <f>EXP(-LN(2)/2)*AW144+(1-EXP(-LN(2)/2))/(LN(2)/2)*AQ145*AT145*VLOOKUP('Données projet'!$B$10,Paramètres!$A$1:$I$89,3,0)*0.475*44/12</f>
        <v>9.5666344744552812E-9</v>
      </c>
      <c r="AX145" s="21">
        <f t="shared" si="114"/>
        <v>107.81283059934566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-6.7984728957526396E-14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284.42619963941019</v>
      </c>
      <c r="BJ145" s="59">
        <f t="shared" si="146"/>
        <v>301.41905904220812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43.728104846819143</v>
      </c>
      <c r="BQ145" s="21">
        <f>EXP(-LN(2)/25)*BQ144+(1-EXP(-LN(2)/25))/(LN(2)/25)*Calculateur!BL145*Calculateur!BN145*VLOOKUP('Données projet'!$B$11,Paramètres!$A$1:$I$89,3,0)*0.475*44/12</f>
        <v>5.5063901370947805</v>
      </c>
      <c r="BR145" s="21">
        <f>EXP(-LN(2)/2)*BR144+(1-EXP(-LN(2)/2))/(LN(2)/2)*BL145*BO145*VLOOKUP('Données projet'!$B$11,Paramètres!$A$1:$I$89,3,0)*0.475*44/12</f>
        <v>1.2931971272482194E-10</v>
      </c>
      <c r="BS145" s="22">
        <f t="shared" si="117"/>
        <v>49.234494984043245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490.96084572840579</v>
      </c>
      <c r="T146" s="59">
        <f t="shared" si="142"/>
        <v>597.91658789908263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66.180849081405256</v>
      </c>
      <c r="AA146" s="21">
        <f>EXP(-LN(2)/25)*AA145+(1-EXP(-LN(2)/25))/(LN(2)/25)*Calculateur!V146*Calculateur!X146*VLOOKUP('Données projet'!$B$9,Paramètres!$A$1:$I$89,3,0)*0.475*44/12</f>
        <v>8.550696297371351</v>
      </c>
      <c r="AB146" s="21">
        <f>EXP(-LN(2)/2)*AB145+(1-EXP(-LN(2)/2))/(LN(2)/2)*V146*Y146*VLOOKUP('Données projet'!$B$9,Paramètres!$A$1:$I$89,3,0)*0.475*44/12</f>
        <v>1.162967172727679E-10</v>
      </c>
      <c r="AC146" s="22">
        <f t="shared" si="111"/>
        <v>74.731545378892903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-1.064108801074326E-13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482.28841373508675</v>
      </c>
      <c r="AO146" s="59">
        <f t="shared" si="144"/>
        <v>746.97309214631684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93.506485748135987</v>
      </c>
      <c r="AV146" s="21">
        <f>EXP(-LN(2)/25)*AV145+(1-EXP(-LN(2)/25))/(LN(2)/25)*Calculateur!AQ146*Calculateur!AS146*VLOOKUP('Données projet'!$B$10,Paramètres!$A$1:$I$89,3,0)*0.475*44/12</f>
        <v>12.095999793921761</v>
      </c>
      <c r="AW146" s="21">
        <f>EXP(-LN(2)/2)*AW145+(1-EXP(-LN(2)/2))/(LN(2)/2)*AQ146*AT146*VLOOKUP('Données projet'!$B$10,Paramètres!$A$1:$I$89,3,0)*0.475*44/12</f>
        <v>6.7646321100203326E-9</v>
      </c>
      <c r="AX146" s="21">
        <f t="shared" si="114"/>
        <v>105.60248554882239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-6.7984728957526396E-14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284.42619963941019</v>
      </c>
      <c r="BJ146" s="59">
        <f t="shared" si="146"/>
        <v>301.41905904220812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42.870623382283384</v>
      </c>
      <c r="BQ146" s="21">
        <f>EXP(-LN(2)/25)*BQ145+(1-EXP(-LN(2)/25))/(LN(2)/25)*Calculateur!BL146*Calculateur!BN146*VLOOKUP('Données projet'!$B$11,Paramètres!$A$1:$I$89,3,0)*0.475*44/12</f>
        <v>5.3558176092274516</v>
      </c>
      <c r="BR146" s="21">
        <f>EXP(-LN(2)/2)*BR145+(1-EXP(-LN(2)/2))/(LN(2)/2)*BL146*BO146*VLOOKUP('Données projet'!$B$11,Paramètres!$A$1:$I$89,3,0)*0.475*44/12</f>
        <v>9.1442845808817853E-11</v>
      </c>
      <c r="BS146" s="22">
        <f t="shared" si="117"/>
        <v>48.226440991602274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490.96084572840579</v>
      </c>
      <c r="T147" s="59">
        <f t="shared" si="142"/>
        <v>597.91658789908263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64.883082997250995</v>
      </c>
      <c r="AA147" s="21">
        <f>EXP(-LN(2)/25)*AA146+(1-EXP(-LN(2)/25))/(LN(2)/25)*Calculateur!V147*Calculateur!X147*VLOOKUP('Données projet'!$B$9,Paramètres!$A$1:$I$89,3,0)*0.475*44/12</f>
        <v>8.3168770574581554</v>
      </c>
      <c r="AB147" s="21">
        <f>EXP(-LN(2)/2)*AB146+(1-EXP(-LN(2)/2))/(LN(2)/2)*V147*Y147*VLOOKUP('Données projet'!$B$9,Paramètres!$A$1:$I$89,3,0)*0.475*44/12</f>
        <v>8.223419741330888E-11</v>
      </c>
      <c r="AC147" s="22">
        <f t="shared" si="111"/>
        <v>73.19996005479139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-1.064108801074326E-13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482.28841373508675</v>
      </c>
      <c r="AO147" s="59">
        <f t="shared" si="144"/>
        <v>746.97309214631684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91.672880595939773</v>
      </c>
      <c r="AV147" s="21">
        <f>EXP(-LN(2)/25)*AV146+(1-EXP(-LN(2)/25))/(LN(2)/25)*Calculateur!AQ147*Calculateur!AS147*VLOOKUP('Données projet'!$B$10,Paramètres!$A$1:$I$89,3,0)*0.475*44/12</f>
        <v>11.765234043455987</v>
      </c>
      <c r="AW147" s="21">
        <f>EXP(-LN(2)/2)*AW146+(1-EXP(-LN(2)/2))/(LN(2)/2)*AQ147*AT147*VLOOKUP('Données projet'!$B$10,Paramètres!$A$1:$I$89,3,0)*0.475*44/12</f>
        <v>4.7833172372276406E-9</v>
      </c>
      <c r="AX147" s="21">
        <f t="shared" si="114"/>
        <v>103.43811464417908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-6.7984728957526396E-14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284.42619963941019</v>
      </c>
      <c r="BJ147" s="59">
        <f t="shared" si="146"/>
        <v>301.41905904220812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42.029956606255119</v>
      </c>
      <c r="BQ147" s="21">
        <f>EXP(-LN(2)/25)*BQ146+(1-EXP(-LN(2)/25))/(LN(2)/25)*Calculateur!BL147*Calculateur!BN147*VLOOKUP('Données projet'!$B$11,Paramètres!$A$1:$I$89,3,0)*0.475*44/12</f>
        <v>5.20936249505292</v>
      </c>
      <c r="BR147" s="21">
        <f>EXP(-LN(2)/2)*BR146+(1-EXP(-LN(2)/2))/(LN(2)/2)*BL147*BO147*VLOOKUP('Données projet'!$B$11,Paramètres!$A$1:$I$89,3,0)*0.475*44/12</f>
        <v>6.4659856362410968E-11</v>
      </c>
      <c r="BS147" s="22">
        <f t="shared" si="117"/>
        <v>47.239319101372701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490.96084572840579</v>
      </c>
      <c r="T148" s="59">
        <f t="shared" si="142"/>
        <v>597.91658789908263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63.610765314447846</v>
      </c>
      <c r="AA148" s="21">
        <f>EXP(-LN(2)/25)*AA147+(1-EXP(-LN(2)/25))/(LN(2)/25)*Calculateur!V148*Calculateur!X148*VLOOKUP('Données projet'!$B$9,Paramètres!$A$1:$I$89,3,0)*0.475*44/12</f>
        <v>8.0894516169564064</v>
      </c>
      <c r="AB148" s="21">
        <f>EXP(-LN(2)/2)*AB147+(1-EXP(-LN(2)/2))/(LN(2)/2)*V148*Y148*VLOOKUP('Données projet'!$B$9,Paramètres!$A$1:$I$89,3,0)*0.475*44/12</f>
        <v>5.8148358636383956E-11</v>
      </c>
      <c r="AC148" s="22">
        <f t="shared" si="111"/>
        <v>71.700216931462407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-1.064108801074326E-13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482.28841373508675</v>
      </c>
      <c r="AO148" s="59">
        <f t="shared" si="144"/>
        <v>746.97309214631684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89.875231322389411</v>
      </c>
      <c r="AV148" s="21">
        <f>EXP(-LN(2)/25)*AV147+(1-EXP(-LN(2)/25))/(LN(2)/25)*Calculateur!AQ148*Calculateur!AS148*VLOOKUP('Données projet'!$B$10,Paramètres!$A$1:$I$89,3,0)*0.475*44/12</f>
        <v>11.443513099830914</v>
      </c>
      <c r="AW148" s="21">
        <f>EXP(-LN(2)/2)*AW147+(1-EXP(-LN(2)/2))/(LN(2)/2)*AQ148*AT148*VLOOKUP('Données projet'!$B$10,Paramètres!$A$1:$I$89,3,0)*0.475*44/12</f>
        <v>3.3823160550101663E-9</v>
      </c>
      <c r="AX148" s="21">
        <f t="shared" si="114"/>
        <v>101.31874442560263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-6.7984728957526396E-14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284.42619963941019</v>
      </c>
      <c r="BJ148" s="59">
        <f t="shared" si="146"/>
        <v>301.41905904220812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41.205774792948667</v>
      </c>
      <c r="BQ148" s="21">
        <f>EXP(-LN(2)/25)*BQ147+(1-EXP(-LN(2)/25))/(LN(2)/25)*Calculateur!BL148*Calculateur!BN148*VLOOKUP('Données projet'!$B$11,Paramètres!$A$1:$I$89,3,0)*0.475*44/12</f>
        <v>5.0669122036772301</v>
      </c>
      <c r="BR148" s="21">
        <f>EXP(-LN(2)/2)*BR147+(1-EXP(-LN(2)/2))/(LN(2)/2)*BL148*BO148*VLOOKUP('Données projet'!$B$11,Paramètres!$A$1:$I$89,3,0)*0.475*44/12</f>
        <v>4.5721422904408927E-11</v>
      </c>
      <c r="BS148" s="22">
        <f t="shared" si="117"/>
        <v>46.272686996671617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490.96084572840579</v>
      </c>
      <c r="T149" s="59">
        <f t="shared" si="142"/>
        <v>597.91658789908263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62.363397005367311</v>
      </c>
      <c r="AA149" s="21">
        <f>EXP(-LN(2)/25)*AA148+(1-EXP(-LN(2)/25))/(LN(2)/25)*Calculateur!V149*Calculateur!X149*VLOOKUP('Données projet'!$B$9,Paramètres!$A$1:$I$89,3,0)*0.475*44/12</f>
        <v>7.868245137084962</v>
      </c>
      <c r="AB149" s="21">
        <f>EXP(-LN(2)/2)*AB148+(1-EXP(-LN(2)/2))/(LN(2)/2)*V149*Y149*VLOOKUP('Données projet'!$B$9,Paramètres!$A$1:$I$89,3,0)*0.475*44/12</f>
        <v>4.1117098706654447E-11</v>
      </c>
      <c r="AC149" s="22">
        <f t="shared" si="111"/>
        <v>70.231642142493385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-1.064108801074326E-13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482.28841373508675</v>
      </c>
      <c r="AO149" s="59">
        <f t="shared" si="144"/>
        <v>746.97309214631684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88.112832854635585</v>
      </c>
      <c r="AV149" s="21">
        <f>EXP(-LN(2)/25)*AV148+(1-EXP(-LN(2)/25))/(LN(2)/25)*Calculateur!AQ149*Calculateur!AS149*VLOOKUP('Données projet'!$B$10,Paramètres!$A$1:$I$89,3,0)*0.475*44/12</f>
        <v>11.130589632327839</v>
      </c>
      <c r="AW149" s="21">
        <f>EXP(-LN(2)/2)*AW148+(1-EXP(-LN(2)/2))/(LN(2)/2)*AQ149*AT149*VLOOKUP('Données projet'!$B$10,Paramètres!$A$1:$I$89,3,0)*0.475*44/12</f>
        <v>2.3916586186138203E-9</v>
      </c>
      <c r="AX149" s="21">
        <f t="shared" si="114"/>
        <v>99.243422489355083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-6.7984728957526396E-14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284.42619963941019</v>
      </c>
      <c r="BJ149" s="59">
        <f t="shared" si="146"/>
        <v>301.41905904220812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40.397754682299883</v>
      </c>
      <c r="BQ149" s="21">
        <f>EXP(-LN(2)/25)*BQ148+(1-EXP(-LN(2)/25))/(LN(2)/25)*Calculateur!BL149*Calculateur!BN149*VLOOKUP('Données projet'!$B$11,Paramètres!$A$1:$I$89,3,0)*0.475*44/12</f>
        <v>4.9283572230103436</v>
      </c>
      <c r="BR149" s="21">
        <f>EXP(-LN(2)/2)*BR148+(1-EXP(-LN(2)/2))/(LN(2)/2)*BL149*BO149*VLOOKUP('Données projet'!$B$11,Paramètres!$A$1:$I$89,3,0)*0.475*44/12</f>
        <v>3.2329928181205484E-11</v>
      </c>
      <c r="BS149" s="22">
        <f t="shared" si="117"/>
        <v>45.326111905342557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490.96084572840579</v>
      </c>
      <c r="T150" s="59">
        <f t="shared" si="142"/>
        <v>597.91658789908263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61.140488828008301</v>
      </c>
      <c r="AA150" s="21">
        <f>EXP(-LN(2)/25)*AA149+(1-EXP(-LN(2)/25))/(LN(2)/25)*Calculateur!V150*Calculateur!X150*VLOOKUP('Données projet'!$B$9,Paramètres!$A$1:$I$89,3,0)*0.475*44/12</f>
        <v>7.6530875600383448</v>
      </c>
      <c r="AB150" s="21">
        <f>EXP(-LN(2)/2)*AB149+(1-EXP(-LN(2)/2))/(LN(2)/2)*V150*Y150*VLOOKUP('Données projet'!$B$9,Paramètres!$A$1:$I$89,3,0)*0.475*44/12</f>
        <v>2.9074179318191985E-11</v>
      </c>
      <c r="AC150" s="22">
        <f t="shared" si="111"/>
        <v>68.793576388075721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-1.064108801074326E-13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482.28841373508675</v>
      </c>
      <c r="AO150" s="59">
        <f t="shared" si="144"/>
        <v>746.97309214631684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86.384993945877497</v>
      </c>
      <c r="AV150" s="21">
        <f>EXP(-LN(2)/25)*AV149+(1-EXP(-LN(2)/25))/(LN(2)/25)*Calculateur!AQ150*Calculateur!AS150*VLOOKUP('Données projet'!$B$10,Paramètres!$A$1:$I$89,3,0)*0.475*44/12</f>
        <v>10.826223073499564</v>
      </c>
      <c r="AW150" s="21">
        <f>EXP(-LN(2)/2)*AW149+(1-EXP(-LN(2)/2))/(LN(2)/2)*AQ150*AT150*VLOOKUP('Données projet'!$B$10,Paramètres!$A$1:$I$89,3,0)*0.475*44/12</f>
        <v>1.6911580275050832E-9</v>
      </c>
      <c r="AX150" s="21">
        <f t="shared" si="114"/>
        <v>97.211217021068222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-6.7984728957526396E-14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284.42619963941019</v>
      </c>
      <c r="BJ150" s="59">
        <f t="shared" si="146"/>
        <v>301.41905904220812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39.605579353177319</v>
      </c>
      <c r="BQ150" s="21">
        <f>EXP(-LN(2)/25)*BQ149+(1-EXP(-LN(2)/25))/(LN(2)/25)*Calculateur!BL150*Calculateur!BN150*VLOOKUP('Données projet'!$B$11,Paramètres!$A$1:$I$89,3,0)*0.475*44/12</f>
        <v>4.7935910355760836</v>
      </c>
      <c r="BR150" s="21">
        <f>EXP(-LN(2)/2)*BR149+(1-EXP(-LN(2)/2))/(LN(2)/2)*BL150*BO150*VLOOKUP('Données projet'!$B$11,Paramètres!$A$1:$I$89,3,0)*0.475*44/12</f>
        <v>2.2860711452204463E-11</v>
      </c>
      <c r="BS150" s="22">
        <f t="shared" si="117"/>
        <v>44.399170388776263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490.96084572840579</v>
      </c>
      <c r="T151" s="59">
        <f t="shared" si="142"/>
        <v>597.91658789908263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59.941561134106962</v>
      </c>
      <c r="AA151" s="21">
        <f>EXP(-LN(2)/25)*AA150+(1-EXP(-LN(2)/25))/(LN(2)/25)*Calculateur!V151*Calculateur!X151*VLOOKUP('Données projet'!$B$9,Paramètres!$A$1:$I$89,3,0)*0.475*44/12</f>
        <v>7.4438134782507133</v>
      </c>
      <c r="AB151" s="21">
        <f>EXP(-LN(2)/2)*AB150+(1-EXP(-LN(2)/2))/(LN(2)/2)*V151*Y151*VLOOKUP('Données projet'!$B$9,Paramètres!$A$1:$I$89,3,0)*0.475*44/12</f>
        <v>2.0558549353327226E-11</v>
      </c>
      <c r="AC151" s="22">
        <f t="shared" si="111"/>
        <v>67.385374612378243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-1.064108801074326E-13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482.28841373508675</v>
      </c>
      <c r="AO151" s="59">
        <f t="shared" si="144"/>
        <v>746.97309214631684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84.69103690424248</v>
      </c>
      <c r="AV151" s="21">
        <f>EXP(-LN(2)/25)*AV150+(1-EXP(-LN(2)/25))/(LN(2)/25)*Calculateur!AQ151*Calculateur!AS151*VLOOKUP('Données projet'!$B$10,Paramètres!$A$1:$I$89,3,0)*0.475*44/12</f>
        <v>10.530179434228391</v>
      </c>
      <c r="AW151" s="21">
        <f>EXP(-LN(2)/2)*AW150+(1-EXP(-LN(2)/2))/(LN(2)/2)*AQ151*AT151*VLOOKUP('Données projet'!$B$10,Paramètres!$A$1:$I$89,3,0)*0.475*44/12</f>
        <v>1.1958293093069101E-9</v>
      </c>
      <c r="AX151" s="21">
        <f t="shared" si="114"/>
        <v>95.221216339666697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-6.7984728957526396E-14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284.42619963941019</v>
      </c>
      <c r="BJ151" s="59">
        <f t="shared" si="146"/>
        <v>301.41905904220812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38.828938099079608</v>
      </c>
      <c r="BQ151" s="21">
        <f>EXP(-LN(2)/25)*BQ150+(1-EXP(-LN(2)/25))/(LN(2)/25)*Calculateur!BL151*Calculateur!BN151*VLOOKUP('Données projet'!$B$11,Paramètres!$A$1:$I$89,3,0)*0.475*44/12</f>
        <v>4.6625100366242593</v>
      </c>
      <c r="BR151" s="21">
        <f>EXP(-LN(2)/2)*BR150+(1-EXP(-LN(2)/2))/(LN(2)/2)*BL151*BO151*VLOOKUP('Données projet'!$B$11,Paramètres!$A$1:$I$89,3,0)*0.475*44/12</f>
        <v>1.6164964090602742E-11</v>
      </c>
      <c r="BS151" s="22">
        <f t="shared" si="117"/>
        <v>43.491448135720034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490.96084572840579</v>
      </c>
      <c r="T152" s="59">
        <f t="shared" si="142"/>
        <v>597.91658789908263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58.766143681009346</v>
      </c>
      <c r="AA152" s="21">
        <f>EXP(-LN(2)/25)*AA151+(1-EXP(-LN(2)/25))/(LN(2)/25)*Calculateur!V152*Calculateur!X152*VLOOKUP('Données projet'!$B$9,Paramètres!$A$1:$I$89,3,0)*0.475*44/12</f>
        <v>7.2402620072348096</v>
      </c>
      <c r="AB152" s="21">
        <f>EXP(-LN(2)/2)*AB151+(1-EXP(-LN(2)/2))/(LN(2)/2)*V152*Y152*VLOOKUP('Données projet'!$B$9,Paramètres!$A$1:$I$89,3,0)*0.475*44/12</f>
        <v>1.4537089659095994E-11</v>
      </c>
      <c r="AC152" s="22">
        <f t="shared" si="111"/>
        <v>66.006405688258695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-1.064108801074326E-13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482.28841373508675</v>
      </c>
      <c r="AO152" s="59">
        <f t="shared" si="144"/>
        <v>746.97309214631684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83.030297326982151</v>
      </c>
      <c r="AV152" s="21">
        <f>EXP(-LN(2)/25)*AV151+(1-EXP(-LN(2)/25))/(LN(2)/25)*Calculateur!AQ152*Calculateur!AS152*VLOOKUP('Données projet'!$B$10,Paramètres!$A$1:$I$89,3,0)*0.475*44/12</f>
        <v>10.242231123841346</v>
      </c>
      <c r="AW152" s="21">
        <f>EXP(-LN(2)/2)*AW151+(1-EXP(-LN(2)/2))/(LN(2)/2)*AQ152*AT152*VLOOKUP('Données projet'!$B$10,Paramètres!$A$1:$I$89,3,0)*0.475*44/12</f>
        <v>8.4557901375254158E-10</v>
      </c>
      <c r="AX152" s="21">
        <f t="shared" si="114"/>
        <v>93.272528451669075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-6.7984728957526396E-14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284.42619963941019</v>
      </c>
      <c r="BJ152" s="59">
        <f t="shared" si="146"/>
        <v>301.41905904220812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38.067526306270366</v>
      </c>
      <c r="BQ152" s="21">
        <f>EXP(-LN(2)/25)*BQ151+(1-EXP(-LN(2)/25))/(LN(2)/25)*Calculateur!BL152*Calculateur!BN152*VLOOKUP('Données projet'!$B$11,Paramètres!$A$1:$I$89,3,0)*0.475*44/12</f>
        <v>4.5350134544820229</v>
      </c>
      <c r="BR152" s="21">
        <f>EXP(-LN(2)/2)*BR151+(1-EXP(-LN(2)/2))/(LN(2)/2)*BL152*BO152*VLOOKUP('Données projet'!$B$11,Paramètres!$A$1:$I$89,3,0)*0.475*44/12</f>
        <v>1.1430355726102232E-11</v>
      </c>
      <c r="BS152" s="22">
        <f t="shared" si="117"/>
        <v>42.602539760763825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490.96084572840579</v>
      </c>
      <c r="T153" s="59">
        <f t="shared" si="142"/>
        <v>597.91658789908263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57.613775447233117</v>
      </c>
      <c r="AA153" s="21">
        <f>EXP(-LN(2)/25)*AA152+(1-EXP(-LN(2)/25))/(LN(2)/25)*Calculateur!V153*Calculateur!X153*VLOOKUP('Données projet'!$B$9,Paramètres!$A$1:$I$89,3,0)*0.475*44/12</f>
        <v>7.0422766618981427</v>
      </c>
      <c r="AB153" s="21">
        <f>EXP(-LN(2)/2)*AB152+(1-EXP(-LN(2)/2))/(LN(2)/2)*V153*Y153*VLOOKUP('Données projet'!$B$9,Paramètres!$A$1:$I$89,3,0)*0.475*44/12</f>
        <v>1.0279274676663615E-11</v>
      </c>
      <c r="AC153" s="22">
        <f t="shared" si="111"/>
        <v>64.656052109141527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-1.064108801074326E-13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482.28841373508675</v>
      </c>
      <c r="AO153" s="59">
        <f t="shared" si="144"/>
        <v>746.97309214631684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81.402123839880772</v>
      </c>
      <c r="AV153" s="21">
        <f>EXP(-LN(2)/25)*AV152+(1-EXP(-LN(2)/25))/(LN(2)/25)*Calculateur!AQ153*Calculateur!AS153*VLOOKUP('Données projet'!$B$10,Paramètres!$A$1:$I$89,3,0)*0.475*44/12</f>
        <v>9.9621567751443791</v>
      </c>
      <c r="AW153" s="21">
        <f>EXP(-LN(2)/2)*AW152+(1-EXP(-LN(2)/2))/(LN(2)/2)*AQ153*AT153*VLOOKUP('Données projet'!$B$10,Paramètres!$A$1:$I$89,3,0)*0.475*44/12</f>
        <v>5.9791465465345507E-10</v>
      </c>
      <c r="AX153" s="21">
        <f t="shared" si="114"/>
        <v>91.364280615623073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-6.7984728957526396E-14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284.42619963941019</v>
      </c>
      <c r="BJ153" s="59">
        <f t="shared" si="146"/>
        <v>301.41905904220812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37.321045334302774</v>
      </c>
      <c r="BQ153" s="21">
        <f>EXP(-LN(2)/25)*BQ152+(1-EXP(-LN(2)/25))/(LN(2)/25)*Calculateur!BL153*Calculateur!BN153*VLOOKUP('Données projet'!$B$11,Paramètres!$A$1:$I$89,3,0)*0.475*44/12</f>
        <v>4.4110032730832192</v>
      </c>
      <c r="BR153" s="21">
        <f>EXP(-LN(2)/2)*BR152+(1-EXP(-LN(2)/2))/(LN(2)/2)*BL153*BO153*VLOOKUP('Données projet'!$B$11,Paramètres!$A$1:$I$89,3,0)*0.475*44/12</f>
        <v>8.0824820453013711E-12</v>
      </c>
      <c r="BS153" s="22">
        <f t="shared" si="117"/>
        <v>41.732048607394077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490.96084572840579</v>
      </c>
      <c r="T154" s="59">
        <f t="shared" si="142"/>
        <v>597.91658789908263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56.484004451646022</v>
      </c>
      <c r="AA154" s="21">
        <f>EXP(-LN(2)/25)*AA153+(1-EXP(-LN(2)/25))/(LN(2)/25)*Calculateur!V154*Calculateur!X154*VLOOKUP('Données projet'!$B$9,Paramètres!$A$1:$I$89,3,0)*0.475*44/12</f>
        <v>6.849705236241304</v>
      </c>
      <c r="AB154" s="21">
        <f>EXP(-LN(2)/2)*AB153+(1-EXP(-LN(2)/2))/(LN(2)/2)*V154*Y154*VLOOKUP('Données projet'!$B$9,Paramètres!$A$1:$I$89,3,0)*0.475*44/12</f>
        <v>7.2685448295479986E-12</v>
      </c>
      <c r="AC154" s="22">
        <f t="shared" ref="AC154:AC203" si="163">SUM(Z154:AB154)</f>
        <v>63.333709687894597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-1.064108801074326E-13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482.28841373508675</v>
      </c>
      <c r="AO154" s="59">
        <f t="shared" si="144"/>
        <v>746.97309214631684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79.805877841773679</v>
      </c>
      <c r="AV154" s="21">
        <f>EXP(-LN(2)/25)*AV153+(1-EXP(-LN(2)/25))/(LN(2)/25)*Calculateur!AQ154*Calculateur!AS154*VLOOKUP('Données projet'!$B$10,Paramètres!$A$1:$I$89,3,0)*0.475*44/12</f>
        <v>9.6897410742410006</v>
      </c>
      <c r="AW154" s="21">
        <f>EXP(-LN(2)/2)*AW153+(1-EXP(-LN(2)/2))/(LN(2)/2)*AQ154*AT154*VLOOKUP('Données projet'!$B$10,Paramètres!$A$1:$I$89,3,0)*0.475*44/12</f>
        <v>4.2278950687627079E-10</v>
      </c>
      <c r="AX154" s="21">
        <f t="shared" ref="AX154:AX203" si="166">SUM(AU154:AW154)</f>
        <v>89.495618916437465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-6.7984728957526396E-14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284.42619963941019</v>
      </c>
      <c r="BJ154" s="59">
        <f t="shared" si="146"/>
        <v>301.41905904220812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36.589202398887032</v>
      </c>
      <c r="BQ154" s="21">
        <f>EXP(-LN(2)/25)*BQ153+(1-EXP(-LN(2)/25))/(LN(2)/25)*Calculateur!BL154*Calculateur!BN154*VLOOKUP('Données projet'!$B$11,Paramètres!$A$1:$I$89,3,0)*0.475*44/12</f>
        <v>4.2903841566161782</v>
      </c>
      <c r="BR154" s="21">
        <f>EXP(-LN(2)/2)*BR153+(1-EXP(-LN(2)/2))/(LN(2)/2)*BL154*BO154*VLOOKUP('Données projet'!$B$11,Paramètres!$A$1:$I$89,3,0)*0.475*44/12</f>
        <v>5.7151778630511158E-12</v>
      </c>
      <c r="BS154" s="22">
        <f t="shared" ref="BS154:BS203" si="169">SUM(BP154:BR154)</f>
        <v>40.879586555508922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490.96084572840579</v>
      </c>
      <c r="T155" s="59">
        <f t="shared" si="142"/>
        <v>597.91658789908263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55.376387576190126</v>
      </c>
      <c r="AA155" s="21">
        <f>EXP(-LN(2)/25)*AA154+(1-EXP(-LN(2)/25))/(LN(2)/25)*Calculateur!V155*Calculateur!X155*VLOOKUP('Données projet'!$B$9,Paramètres!$A$1:$I$89,3,0)*0.475*44/12</f>
        <v>6.6623996863459425</v>
      </c>
      <c r="AB155" s="21">
        <f>EXP(-LN(2)/2)*AB154+(1-EXP(-LN(2)/2))/(LN(2)/2)*V155*Y155*VLOOKUP('Données projet'!$B$9,Paramètres!$A$1:$I$89,3,0)*0.475*44/12</f>
        <v>5.1396373383318082E-12</v>
      </c>
      <c r="AC155" s="22">
        <f t="shared" si="163"/>
        <v>62.038787262541206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-1.064108801074326E-13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482.28841373508675</v>
      </c>
      <c r="AO155" s="59">
        <f t="shared" si="144"/>
        <v>746.97309214631684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78.240933254075543</v>
      </c>
      <c r="AV155" s="21">
        <f>EXP(-LN(2)/25)*AV154+(1-EXP(-LN(2)/25))/(LN(2)/25)*Calculateur!AQ155*Calculateur!AS155*VLOOKUP('Données projet'!$B$10,Paramètres!$A$1:$I$89,3,0)*0.475*44/12</f>
        <v>9.4247745950045427</v>
      </c>
      <c r="AW155" s="21">
        <f>EXP(-LN(2)/2)*AW154+(1-EXP(-LN(2)/2))/(LN(2)/2)*AQ155*AT155*VLOOKUP('Données projet'!$B$10,Paramètres!$A$1:$I$89,3,0)*0.475*44/12</f>
        <v>2.9895732732672754E-10</v>
      </c>
      <c r="AX155" s="21">
        <f t="shared" si="166"/>
        <v>87.665707849379046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-6.7984728957526396E-14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284.42619963941019</v>
      </c>
      <c r="BJ155" s="59">
        <f t="shared" si="146"/>
        <v>301.41905904220812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35.871710457054682</v>
      </c>
      <c r="BQ155" s="21">
        <f>EXP(-LN(2)/25)*BQ154+(1-EXP(-LN(2)/25))/(LN(2)/25)*Calculateur!BL155*Calculateur!BN155*VLOOKUP('Données projet'!$B$11,Paramètres!$A$1:$I$89,3,0)*0.475*44/12</f>
        <v>4.1730633762320117</v>
      </c>
      <c r="BR155" s="21">
        <f>EXP(-LN(2)/2)*BR154+(1-EXP(-LN(2)/2))/(LN(2)/2)*BL155*BO155*VLOOKUP('Données projet'!$B$11,Paramètres!$A$1:$I$89,3,0)*0.475*44/12</f>
        <v>4.0412410226506855E-12</v>
      </c>
      <c r="BS155" s="22">
        <f t="shared" si="169"/>
        <v>40.044773833290741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490.96084572840579</v>
      </c>
      <c r="T156" s="59">
        <f t="shared" si="142"/>
        <v>597.91658789908263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54.290490392082333</v>
      </c>
      <c r="AA156" s="21">
        <f>EXP(-LN(2)/25)*AA155+(1-EXP(-LN(2)/25))/(LN(2)/25)*Calculateur!V156*Calculateur!X156*VLOOKUP('Données projet'!$B$9,Paramètres!$A$1:$I$89,3,0)*0.475*44/12</f>
        <v>6.4802160165624407</v>
      </c>
      <c r="AB156" s="21">
        <f>EXP(-LN(2)/2)*AB155+(1-EXP(-LN(2)/2))/(LN(2)/2)*V156*Y156*VLOOKUP('Données projet'!$B$9,Paramètres!$A$1:$I$89,3,0)*0.475*44/12</f>
        <v>3.6342724147739997E-12</v>
      </c>
      <c r="AC156" s="22">
        <f t="shared" si="163"/>
        <v>60.770706408648401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-1.064108801074326E-13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482.28841373508675</v>
      </c>
      <c r="AO156" s="59">
        <f t="shared" si="144"/>
        <v>746.97309214631684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76.706676275220218</v>
      </c>
      <c r="AV156" s="21">
        <f>EXP(-LN(2)/25)*AV155+(1-EXP(-LN(2)/25))/(LN(2)/25)*Calculateur!AQ156*Calculateur!AS156*VLOOKUP('Données projet'!$B$10,Paramètres!$A$1:$I$89,3,0)*0.475*44/12</f>
        <v>9.1670536380767889</v>
      </c>
      <c r="AW156" s="21">
        <f>EXP(-LN(2)/2)*AW155+(1-EXP(-LN(2)/2))/(LN(2)/2)*AQ156*AT156*VLOOKUP('Données projet'!$B$10,Paramètres!$A$1:$I$89,3,0)*0.475*44/12</f>
        <v>2.113947534381354E-10</v>
      </c>
      <c r="AX156" s="21">
        <f t="shared" si="166"/>
        <v>85.873729913508413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-6.7984728957526396E-14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284.42619963941019</v>
      </c>
      <c r="BJ156" s="59">
        <f t="shared" si="146"/>
        <v>301.41905904220812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35.168288094574791</v>
      </c>
      <c r="BQ156" s="21">
        <f>EXP(-LN(2)/25)*BQ155+(1-EXP(-LN(2)/25))/(LN(2)/25)*Calculateur!BL156*Calculateur!BN156*VLOOKUP('Données projet'!$B$11,Paramètres!$A$1:$I$89,3,0)*0.475*44/12</f>
        <v>4.0589507387570825</v>
      </c>
      <c r="BR156" s="21">
        <f>EXP(-LN(2)/2)*BR155+(1-EXP(-LN(2)/2))/(LN(2)/2)*BL156*BO156*VLOOKUP('Données projet'!$B$11,Paramètres!$A$1:$I$89,3,0)*0.475*44/12</f>
        <v>2.8575889315255579E-12</v>
      </c>
      <c r="BS156" s="22">
        <f t="shared" si="169"/>
        <v>39.227238833334731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490.96084572840579</v>
      </c>
      <c r="T157" s="59">
        <f t="shared" si="142"/>
        <v>597.91658789908263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53.22588698942301</v>
      </c>
      <c r="AA157" s="21">
        <f>EXP(-LN(2)/25)*AA156+(1-EXP(-LN(2)/25))/(LN(2)/25)*Calculateur!V157*Calculateur!X157*VLOOKUP('Données projet'!$B$9,Paramètres!$A$1:$I$89,3,0)*0.475*44/12</f>
        <v>6.3030141688097912</v>
      </c>
      <c r="AB157" s="21">
        <f>EXP(-LN(2)/2)*AB156+(1-EXP(-LN(2)/2))/(LN(2)/2)*V157*Y157*VLOOKUP('Données projet'!$B$9,Paramètres!$A$1:$I$89,3,0)*0.475*44/12</f>
        <v>2.5698186691659045E-12</v>
      </c>
      <c r="AC157" s="22">
        <f t="shared" si="163"/>
        <v>59.528901158235371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-1.064108801074326E-13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482.28841373508675</v>
      </c>
      <c r="AO157" s="59">
        <f t="shared" si="144"/>
        <v>746.97309214631684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75.2025051399159</v>
      </c>
      <c r="AV157" s="21">
        <f>EXP(-LN(2)/25)*AV156+(1-EXP(-LN(2)/25))/(LN(2)/25)*Calculateur!AQ157*Calculateur!AS157*VLOOKUP('Données projet'!$B$10,Paramètres!$A$1:$I$89,3,0)*0.475*44/12</f>
        <v>8.9163800742691794</v>
      </c>
      <c r="AW157" s="21">
        <f>EXP(-LN(2)/2)*AW156+(1-EXP(-LN(2)/2))/(LN(2)/2)*AQ157*AT157*VLOOKUP('Données projet'!$B$10,Paramètres!$A$1:$I$89,3,0)*0.475*44/12</f>
        <v>1.4947866366336377E-10</v>
      </c>
      <c r="AX157" s="21">
        <f t="shared" si="166"/>
        <v>84.118885214334568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-6.7984728957526396E-14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284.42619963941019</v>
      </c>
      <c r="BJ157" s="59">
        <f t="shared" si="146"/>
        <v>301.41905904220812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34.478659415577852</v>
      </c>
      <c r="BQ157" s="21">
        <f>EXP(-LN(2)/25)*BQ156+(1-EXP(-LN(2)/25))/(LN(2)/25)*Calculateur!BL157*Calculateur!BN157*VLOOKUP('Données projet'!$B$11,Paramètres!$A$1:$I$89,3,0)*0.475*44/12</f>
        <v>3.9479585173548277</v>
      </c>
      <c r="BR157" s="21">
        <f>EXP(-LN(2)/2)*BR156+(1-EXP(-LN(2)/2))/(LN(2)/2)*BL157*BO157*VLOOKUP('Données projet'!$B$11,Paramètres!$A$1:$I$89,3,0)*0.475*44/12</f>
        <v>2.0206205113253428E-12</v>
      </c>
      <c r="BS157" s="22">
        <f t="shared" si="169"/>
        <v>38.426617932934697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490.96084572840579</v>
      </c>
      <c r="T158" s="59">
        <f t="shared" si="142"/>
        <v>597.91658789908263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52.182159810145876</v>
      </c>
      <c r="AA158" s="21">
        <f>EXP(-LN(2)/25)*AA157+(1-EXP(-LN(2)/25))/(LN(2)/25)*Calculateur!V158*Calculateur!X158*VLOOKUP('Données projet'!$B$9,Paramètres!$A$1:$I$89,3,0)*0.475*44/12</f>
        <v>6.1306579149025779</v>
      </c>
      <c r="AB158" s="21">
        <f>EXP(-LN(2)/2)*AB157+(1-EXP(-LN(2)/2))/(LN(2)/2)*V158*Y158*VLOOKUP('Données projet'!$B$9,Paramètres!$A$1:$I$89,3,0)*0.475*44/12</f>
        <v>1.817136207387E-12</v>
      </c>
      <c r="AC158" s="22">
        <f t="shared" si="163"/>
        <v>58.312817725050273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-1.064108801074326E-13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482.28841373508675</v>
      </c>
      <c r="AO158" s="59">
        <f t="shared" si="144"/>
        <v>746.97309214631684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73.727829883121103</v>
      </c>
      <c r="AV158" s="21">
        <f>EXP(-LN(2)/25)*AV157+(1-EXP(-LN(2)/25))/(LN(2)/25)*Calculateur!AQ158*Calculateur!AS158*VLOOKUP('Données projet'!$B$10,Paramètres!$A$1:$I$89,3,0)*0.475*44/12</f>
        <v>8.6725611922462384</v>
      </c>
      <c r="AW158" s="21">
        <f>EXP(-LN(2)/2)*AW157+(1-EXP(-LN(2)/2))/(LN(2)/2)*AQ158*AT158*VLOOKUP('Données projet'!$B$10,Paramètres!$A$1:$I$89,3,0)*0.475*44/12</f>
        <v>1.056973767190677E-10</v>
      </c>
      <c r="AX158" s="21">
        <f t="shared" si="166"/>
        <v>82.400391075473038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-6.7984728957526396E-14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284.42619963941019</v>
      </c>
      <c r="BJ158" s="59">
        <f t="shared" si="146"/>
        <v>301.41905904220812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33.802553934344083</v>
      </c>
      <c r="BQ158" s="21">
        <f>EXP(-LN(2)/25)*BQ157+(1-EXP(-LN(2)/25))/(LN(2)/25)*Calculateur!BL158*Calculateur!BN158*VLOOKUP('Données projet'!$B$11,Paramètres!$A$1:$I$89,3,0)*0.475*44/12</f>
        <v>3.8400013840836449</v>
      </c>
      <c r="BR158" s="21">
        <f>EXP(-LN(2)/2)*BR157+(1-EXP(-LN(2)/2))/(LN(2)/2)*BL158*BO158*VLOOKUP('Données projet'!$B$11,Paramètres!$A$1:$I$89,3,0)*0.475*44/12</f>
        <v>1.428794465762779E-12</v>
      </c>
      <c r="BS158" s="22">
        <f t="shared" si="169"/>
        <v>37.642555318429153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490.96084572840579</v>
      </c>
      <c r="T159" s="59">
        <f t="shared" si="142"/>
        <v>597.91658789908263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51.158899484243648</v>
      </c>
      <c r="AA159" s="21">
        <f>EXP(-LN(2)/25)*AA158+(1-EXP(-LN(2)/25))/(LN(2)/25)*Calculateur!V159*Calculateur!X159*VLOOKUP('Données projet'!$B$9,Paramètres!$A$1:$I$89,3,0)*0.475*44/12</f>
        <v>5.9630147518222794</v>
      </c>
      <c r="AB159" s="21">
        <f>EXP(-LN(2)/2)*AB158+(1-EXP(-LN(2)/2))/(LN(2)/2)*V159*Y159*VLOOKUP('Données projet'!$B$9,Paramètres!$A$1:$I$89,3,0)*0.475*44/12</f>
        <v>1.2849093345829525E-12</v>
      </c>
      <c r="AC159" s="22">
        <f t="shared" si="163"/>
        <v>57.121914236067212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-1.064108801074326E-13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482.28841373508675</v>
      </c>
      <c r="AO159" s="59">
        <f t="shared" si="144"/>
        <v>746.97309214631684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72.282072108648961</v>
      </c>
      <c r="AV159" s="21">
        <f>EXP(-LN(2)/25)*AV158+(1-EXP(-LN(2)/25))/(LN(2)/25)*Calculateur!AQ159*Calculateur!AS159*VLOOKUP('Données projet'!$B$10,Paramètres!$A$1:$I$89,3,0)*0.475*44/12</f>
        <v>8.4354095503740929</v>
      </c>
      <c r="AW159" s="21">
        <f>EXP(-LN(2)/2)*AW158+(1-EXP(-LN(2)/2))/(LN(2)/2)*AQ159*AT159*VLOOKUP('Données projet'!$B$10,Paramètres!$A$1:$I$89,3,0)*0.475*44/12</f>
        <v>7.4739331831681884E-11</v>
      </c>
      <c r="AX159" s="21">
        <f t="shared" si="166"/>
        <v>80.717481659097785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-6.7984728957526396E-14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284.42619963941019</v>
      </c>
      <c r="BJ159" s="59">
        <f t="shared" si="146"/>
        <v>301.41905904220812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33.139706469213685</v>
      </c>
      <c r="BQ159" s="21">
        <f>EXP(-LN(2)/25)*BQ158+(1-EXP(-LN(2)/25))/(LN(2)/25)*Calculateur!BL159*Calculateur!BN159*VLOOKUP('Données projet'!$B$11,Paramètres!$A$1:$I$89,3,0)*0.475*44/12</f>
        <v>3.7349963442989811</v>
      </c>
      <c r="BR159" s="21">
        <f>EXP(-LN(2)/2)*BR158+(1-EXP(-LN(2)/2))/(LN(2)/2)*BL159*BO159*VLOOKUP('Données projet'!$B$11,Paramètres!$A$1:$I$89,3,0)*0.475*44/12</f>
        <v>1.0103102556626714E-12</v>
      </c>
      <c r="BS159" s="22">
        <f t="shared" si="169"/>
        <v>36.874702813513679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490.96084572840579</v>
      </c>
      <c r="T160" s="59">
        <f t="shared" si="142"/>
        <v>597.91658789908263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50.155704669205193</v>
      </c>
      <c r="AA160" s="21">
        <f>EXP(-LN(2)/25)*AA159+(1-EXP(-LN(2)/25))/(LN(2)/25)*Calculateur!V160*Calculateur!X160*VLOOKUP('Données projet'!$B$9,Paramètres!$A$1:$I$89,3,0)*0.475*44/12</f>
        <v>5.7999557998523823</v>
      </c>
      <c r="AB160" s="21">
        <f>EXP(-LN(2)/2)*AB159+(1-EXP(-LN(2)/2))/(LN(2)/2)*V160*Y160*VLOOKUP('Données projet'!$B$9,Paramètres!$A$1:$I$89,3,0)*0.475*44/12</f>
        <v>9.0856810369350022E-13</v>
      </c>
      <c r="AC160" s="22">
        <f t="shared" si="163"/>
        <v>55.955660469058486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-1.064108801074326E-13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482.28841373508675</v>
      </c>
      <c r="AO160" s="59">
        <f t="shared" si="144"/>
        <v>746.97309214631684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70.864664762309047</v>
      </c>
      <c r="AV160" s="21">
        <f>EXP(-LN(2)/25)*AV159+(1-EXP(-LN(2)/25))/(LN(2)/25)*Calculateur!AQ160*Calculateur!AS160*VLOOKUP('Données projet'!$B$10,Paramètres!$A$1:$I$89,3,0)*0.475*44/12</f>
        <v>8.2047428326202052</v>
      </c>
      <c r="AW160" s="21">
        <f>EXP(-LN(2)/2)*AW159+(1-EXP(-LN(2)/2))/(LN(2)/2)*AQ160*AT160*VLOOKUP('Données projet'!$B$10,Paramètres!$A$1:$I$89,3,0)*0.475*44/12</f>
        <v>5.2848688359533849E-11</v>
      </c>
      <c r="AX160" s="21">
        <f t="shared" si="166"/>
        <v>79.06940759498211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-6.7984728957526396E-14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284.42619963941019</v>
      </c>
      <c r="BJ160" s="59">
        <f t="shared" si="146"/>
        <v>301.41905904220812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32.489857038577462</v>
      </c>
      <c r="BQ160" s="21">
        <f>EXP(-LN(2)/25)*BQ159+(1-EXP(-LN(2)/25))/(LN(2)/25)*Calculateur!BL160*Calculateur!BN160*VLOOKUP('Données projet'!$B$11,Paramètres!$A$1:$I$89,3,0)*0.475*44/12</f>
        <v>3.6328626728492042</v>
      </c>
      <c r="BR160" s="21">
        <f>EXP(-LN(2)/2)*BR159+(1-EXP(-LN(2)/2))/(LN(2)/2)*BL160*BO160*VLOOKUP('Données projet'!$B$11,Paramètres!$A$1:$I$89,3,0)*0.475*44/12</f>
        <v>7.1439723288138948E-13</v>
      </c>
      <c r="BS160" s="22">
        <f t="shared" si="169"/>
        <v>36.122719711427386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490.96084572840579</v>
      </c>
      <c r="T161" s="59">
        <f t="shared" si="142"/>
        <v>597.91658789908263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49.172181892601223</v>
      </c>
      <c r="AA161" s="21">
        <f>EXP(-LN(2)/25)*AA160+(1-EXP(-LN(2)/25))/(LN(2)/25)*Calculateur!V161*Calculateur!X161*VLOOKUP('Données projet'!$B$9,Paramètres!$A$1:$I$89,3,0)*0.475*44/12</f>
        <v>5.6413557034989994</v>
      </c>
      <c r="AB161" s="21">
        <f>EXP(-LN(2)/2)*AB160+(1-EXP(-LN(2)/2))/(LN(2)/2)*V161*Y161*VLOOKUP('Données projet'!$B$9,Paramètres!$A$1:$I$89,3,0)*0.475*44/12</f>
        <v>6.4245466729147633E-13</v>
      </c>
      <c r="AC161" s="22">
        <f t="shared" si="163"/>
        <v>54.813537596100865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-1.064108801074326E-13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482.28841373508675</v>
      </c>
      <c r="AO161" s="59">
        <f t="shared" si="144"/>
        <v>746.97309214631684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69.475051909497736</v>
      </c>
      <c r="AV161" s="21">
        <f>EXP(-LN(2)/25)*AV160+(1-EXP(-LN(2)/25))/(LN(2)/25)*Calculateur!AQ161*Calculateur!AS161*VLOOKUP('Données projet'!$B$10,Paramètres!$A$1:$I$89,3,0)*0.475*44/12</f>
        <v>7.9803837083935321</v>
      </c>
      <c r="AW161" s="21">
        <f>EXP(-LN(2)/2)*AW160+(1-EXP(-LN(2)/2))/(LN(2)/2)*AQ161*AT161*VLOOKUP('Données projet'!$B$10,Paramètres!$A$1:$I$89,3,0)*0.475*44/12</f>
        <v>3.7369665915840942E-11</v>
      </c>
      <c r="AX161" s="21">
        <f t="shared" si="166"/>
        <v>77.455435617928643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-6.7984728957526396E-14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284.42619963941019</v>
      </c>
      <c r="BJ161" s="59">
        <f t="shared" si="146"/>
        <v>301.41905904220812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31.852750758907</v>
      </c>
      <c r="BQ161" s="21">
        <f>EXP(-LN(2)/25)*BQ160+(1-EXP(-LN(2)/25))/(LN(2)/25)*Calculateur!BL161*Calculateur!BN161*VLOOKUP('Données projet'!$B$11,Paramètres!$A$1:$I$89,3,0)*0.475*44/12</f>
        <v>3.533521852016198</v>
      </c>
      <c r="BR161" s="21">
        <f>EXP(-LN(2)/2)*BR160+(1-EXP(-LN(2)/2))/(LN(2)/2)*BL161*BO161*VLOOKUP('Données projet'!$B$11,Paramètres!$A$1:$I$89,3,0)*0.475*44/12</f>
        <v>5.0515512783133569E-13</v>
      </c>
      <c r="BS161" s="22">
        <f t="shared" si="169"/>
        <v>35.386272610923704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490.96084572840579</v>
      </c>
      <c r="T162" s="59">
        <f t="shared" si="142"/>
        <v>597.91658789908263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48.207945397756795</v>
      </c>
      <c r="AA162" s="21">
        <f>EXP(-LN(2)/25)*AA161+(1-EXP(-LN(2)/25))/(LN(2)/25)*Calculateur!V162*Calculateur!X162*VLOOKUP('Données projet'!$B$9,Paramètres!$A$1:$I$89,3,0)*0.475*44/12</f>
        <v>5.4870925351208166</v>
      </c>
      <c r="AB162" s="21">
        <f>EXP(-LN(2)/2)*AB161+(1-EXP(-LN(2)/2))/(LN(2)/2)*V162*Y162*VLOOKUP('Données projet'!$B$9,Paramètres!$A$1:$I$89,3,0)*0.475*44/12</f>
        <v>4.5428405184675016E-13</v>
      </c>
      <c r="AC162" s="22">
        <f t="shared" si="163"/>
        <v>53.695037932878066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-1.064108801074326E-13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482.28841373508675</v>
      </c>
      <c r="AO162" s="59">
        <f t="shared" si="144"/>
        <v>746.97309214631684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68.112688517149905</v>
      </c>
      <c r="AV162" s="21">
        <f>EXP(-LN(2)/25)*AV161+(1-EXP(-LN(2)/25))/(LN(2)/25)*Calculateur!AQ162*Calculateur!AS162*VLOOKUP('Données projet'!$B$10,Paramètres!$A$1:$I$89,3,0)*0.475*44/12</f>
        <v>7.7621596962173713</v>
      </c>
      <c r="AW162" s="21">
        <f>EXP(-LN(2)/2)*AW161+(1-EXP(-LN(2)/2))/(LN(2)/2)*AQ162*AT162*VLOOKUP('Données projet'!$B$10,Paramètres!$A$1:$I$89,3,0)*0.475*44/12</f>
        <v>2.6424344179766924E-11</v>
      </c>
      <c r="AX162" s="21">
        <f t="shared" si="166"/>
        <v>75.87484821339369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-6.7984728957526396E-14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284.42619963941019</v>
      </c>
      <c r="BJ162" s="59">
        <f t="shared" si="146"/>
        <v>301.41905904220812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31.228137744784416</v>
      </c>
      <c r="BQ162" s="21">
        <f>EXP(-LN(2)/25)*BQ161+(1-EXP(-LN(2)/25))/(LN(2)/25)*Calculateur!BL162*Calculateur!BN162*VLOOKUP('Données projet'!$B$11,Paramètres!$A$1:$I$89,3,0)*0.475*44/12</f>
        <v>3.4368975111529769</v>
      </c>
      <c r="BR162" s="21">
        <f>EXP(-LN(2)/2)*BR161+(1-EXP(-LN(2)/2))/(LN(2)/2)*BL162*BO162*VLOOKUP('Données projet'!$B$11,Paramètres!$A$1:$I$89,3,0)*0.475*44/12</f>
        <v>3.5719861644069474E-13</v>
      </c>
      <c r="BS162" s="22">
        <f t="shared" si="169"/>
        <v>34.665035255937745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490.96084572840579</v>
      </c>
      <c r="T163" s="59">
        <f t="shared" si="142"/>
        <v>597.91658789908263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47.262616992450077</v>
      </c>
      <c r="AA163" s="21">
        <f>EXP(-LN(2)/25)*AA162+(1-EXP(-LN(2)/25))/(LN(2)/25)*Calculateur!V163*Calculateur!X163*VLOOKUP('Données projet'!$B$9,Paramètres!$A$1:$I$89,3,0)*0.475*44/12</f>
        <v>5.3370477011942823</v>
      </c>
      <c r="AB163" s="21">
        <f>EXP(-LN(2)/2)*AB162+(1-EXP(-LN(2)/2))/(LN(2)/2)*V163*Y163*VLOOKUP('Données projet'!$B$9,Paramètres!$A$1:$I$89,3,0)*0.475*44/12</f>
        <v>3.2122733364573822E-13</v>
      </c>
      <c r="AC163" s="22">
        <f t="shared" si="163"/>
        <v>52.599664693644677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-1.064108801074326E-13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482.28841373508675</v>
      </c>
      <c r="AO163" s="59">
        <f t="shared" si="144"/>
        <v>746.97309214631684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66.777040239966396</v>
      </c>
      <c r="AV163" s="21">
        <f>EXP(-LN(2)/25)*AV162+(1-EXP(-LN(2)/25))/(LN(2)/25)*Calculateur!AQ163*Calculateur!AS163*VLOOKUP('Données projet'!$B$10,Paramètres!$A$1:$I$89,3,0)*0.475*44/12</f>
        <v>7.5499030311300697</v>
      </c>
      <c r="AW163" s="21">
        <f>EXP(-LN(2)/2)*AW162+(1-EXP(-LN(2)/2))/(LN(2)/2)*AQ163*AT163*VLOOKUP('Données projet'!$B$10,Paramètres!$A$1:$I$89,3,0)*0.475*44/12</f>
        <v>1.8684832957920471E-11</v>
      </c>
      <c r="AX163" s="21">
        <f t="shared" si="166"/>
        <v>74.326943271115155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-6.7984728957526396E-14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284.42619963941019</v>
      </c>
      <c r="BJ163" s="59">
        <f t="shared" si="146"/>
        <v>301.41905904220812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30.615773010892454</v>
      </c>
      <c r="BQ163" s="21">
        <f>EXP(-LN(2)/25)*BQ162+(1-EXP(-LN(2)/25))/(LN(2)/25)*Calculateur!BL163*Calculateur!BN163*VLOOKUP('Données projet'!$B$11,Paramètres!$A$1:$I$89,3,0)*0.475*44/12</f>
        <v>3.3429153679719139</v>
      </c>
      <c r="BR163" s="21">
        <f>EXP(-LN(2)/2)*BR162+(1-EXP(-LN(2)/2))/(LN(2)/2)*BL163*BO163*VLOOKUP('Données projet'!$B$11,Paramètres!$A$1:$I$89,3,0)*0.475*44/12</f>
        <v>2.5257756391566785E-13</v>
      </c>
      <c r="BS163" s="22">
        <f t="shared" si="169"/>
        <v>33.958688378864622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490.96084572840579</v>
      </c>
      <c r="T164" s="59">
        <f t="shared" si="142"/>
        <v>597.91658789908263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46.33582590057803</v>
      </c>
      <c r="AA164" s="21">
        <f>EXP(-LN(2)/25)*AA163+(1-EXP(-LN(2)/25))/(LN(2)/25)*Calculateur!V164*Calculateur!X164*VLOOKUP('Données projet'!$B$9,Paramètres!$A$1:$I$89,3,0)*0.475*44/12</f>
        <v>5.1911058511419839</v>
      </c>
      <c r="AB164" s="21">
        <f>EXP(-LN(2)/2)*AB163+(1-EXP(-LN(2)/2))/(LN(2)/2)*V164*Y164*VLOOKUP('Données projet'!$B$9,Paramètres!$A$1:$I$89,3,0)*0.475*44/12</f>
        <v>2.2714202592337513E-13</v>
      </c>
      <c r="AC164" s="22">
        <f t="shared" si="163"/>
        <v>51.526931751720241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-1.064108801074326E-13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482.28841373508675</v>
      </c>
      <c r="AO164" s="59">
        <f t="shared" si="144"/>
        <v>746.97309214631684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65.467583210833453</v>
      </c>
      <c r="AV164" s="21">
        <f>EXP(-LN(2)/25)*AV163+(1-EXP(-LN(2)/25))/(LN(2)/25)*Calculateur!AQ164*Calculateur!AS164*VLOOKUP('Données projet'!$B$10,Paramètres!$A$1:$I$89,3,0)*0.475*44/12</f>
        <v>7.3434505357116731</v>
      </c>
      <c r="AW164" s="21">
        <f>EXP(-LN(2)/2)*AW163+(1-EXP(-LN(2)/2))/(LN(2)/2)*AQ164*AT164*VLOOKUP('Données projet'!$B$10,Paramètres!$A$1:$I$89,3,0)*0.475*44/12</f>
        <v>1.3212172089883462E-11</v>
      </c>
      <c r="AX164" s="21">
        <f t="shared" si="166"/>
        <v>72.811033746558337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-6.7984728957526396E-14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284.42619963941019</v>
      </c>
      <c r="BJ164" s="59">
        <f t="shared" si="146"/>
        <v>301.41905904220812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30.015416375926506</v>
      </c>
      <c r="BQ164" s="21">
        <f>EXP(-LN(2)/25)*BQ163+(1-EXP(-LN(2)/25))/(LN(2)/25)*Calculateur!BL164*Calculateur!BN164*VLOOKUP('Données projet'!$B$11,Paramètres!$A$1:$I$89,3,0)*0.475*44/12</f>
        <v>3.251503171438443</v>
      </c>
      <c r="BR164" s="21">
        <f>EXP(-LN(2)/2)*BR163+(1-EXP(-LN(2)/2))/(LN(2)/2)*BL164*BO164*VLOOKUP('Données projet'!$B$11,Paramètres!$A$1:$I$89,3,0)*0.475*44/12</f>
        <v>1.7859930822034737E-13</v>
      </c>
      <c r="BS164" s="22">
        <f t="shared" si="169"/>
        <v>33.266919547365127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490.96084572840579</v>
      </c>
      <c r="T165" s="59">
        <f t="shared" si="142"/>
        <v>597.91658789908263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45.427208616730844</v>
      </c>
      <c r="AA165" s="21">
        <f>EXP(-LN(2)/25)*AA164+(1-EXP(-LN(2)/25))/(LN(2)/25)*Calculateur!V165*Calculateur!X165*VLOOKUP('Données projet'!$B$9,Paramètres!$A$1:$I$89,3,0)*0.475*44/12</f>
        <v>5.0491547886541142</v>
      </c>
      <c r="AB165" s="21">
        <f>EXP(-LN(2)/2)*AB164+(1-EXP(-LN(2)/2))/(LN(2)/2)*V165*Y165*VLOOKUP('Données projet'!$B$9,Paramètres!$A$1:$I$89,3,0)*0.475*44/12</f>
        <v>1.6061366682286913E-13</v>
      </c>
      <c r="AC165" s="22">
        <f t="shared" si="163"/>
        <v>50.476363405385122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-1.064108801074326E-13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482.28841373508675</v>
      </c>
      <c r="AO165" s="59">
        <f t="shared" si="144"/>
        <v>746.97309214631684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64.183803835351881</v>
      </c>
      <c r="AV165" s="21">
        <f>EXP(-LN(2)/25)*AV164+(1-EXP(-LN(2)/25))/(LN(2)/25)*Calculateur!AQ165*Calculateur!AS165*VLOOKUP('Données projet'!$B$10,Paramètres!$A$1:$I$89,3,0)*0.475*44/12</f>
        <v>7.1426434946373574</v>
      </c>
      <c r="AW165" s="21">
        <f>EXP(-LN(2)/2)*AW164+(1-EXP(-LN(2)/2))/(LN(2)/2)*AQ165*AT165*VLOOKUP('Données projet'!$B$10,Paramètres!$A$1:$I$89,3,0)*0.475*44/12</f>
        <v>9.3424164789602355E-12</v>
      </c>
      <c r="AX165" s="21">
        <f t="shared" si="166"/>
        <v>71.326447329998572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-6.7984728957526396E-14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284.42619963941019</v>
      </c>
      <c r="BJ165" s="59">
        <f t="shared" si="146"/>
        <v>301.41905904220812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29.426832368390851</v>
      </c>
      <c r="BQ165" s="21">
        <f>EXP(-LN(2)/25)*BQ164+(1-EXP(-LN(2)/25))/(LN(2)/25)*Calculateur!BL165*Calculateur!BN165*VLOOKUP('Données projet'!$B$11,Paramètres!$A$1:$I$89,3,0)*0.475*44/12</f>
        <v>3.1625906462263385</v>
      </c>
      <c r="BR165" s="21">
        <f>EXP(-LN(2)/2)*BR164+(1-EXP(-LN(2)/2))/(LN(2)/2)*BL165*BO165*VLOOKUP('Données projet'!$B$11,Paramètres!$A$1:$I$89,3,0)*0.475*44/12</f>
        <v>1.2628878195783392E-13</v>
      </c>
      <c r="BS165" s="22">
        <f t="shared" si="169"/>
        <v>32.589423014617317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490.96084572840579</v>
      </c>
      <c r="T166" s="59">
        <f t="shared" si="142"/>
        <v>597.91658789908263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44.536408763618084</v>
      </c>
      <c r="AA166" s="21">
        <f>EXP(-LN(2)/25)*AA165+(1-EXP(-LN(2)/25))/(LN(2)/25)*Calculateur!V166*Calculateur!X166*VLOOKUP('Données projet'!$B$9,Paramètres!$A$1:$I$89,3,0)*0.475*44/12</f>
        <v>4.9110853854348573</v>
      </c>
      <c r="AB166" s="21">
        <f>EXP(-LN(2)/2)*AB165+(1-EXP(-LN(2)/2))/(LN(2)/2)*V166*Y166*VLOOKUP('Données projet'!$B$9,Paramètres!$A$1:$I$89,3,0)*0.475*44/12</f>
        <v>1.1357101296168758E-13</v>
      </c>
      <c r="AC166" s="22">
        <f t="shared" si="163"/>
        <v>49.447494149053057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-1.064108801074326E-13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482.28841373508675</v>
      </c>
      <c r="AO166" s="59">
        <f t="shared" si="144"/>
        <v>746.97309214631684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62.925198590395404</v>
      </c>
      <c r="AV166" s="21">
        <f>EXP(-LN(2)/25)*AV165+(1-EXP(-LN(2)/25))/(LN(2)/25)*Calculateur!AQ166*Calculateur!AS166*VLOOKUP('Données projet'!$B$10,Paramètres!$A$1:$I$89,3,0)*0.475*44/12</f>
        <v>6.9473275326612018</v>
      </c>
      <c r="AW166" s="21">
        <f>EXP(-LN(2)/2)*AW165+(1-EXP(-LN(2)/2))/(LN(2)/2)*AQ166*AT166*VLOOKUP('Données projet'!$B$10,Paramètres!$A$1:$I$89,3,0)*0.475*44/12</f>
        <v>6.6060860449417311E-12</v>
      </c>
      <c r="AX166" s="21">
        <f t="shared" si="166"/>
        <v>69.87252612306321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-6.7984728957526396E-14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284.42619963941019</v>
      </c>
      <c r="BJ166" s="59">
        <f t="shared" si="146"/>
        <v>301.41905904220812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28.849790134242173</v>
      </c>
      <c r="BQ166" s="21">
        <f>EXP(-LN(2)/25)*BQ165+(1-EXP(-LN(2)/25))/(LN(2)/25)*Calculateur!BL166*Calculateur!BN166*VLOOKUP('Données projet'!$B$11,Paramètres!$A$1:$I$89,3,0)*0.475*44/12</f>
        <v>3.0761094386918653</v>
      </c>
      <c r="BR166" s="21">
        <f>EXP(-LN(2)/2)*BR165+(1-EXP(-LN(2)/2))/(LN(2)/2)*BL166*BO166*VLOOKUP('Données projet'!$B$11,Paramètres!$A$1:$I$89,3,0)*0.475*44/12</f>
        <v>8.9299654110173685E-14</v>
      </c>
      <c r="BS166" s="22">
        <f t="shared" si="169"/>
        <v>31.925899572934128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490.96084572840579</v>
      </c>
      <c r="T167" s="59">
        <f t="shared" si="142"/>
        <v>597.91658789908263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43.663076952290602</v>
      </c>
      <c r="AA167" s="21">
        <f>EXP(-LN(2)/25)*AA166+(1-EXP(-LN(2)/25))/(LN(2)/25)*Calculateur!V167*Calculateur!X167*VLOOKUP('Données projet'!$B$9,Paramètres!$A$1:$I$89,3,0)*0.475*44/12</f>
        <v>4.7767914973073848</v>
      </c>
      <c r="AB167" s="21">
        <f>EXP(-LN(2)/2)*AB166+(1-EXP(-LN(2)/2))/(LN(2)/2)*V167*Y167*VLOOKUP('Données projet'!$B$9,Paramètres!$A$1:$I$89,3,0)*0.475*44/12</f>
        <v>8.0306833411434579E-14</v>
      </c>
      <c r="AC167" s="22">
        <f t="shared" si="163"/>
        <v>48.439868449598066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-1.064108801074326E-13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482.28841373508675</v>
      </c>
      <c r="AO167" s="59">
        <f t="shared" si="144"/>
        <v>746.97309214631684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61.691273826619124</v>
      </c>
      <c r="AV167" s="21">
        <f>EXP(-LN(2)/25)*AV166+(1-EXP(-LN(2)/25))/(LN(2)/25)*Calculateur!AQ167*Calculateur!AS167*VLOOKUP('Données projet'!$B$10,Paramètres!$A$1:$I$89,3,0)*0.475*44/12</f>
        <v>6.7573524959365043</v>
      </c>
      <c r="AW167" s="21">
        <f>EXP(-LN(2)/2)*AW166+(1-EXP(-LN(2)/2))/(LN(2)/2)*AQ167*AT167*VLOOKUP('Données projet'!$B$10,Paramètres!$A$1:$I$89,3,0)*0.475*44/12</f>
        <v>4.6712082394801178E-12</v>
      </c>
      <c r="AX167" s="21">
        <f t="shared" si="166"/>
        <v>68.448626322560301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-6.7984728957526396E-14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284.42619963941019</v>
      </c>
      <c r="BJ167" s="59">
        <f t="shared" si="146"/>
        <v>301.41905904220812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28.284063346344144</v>
      </c>
      <c r="BQ167" s="21">
        <f>EXP(-LN(2)/25)*BQ166+(1-EXP(-LN(2)/25))/(LN(2)/25)*Calculateur!BL167*Calculateur!BN167*VLOOKUP('Données projet'!$B$11,Paramètres!$A$1:$I$89,3,0)*0.475*44/12</f>
        <v>2.9919930643252712</v>
      </c>
      <c r="BR167" s="21">
        <f>EXP(-LN(2)/2)*BR166+(1-EXP(-LN(2)/2))/(LN(2)/2)*BL167*BO167*VLOOKUP('Données projet'!$B$11,Paramètres!$A$1:$I$89,3,0)*0.475*44/12</f>
        <v>6.3144390978916961E-14</v>
      </c>
      <c r="BS167" s="22">
        <f t="shared" si="169"/>
        <v>31.276056410669479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490.96084572840579</v>
      </c>
      <c r="T168" s="59">
        <f t="shared" si="142"/>
        <v>597.91658789908263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42.806870645103444</v>
      </c>
      <c r="AA168" s="21">
        <f>EXP(-LN(2)/25)*AA167+(1-EXP(-LN(2)/25))/(LN(2)/25)*Calculateur!V168*Calculateur!X168*VLOOKUP('Données projet'!$B$9,Paramètres!$A$1:$I$89,3,0)*0.475*44/12</f>
        <v>4.6461698826129672</v>
      </c>
      <c r="AB168" s="21">
        <f>EXP(-LN(2)/2)*AB167+(1-EXP(-LN(2)/2))/(LN(2)/2)*V168*Y168*VLOOKUP('Données projet'!$B$9,Paramètres!$A$1:$I$89,3,0)*0.475*44/12</f>
        <v>5.6785506480843802E-14</v>
      </c>
      <c r="AC168" s="22">
        <f t="shared" si="163"/>
        <v>47.453040527716468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-1.064108801074326E-13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482.28841373508675</v>
      </c>
      <c r="AO168" s="59">
        <f t="shared" si="144"/>
        <v>746.97309214631684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60.481545574840702</v>
      </c>
      <c r="AV168" s="21">
        <f>EXP(-LN(2)/25)*AV167+(1-EXP(-LN(2)/25))/(LN(2)/25)*Calculateur!AQ168*Calculateur!AS168*VLOOKUP('Données projet'!$B$10,Paramètres!$A$1:$I$89,3,0)*0.475*44/12</f>
        <v>6.5725723365813966</v>
      </c>
      <c r="AW168" s="21">
        <f>EXP(-LN(2)/2)*AW167+(1-EXP(-LN(2)/2))/(LN(2)/2)*AQ168*AT168*VLOOKUP('Données projet'!$B$10,Paramètres!$A$1:$I$89,3,0)*0.475*44/12</f>
        <v>3.3030430224708655E-12</v>
      </c>
      <c r="AX168" s="21">
        <f t="shared" si="166"/>
        <v>67.054117911425394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-6.7984728957526396E-14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284.42619963941019</v>
      </c>
      <c r="BJ168" s="59">
        <f t="shared" si="146"/>
        <v>301.41905904220812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27.729430115697525</v>
      </c>
      <c r="BQ168" s="21">
        <f>EXP(-LN(2)/25)*BQ167+(1-EXP(-LN(2)/25))/(LN(2)/25)*Calculateur!BL168*Calculateur!BN168*VLOOKUP('Données projet'!$B$11,Paramètres!$A$1:$I$89,3,0)*0.475*44/12</f>
        <v>2.9101768566392199</v>
      </c>
      <c r="BR168" s="21">
        <f>EXP(-LN(2)/2)*BR167+(1-EXP(-LN(2)/2))/(LN(2)/2)*BL168*BO168*VLOOKUP('Données projet'!$B$11,Paramètres!$A$1:$I$89,3,0)*0.475*44/12</f>
        <v>4.4649827055086842E-14</v>
      </c>
      <c r="BS168" s="22">
        <f t="shared" si="169"/>
        <v>30.639606972336789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490.96084572840579</v>
      </c>
      <c r="T169" s="59">
        <f t="shared" si="142"/>
        <v>597.91658789908263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41.967454021365953</v>
      </c>
      <c r="AA169" s="21">
        <f>EXP(-LN(2)/25)*AA168+(1-EXP(-LN(2)/25))/(LN(2)/25)*Calculateur!V169*Calculateur!X169*VLOOKUP('Données projet'!$B$9,Paramètres!$A$1:$I$89,3,0)*0.475*44/12</f>
        <v>4.5191201228414606</v>
      </c>
      <c r="AB169" s="21">
        <f>EXP(-LN(2)/2)*AB168+(1-EXP(-LN(2)/2))/(LN(2)/2)*V169*Y169*VLOOKUP('Données projet'!$B$9,Paramètres!$A$1:$I$89,3,0)*0.475*44/12</f>
        <v>4.0153416705717296E-14</v>
      </c>
      <c r="AC169" s="22">
        <f t="shared" si="163"/>
        <v>46.486574144207452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-1.064108801074326E-13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482.28841373508675</v>
      </c>
      <c r="AO169" s="59">
        <f t="shared" si="144"/>
        <v>746.97309214631684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59.295539356218285</v>
      </c>
      <c r="AV169" s="21">
        <f>EXP(-LN(2)/25)*AV168+(1-EXP(-LN(2)/25))/(LN(2)/25)*Calculateur!AQ169*Calculateur!AS169*VLOOKUP('Données projet'!$B$10,Paramètres!$A$1:$I$89,3,0)*0.475*44/12</f>
        <v>6.3928450004010209</v>
      </c>
      <c r="AW169" s="21">
        <f>EXP(-LN(2)/2)*AW168+(1-EXP(-LN(2)/2))/(LN(2)/2)*AQ169*AT169*VLOOKUP('Données projet'!$B$10,Paramètres!$A$1:$I$89,3,0)*0.475*44/12</f>
        <v>2.3356041197400589E-12</v>
      </c>
      <c r="AX169" s="21">
        <f t="shared" si="166"/>
        <v>65.68838435662164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-6.7984728957526396E-14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284.42619963941019</v>
      </c>
      <c r="BJ169" s="59">
        <f t="shared" si="146"/>
        <v>301.41905904220812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27.185672904411021</v>
      </c>
      <c r="BQ169" s="21">
        <f>EXP(-LN(2)/25)*BQ168+(1-EXP(-LN(2)/25))/(LN(2)/25)*Calculateur!BL169*Calculateur!BN169*VLOOKUP('Données projet'!$B$11,Paramètres!$A$1:$I$89,3,0)*0.475*44/12</f>
        <v>2.8305979174548708</v>
      </c>
      <c r="BR169" s="21">
        <f>EXP(-LN(2)/2)*BR168+(1-EXP(-LN(2)/2))/(LN(2)/2)*BL169*BO169*VLOOKUP('Données projet'!$B$11,Paramètres!$A$1:$I$89,3,0)*0.475*44/12</f>
        <v>3.1572195489458481E-14</v>
      </c>
      <c r="BS169" s="22">
        <f t="shared" si="169"/>
        <v>30.016270821865923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490.96084572840579</v>
      </c>
      <c r="T170" s="59">
        <f t="shared" si="142"/>
        <v>597.91658789908263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41.144497845626361</v>
      </c>
      <c r="AA170" s="21">
        <f>EXP(-LN(2)/25)*AA169+(1-EXP(-LN(2)/25))/(LN(2)/25)*Calculateur!V170*Calculateur!X170*VLOOKUP('Données projet'!$B$9,Paramètres!$A$1:$I$89,3,0)*0.475*44/12</f>
        <v>4.3955445454321618</v>
      </c>
      <c r="AB170" s="21">
        <f>EXP(-LN(2)/2)*AB169+(1-EXP(-LN(2)/2))/(LN(2)/2)*V170*Y170*VLOOKUP('Données projet'!$B$9,Paramètres!$A$1:$I$89,3,0)*0.475*44/12</f>
        <v>2.8392753240421904E-14</v>
      </c>
      <c r="AC170" s="22">
        <f t="shared" si="163"/>
        <v>45.540042391058549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-1.064108801074326E-13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482.28841373508675</v>
      </c>
      <c r="AO170" s="59">
        <f t="shared" si="144"/>
        <v>746.97309214631684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58.132789996150684</v>
      </c>
      <c r="AV170" s="21">
        <f>EXP(-LN(2)/25)*AV169+(1-EXP(-LN(2)/25))/(LN(2)/25)*Calculateur!AQ170*Calculateur!AS170*VLOOKUP('Données projet'!$B$10,Paramètres!$A$1:$I$89,3,0)*0.475*44/12</f>
        <v>6.2180323176799472</v>
      </c>
      <c r="AW170" s="21">
        <f>EXP(-LN(2)/2)*AW169+(1-EXP(-LN(2)/2))/(LN(2)/2)*AQ170*AT170*VLOOKUP('Données projet'!$B$10,Paramètres!$A$1:$I$89,3,0)*0.475*44/12</f>
        <v>1.6515215112354328E-12</v>
      </c>
      <c r="AX170" s="21">
        <f t="shared" si="166"/>
        <v>64.350822313832282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-6.7984728957526396E-14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284.42619963941019</v>
      </c>
      <c r="BJ170" s="59">
        <f t="shared" si="146"/>
        <v>301.41905904220812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26.652578440378694</v>
      </c>
      <c r="BQ170" s="21">
        <f>EXP(-LN(2)/25)*BQ169+(1-EXP(-LN(2)/25))/(LN(2)/25)*Calculateur!BL170*Calculateur!BN170*VLOOKUP('Données projet'!$B$11,Paramètres!$A$1:$I$89,3,0)*0.475*44/12</f>
        <v>2.7531950685473925</v>
      </c>
      <c r="BR170" s="21">
        <f>EXP(-LN(2)/2)*BR169+(1-EXP(-LN(2)/2))/(LN(2)/2)*BL170*BO170*VLOOKUP('Données projet'!$B$11,Paramètres!$A$1:$I$89,3,0)*0.475*44/12</f>
        <v>2.2324913527543421E-14</v>
      </c>
      <c r="BS170" s="22">
        <f t="shared" si="169"/>
        <v>29.405773508926107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490.96084572840579</v>
      </c>
      <c r="T171" s="59">
        <f t="shared" si="142"/>
        <v>597.91658789908263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40.337679338539324</v>
      </c>
      <c r="AA171" s="21">
        <f>EXP(-LN(2)/25)*AA170+(1-EXP(-LN(2)/25))/(LN(2)/25)*Calculateur!V171*Calculateur!X171*VLOOKUP('Données projet'!$B$9,Paramètres!$A$1:$I$89,3,0)*0.475*44/12</f>
        <v>4.2753481486856781</v>
      </c>
      <c r="AB171" s="21">
        <f>EXP(-LN(2)/2)*AB170+(1-EXP(-LN(2)/2))/(LN(2)/2)*V171*Y171*VLOOKUP('Données projet'!$B$9,Paramètres!$A$1:$I$89,3,0)*0.475*44/12</f>
        <v>2.0076708352858651E-14</v>
      </c>
      <c r="AC171" s="22">
        <f t="shared" si="163"/>
        <v>44.613027487225025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-1.064108801074326E-13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482.28841373508675</v>
      </c>
      <c r="AO171" s="59">
        <f t="shared" si="144"/>
        <v>746.97309214631684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56.992841441826933</v>
      </c>
      <c r="AV171" s="21">
        <f>EXP(-LN(2)/25)*AV170+(1-EXP(-LN(2)/25))/(LN(2)/25)*Calculateur!AQ171*Calculateur!AS171*VLOOKUP('Données projet'!$B$10,Paramètres!$A$1:$I$89,3,0)*0.475*44/12</f>
        <v>6.0479998969608806</v>
      </c>
      <c r="AW171" s="21">
        <f>EXP(-LN(2)/2)*AW170+(1-EXP(-LN(2)/2))/(LN(2)/2)*AQ171*AT171*VLOOKUP('Données projet'!$B$10,Paramètres!$A$1:$I$89,3,0)*0.475*44/12</f>
        <v>1.1678020598700294E-12</v>
      </c>
      <c r="AX171" s="21">
        <f t="shared" si="166"/>
        <v>63.040841338788979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-6.7984728957526396E-14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284.42619963941019</v>
      </c>
      <c r="BJ171" s="59">
        <f t="shared" si="146"/>
        <v>301.41905904220812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26.129937633630522</v>
      </c>
      <c r="BQ171" s="21">
        <f>EXP(-LN(2)/25)*BQ170+(1-EXP(-LN(2)/25))/(LN(2)/25)*Calculateur!BL171*Calculateur!BN171*VLOOKUP('Données projet'!$B$11,Paramètres!$A$1:$I$89,3,0)*0.475*44/12</f>
        <v>2.677908804613728</v>
      </c>
      <c r="BR171" s="21">
        <f>EXP(-LN(2)/2)*BR170+(1-EXP(-LN(2)/2))/(LN(2)/2)*BL171*BO171*VLOOKUP('Données projet'!$B$11,Paramètres!$A$1:$I$89,3,0)*0.475*44/12</f>
        <v>1.578609774472924E-14</v>
      </c>
      <c r="BS171" s="22">
        <f t="shared" si="169"/>
        <v>28.807846438244265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490.96084572840579</v>
      </c>
      <c r="T172" s="59">
        <f t="shared" si="142"/>
        <v>597.91658789908263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39.546682050265566</v>
      </c>
      <c r="AA172" s="21">
        <f>EXP(-LN(2)/25)*AA171+(1-EXP(-LN(2)/25))/(LN(2)/25)*Calculateur!V172*Calculateur!X172*VLOOKUP('Données projet'!$B$9,Paramètres!$A$1:$I$89,3,0)*0.475*44/12</f>
        <v>4.1584385287290804</v>
      </c>
      <c r="AB172" s="21">
        <f>EXP(-LN(2)/2)*AB171+(1-EXP(-LN(2)/2))/(LN(2)/2)*V172*Y172*VLOOKUP('Données projet'!$B$9,Paramètres!$A$1:$I$89,3,0)*0.475*44/12</f>
        <v>1.4196376620210954E-14</v>
      </c>
      <c r="AC172" s="22">
        <f t="shared" si="163"/>
        <v>43.705120578994659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-1.064108801074326E-13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482.28841373508675</v>
      </c>
      <c r="AO172" s="59">
        <f t="shared" si="144"/>
        <v>746.97309214631684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55.875246583353501</v>
      </c>
      <c r="AV172" s="21">
        <f>EXP(-LN(2)/25)*AV171+(1-EXP(-LN(2)/25))/(LN(2)/25)*Calculateur!AQ172*Calculateur!AS172*VLOOKUP('Données projet'!$B$10,Paramètres!$A$1:$I$89,3,0)*0.475*44/12</f>
        <v>5.8826170217279934</v>
      </c>
      <c r="AW172" s="21">
        <f>EXP(-LN(2)/2)*AW171+(1-EXP(-LN(2)/2))/(LN(2)/2)*AQ172*AT172*VLOOKUP('Données projet'!$B$10,Paramètres!$A$1:$I$89,3,0)*0.475*44/12</f>
        <v>8.2576075561771639E-13</v>
      </c>
      <c r="AX172" s="21">
        <f t="shared" si="166"/>
        <v>61.757863605082321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-6.7984728957526396E-14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284.42619963941019</v>
      </c>
      <c r="BJ172" s="59">
        <f t="shared" si="146"/>
        <v>301.41905904220812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25.617545494323267</v>
      </c>
      <c r="BQ172" s="21">
        <f>EXP(-LN(2)/25)*BQ171+(1-EXP(-LN(2)/25))/(LN(2)/25)*Calculateur!BL172*Calculateur!BN172*VLOOKUP('Données projet'!$B$11,Paramètres!$A$1:$I$89,3,0)*0.475*44/12</f>
        <v>2.6046812475264622</v>
      </c>
      <c r="BR172" s="21">
        <f>EXP(-LN(2)/2)*BR171+(1-EXP(-LN(2)/2))/(LN(2)/2)*BL172*BO172*VLOOKUP('Données projet'!$B$11,Paramètres!$A$1:$I$89,3,0)*0.475*44/12</f>
        <v>1.1162456763771711E-14</v>
      </c>
      <c r="BS172" s="22">
        <f t="shared" si="169"/>
        <v>28.222226741849738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490.96084572840579</v>
      </c>
      <c r="T173" s="59">
        <f t="shared" si="142"/>
        <v>597.91658789908263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38.771195736354152</v>
      </c>
      <c r="AA173" s="21">
        <f>EXP(-LN(2)/25)*AA172+(1-EXP(-LN(2)/25))/(LN(2)/25)*Calculateur!V173*Calculateur!X173*VLOOKUP('Données projet'!$B$9,Paramètres!$A$1:$I$89,3,0)*0.475*44/12</f>
        <v>4.0447258084782058</v>
      </c>
      <c r="AB173" s="21">
        <f>EXP(-LN(2)/2)*AB172+(1-EXP(-LN(2)/2))/(LN(2)/2)*V173*Y173*VLOOKUP('Données projet'!$B$9,Paramètres!$A$1:$I$89,3,0)*0.475*44/12</f>
        <v>1.0038354176429327E-14</v>
      </c>
      <c r="AC173" s="22">
        <f t="shared" si="163"/>
        <v>42.815921544832364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-1.064108801074326E-13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482.28841373508675</v>
      </c>
      <c r="AO173" s="59">
        <f t="shared" si="144"/>
        <v>746.97309214631684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54.779567078389185</v>
      </c>
      <c r="AV173" s="21">
        <f>EXP(-LN(2)/25)*AV172+(1-EXP(-LN(2)/25))/(LN(2)/25)*Calculateur!AQ173*Calculateur!AS173*VLOOKUP('Données projet'!$B$10,Paramètres!$A$1:$I$89,3,0)*0.475*44/12</f>
        <v>5.7217565499154572</v>
      </c>
      <c r="AW173" s="21">
        <f>EXP(-LN(2)/2)*AW172+(1-EXP(-LN(2)/2))/(LN(2)/2)*AQ173*AT173*VLOOKUP('Données projet'!$B$10,Paramètres!$A$1:$I$89,3,0)*0.475*44/12</f>
        <v>5.8390102993501472E-13</v>
      </c>
      <c r="AX173" s="21">
        <f t="shared" si="166"/>
        <v>60.501323628305222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-6.7984728957526396E-14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284.42619963941019</v>
      </c>
      <c r="BJ173" s="59">
        <f t="shared" si="146"/>
        <v>301.41905904220812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25.115201052339483</v>
      </c>
      <c r="BQ173" s="21">
        <f>EXP(-LN(2)/25)*BQ172+(1-EXP(-LN(2)/25))/(LN(2)/25)*Calculateur!BL173*Calculateur!BN173*VLOOKUP('Données projet'!$B$11,Paramètres!$A$1:$I$89,3,0)*0.475*44/12</f>
        <v>2.5334561018386172</v>
      </c>
      <c r="BR173" s="21">
        <f>EXP(-LN(2)/2)*BR172+(1-EXP(-LN(2)/2))/(LN(2)/2)*BL173*BO173*VLOOKUP('Données projet'!$B$11,Paramètres!$A$1:$I$89,3,0)*0.475*44/12</f>
        <v>7.8930488723646202E-15</v>
      </c>
      <c r="BS173" s="22">
        <f t="shared" si="169"/>
        <v>27.648657154178107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490.96084572840579</v>
      </c>
      <c r="T174" s="59">
        <f t="shared" si="142"/>
        <v>597.91658789908263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38.010916236058591</v>
      </c>
      <c r="AA174" s="21">
        <f>EXP(-LN(2)/25)*AA173+(1-EXP(-LN(2)/25))/(LN(2)/25)*Calculateur!V174*Calculateur!X174*VLOOKUP('Données projet'!$B$9,Paramètres!$A$1:$I$89,3,0)*0.475*44/12</f>
        <v>3.9341225685424832</v>
      </c>
      <c r="AB174" s="21">
        <f>EXP(-LN(2)/2)*AB173+(1-EXP(-LN(2)/2))/(LN(2)/2)*V174*Y174*VLOOKUP('Données projet'!$B$9,Paramètres!$A$1:$I$89,3,0)*0.475*44/12</f>
        <v>7.0981883101054784E-15</v>
      </c>
      <c r="AC174" s="22">
        <f t="shared" si="163"/>
        <v>41.945038804601083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-1.064108801074326E-13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482.28841373508675</v>
      </c>
      <c r="AO174" s="59">
        <f t="shared" si="144"/>
        <v>746.97309214631684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53.705373180218707</v>
      </c>
      <c r="AV174" s="21">
        <f>EXP(-LN(2)/25)*AV173+(1-EXP(-LN(2)/25))/(LN(2)/25)*Calculateur!AQ174*Calculateur!AS174*VLOOKUP('Données projet'!$B$10,Paramètres!$A$1:$I$89,3,0)*0.475*44/12</f>
        <v>5.5652948161639193</v>
      </c>
      <c r="AW174" s="21">
        <f>EXP(-LN(2)/2)*AW173+(1-EXP(-LN(2)/2))/(LN(2)/2)*AQ174*AT174*VLOOKUP('Données projet'!$B$10,Paramètres!$A$1:$I$89,3,0)*0.475*44/12</f>
        <v>4.1288037780885819E-13</v>
      </c>
      <c r="AX174" s="21">
        <f t="shared" si="166"/>
        <v>59.27066799638304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-6.7984728957526396E-14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284.42619963941019</v>
      </c>
      <c r="BJ174" s="59">
        <f t="shared" si="146"/>
        <v>301.41905904220812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24.622707278463146</v>
      </c>
      <c r="BQ174" s="21">
        <f>EXP(-LN(2)/25)*BQ173+(1-EXP(-LN(2)/25))/(LN(2)/25)*Calculateur!BL174*Calculateur!BN174*VLOOKUP('Données projet'!$B$11,Paramètres!$A$1:$I$89,3,0)*0.475*44/12</f>
        <v>2.464178611505174</v>
      </c>
      <c r="BR174" s="21">
        <f>EXP(-LN(2)/2)*BR173+(1-EXP(-LN(2)/2))/(LN(2)/2)*BL174*BO174*VLOOKUP('Données projet'!$B$11,Paramètres!$A$1:$I$89,3,0)*0.475*44/12</f>
        <v>5.5812283818858553E-15</v>
      </c>
      <c r="BS174" s="22">
        <f t="shared" si="169"/>
        <v>27.086885889968329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490.96084572840579</v>
      </c>
      <c r="T175" s="59">
        <f t="shared" si="142"/>
        <v>597.91658789908263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37.265545353039123</v>
      </c>
      <c r="AA175" s="21">
        <f>EXP(-LN(2)/25)*AA174+(1-EXP(-LN(2)/25))/(LN(2)/25)*Calculateur!V175*Calculateur!X175*VLOOKUP('Données projet'!$B$9,Paramètres!$A$1:$I$89,3,0)*0.475*44/12</f>
        <v>3.8265437800191746</v>
      </c>
      <c r="AB175" s="21">
        <f>EXP(-LN(2)/2)*AB174+(1-EXP(-LN(2)/2))/(LN(2)/2)*V175*Y175*VLOOKUP('Données projet'!$B$9,Paramètres!$A$1:$I$89,3,0)*0.475*44/12</f>
        <v>5.0191770882146644E-15</v>
      </c>
      <c r="AC175" s="22">
        <f t="shared" si="163"/>
        <v>41.092089133058302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-1.064108801074326E-13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482.28841373508675</v>
      </c>
      <c r="AO175" s="59">
        <f t="shared" si="144"/>
        <v>746.97309214631684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52.652243569197772</v>
      </c>
      <c r="AV175" s="21">
        <f>EXP(-LN(2)/25)*AV174+(1-EXP(-LN(2)/25))/(LN(2)/25)*Calculateur!AQ175*Calculateur!AS175*VLOOKUP('Données projet'!$B$10,Paramètres!$A$1:$I$89,3,0)*0.475*44/12</f>
        <v>5.4131115367497822</v>
      </c>
      <c r="AW175" s="21">
        <f>EXP(-LN(2)/2)*AW174+(1-EXP(-LN(2)/2))/(LN(2)/2)*AQ175*AT175*VLOOKUP('Données projet'!$B$10,Paramètres!$A$1:$I$89,3,0)*0.475*44/12</f>
        <v>2.9195051496750736E-13</v>
      </c>
      <c r="AX175" s="21">
        <f t="shared" si="166"/>
        <v>58.065355105947845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-6.7984728957526396E-14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284.42619963941019</v>
      </c>
      <c r="BJ175" s="59">
        <f t="shared" si="146"/>
        <v>301.41905904220812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24.139871007100982</v>
      </c>
      <c r="BQ175" s="21">
        <f>EXP(-LN(2)/25)*BQ174+(1-EXP(-LN(2)/25))/(LN(2)/25)*Calculateur!BL175*Calculateur!BN175*VLOOKUP('Données projet'!$B$11,Paramètres!$A$1:$I$89,3,0)*0.475*44/12</f>
        <v>2.396795517788044</v>
      </c>
      <c r="BR175" s="21">
        <f>EXP(-LN(2)/2)*BR174+(1-EXP(-LN(2)/2))/(LN(2)/2)*BL175*BO175*VLOOKUP('Données projet'!$B$11,Paramètres!$A$1:$I$89,3,0)*0.475*44/12</f>
        <v>3.9465244361823101E-15</v>
      </c>
      <c r="BS175" s="22">
        <f t="shared" si="169"/>
        <v>26.536666524889029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490.96084572840579</v>
      </c>
      <c r="T176" s="59">
        <f t="shared" si="142"/>
        <v>597.91658789908263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36.534790738404318</v>
      </c>
      <c r="AA176" s="21">
        <f>EXP(-LN(2)/25)*AA175+(1-EXP(-LN(2)/25))/(LN(2)/25)*Calculateur!V176*Calculateur!X176*VLOOKUP('Données projet'!$B$9,Paramètres!$A$1:$I$89,3,0)*0.475*44/12</f>
        <v>3.7219067391253584</v>
      </c>
      <c r="AB176" s="21">
        <f>EXP(-LN(2)/2)*AB175+(1-EXP(-LN(2)/2))/(LN(2)/2)*V176*Y176*VLOOKUP('Données projet'!$B$9,Paramètres!$A$1:$I$89,3,0)*0.475*44/12</f>
        <v>3.5490941550527396E-15</v>
      </c>
      <c r="AC176" s="22">
        <f t="shared" si="163"/>
        <v>40.256697477529677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-1.064108801074326E-13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482.28841373508675</v>
      </c>
      <c r="AO176" s="59">
        <f t="shared" si="144"/>
        <v>746.97309214631684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51.619765187503319</v>
      </c>
      <c r="AV176" s="21">
        <f>EXP(-LN(2)/25)*AV175+(1-EXP(-LN(2)/25))/(LN(2)/25)*Calculateur!AQ176*Calculateur!AS176*VLOOKUP('Données projet'!$B$10,Paramètres!$A$1:$I$89,3,0)*0.475*44/12</f>
        <v>5.2650897171141953</v>
      </c>
      <c r="AW176" s="21">
        <f>EXP(-LN(2)/2)*AW175+(1-EXP(-LN(2)/2))/(LN(2)/2)*AQ176*AT176*VLOOKUP('Données projet'!$B$10,Paramètres!$A$1:$I$89,3,0)*0.475*44/12</f>
        <v>2.064401889044291E-13</v>
      </c>
      <c r="AX176" s="21">
        <f t="shared" si="166"/>
        <v>56.884854904617718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-6.7984728957526396E-14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284.42619963941019</v>
      </c>
      <c r="BJ176" s="59">
        <f t="shared" si="146"/>
        <v>301.41905904220812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23.666502860519184</v>
      </c>
      <c r="BQ176" s="21">
        <f>EXP(-LN(2)/25)*BQ175+(1-EXP(-LN(2)/25))/(LN(2)/25)*Calculateur!BL176*Calculateur!BN176*VLOOKUP('Données projet'!$B$11,Paramètres!$A$1:$I$89,3,0)*0.475*44/12</f>
        <v>2.3312550183121314</v>
      </c>
      <c r="BR176" s="21">
        <f>EXP(-LN(2)/2)*BR175+(1-EXP(-LN(2)/2))/(LN(2)/2)*BL176*BO176*VLOOKUP('Données projet'!$B$11,Paramètres!$A$1:$I$89,3,0)*0.475*44/12</f>
        <v>2.7906141909429276E-15</v>
      </c>
      <c r="BS176" s="22">
        <f t="shared" si="169"/>
        <v>25.997757878831319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490.96084572840579</v>
      </c>
      <c r="T177" s="59">
        <f t="shared" si="142"/>
        <v>597.91658789908263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35.818365776046193</v>
      </c>
      <c r="AA177" s="21">
        <f>EXP(-LN(2)/25)*AA176+(1-EXP(-LN(2)/25))/(LN(2)/25)*Calculateur!V177*Calculateur!X177*VLOOKUP('Données projet'!$B$9,Paramètres!$A$1:$I$89,3,0)*0.475*44/12</f>
        <v>3.6201310036174066</v>
      </c>
      <c r="AB177" s="21">
        <f>EXP(-LN(2)/2)*AB176+(1-EXP(-LN(2)/2))/(LN(2)/2)*V177*Y177*VLOOKUP('Données projet'!$B$9,Paramètres!$A$1:$I$89,3,0)*0.475*44/12</f>
        <v>2.5095885441073326E-15</v>
      </c>
      <c r="AC177" s="22">
        <f t="shared" si="163"/>
        <v>39.438496779663602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-1.064108801074326E-13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482.28841373508675</v>
      </c>
      <c r="AO177" s="59">
        <f t="shared" si="144"/>
        <v>746.97309214631684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50.607533077124266</v>
      </c>
      <c r="AV177" s="21">
        <f>EXP(-LN(2)/25)*AV176+(1-EXP(-LN(2)/25))/(LN(2)/25)*Calculateur!AQ177*Calculateur!AS177*VLOOKUP('Données projet'!$B$10,Paramètres!$A$1:$I$89,3,0)*0.475*44/12</f>
        <v>5.1211155619206732</v>
      </c>
      <c r="AW177" s="21">
        <f>EXP(-LN(2)/2)*AW176+(1-EXP(-LN(2)/2))/(LN(2)/2)*AQ177*AT177*VLOOKUP('Données projet'!$B$10,Paramètres!$A$1:$I$89,3,0)*0.475*44/12</f>
        <v>1.4597525748375368E-13</v>
      </c>
      <c r="AX177" s="21">
        <f t="shared" si="166"/>
        <v>55.72864863904509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-6.7984728957526396E-14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284.42619963941019</v>
      </c>
      <c r="BJ177" s="59">
        <f t="shared" si="146"/>
        <v>301.41905904220812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23.202417174565795</v>
      </c>
      <c r="BQ177" s="21">
        <f>EXP(-LN(2)/25)*BQ176+(1-EXP(-LN(2)/25))/(LN(2)/25)*Calculateur!BL177*Calculateur!BN177*VLOOKUP('Données projet'!$B$11,Paramètres!$A$1:$I$89,3,0)*0.475*44/12</f>
        <v>2.2675067272410128</v>
      </c>
      <c r="BR177" s="21">
        <f>EXP(-LN(2)/2)*BR176+(1-EXP(-LN(2)/2))/(LN(2)/2)*BL177*BO177*VLOOKUP('Données projet'!$B$11,Paramètres!$A$1:$I$89,3,0)*0.475*44/12</f>
        <v>1.973262218091155E-15</v>
      </c>
      <c r="BS177" s="22">
        <f t="shared" si="169"/>
        <v>25.469923901806812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490.96084572840579</v>
      </c>
      <c r="T178" s="59">
        <f t="shared" si="142"/>
        <v>597.91658789908263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35.11598947022383</v>
      </c>
      <c r="AA178" s="21">
        <f>EXP(-LN(2)/25)*AA177+(1-EXP(-LN(2)/25))/(LN(2)/25)*Calculateur!V178*Calculateur!X178*VLOOKUP('Données projet'!$B$9,Paramètres!$A$1:$I$89,3,0)*0.475*44/12</f>
        <v>3.5211383309490731</v>
      </c>
      <c r="AB178" s="21">
        <f>EXP(-LN(2)/2)*AB177+(1-EXP(-LN(2)/2))/(LN(2)/2)*V178*Y178*VLOOKUP('Données projet'!$B$9,Paramètres!$A$1:$I$89,3,0)*0.475*44/12</f>
        <v>1.7745470775263702E-15</v>
      </c>
      <c r="AC178" s="22">
        <f t="shared" si="163"/>
        <v>38.637127801172902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-1.064108801074326E-13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482.28841373508675</v>
      </c>
      <c r="AO178" s="59">
        <f t="shared" si="144"/>
        <v>746.97309214631684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49.615150221029118</v>
      </c>
      <c r="AV178" s="21">
        <f>EXP(-LN(2)/25)*AV177+(1-EXP(-LN(2)/25))/(LN(2)/25)*Calculateur!AQ178*Calculateur!AS178*VLOOKUP('Données projet'!$B$10,Paramètres!$A$1:$I$89,3,0)*0.475*44/12</f>
        <v>4.9810783875721896</v>
      </c>
      <c r="AW178" s="21">
        <f>EXP(-LN(2)/2)*AW177+(1-EXP(-LN(2)/2))/(LN(2)/2)*AQ178*AT178*VLOOKUP('Données projet'!$B$10,Paramètres!$A$1:$I$89,3,0)*0.475*44/12</f>
        <v>1.0322009445221455E-13</v>
      </c>
      <c r="AX178" s="21">
        <f t="shared" si="166"/>
        <v>54.596228608601415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-6.7984728957526396E-14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284.42619963941019</v>
      </c>
      <c r="BJ178" s="59">
        <f t="shared" si="146"/>
        <v>301.41905904220812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22.747431925849636</v>
      </c>
      <c r="BQ178" s="21">
        <f>EXP(-LN(2)/25)*BQ177+(1-EXP(-LN(2)/25))/(LN(2)/25)*Calculateur!BL178*Calculateur!BN178*VLOOKUP('Données projet'!$B$11,Paramètres!$A$1:$I$89,3,0)*0.475*44/12</f>
        <v>2.2055016365416109</v>
      </c>
      <c r="BR178" s="21">
        <f>EXP(-LN(2)/2)*BR177+(1-EXP(-LN(2)/2))/(LN(2)/2)*BL178*BO178*VLOOKUP('Données projet'!$B$11,Paramètres!$A$1:$I$89,3,0)*0.475*44/12</f>
        <v>1.3953070954714638E-15</v>
      </c>
      <c r="BS178" s="22">
        <f t="shared" si="169"/>
        <v>24.952933562391248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490.96084572840579</v>
      </c>
      <c r="T179" s="59">
        <f t="shared" si="142"/>
        <v>597.91658789908263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34.4273863353514</v>
      </c>
      <c r="AA179" s="21">
        <f>EXP(-LN(2)/25)*AA178+(1-EXP(-LN(2)/25))/(LN(2)/25)*Calculateur!V179*Calculateur!X179*VLOOKUP('Données projet'!$B$9,Paramètres!$A$1:$I$89,3,0)*0.475*44/12</f>
        <v>3.4248526181206538</v>
      </c>
      <c r="AB179" s="21">
        <f>EXP(-LN(2)/2)*AB178+(1-EXP(-LN(2)/2))/(LN(2)/2)*V179*Y179*VLOOKUP('Données projet'!$B$9,Paramètres!$A$1:$I$89,3,0)*0.475*44/12</f>
        <v>1.2547942720536665E-15</v>
      </c>
      <c r="AC179" s="22">
        <f t="shared" si="163"/>
        <v>37.852238953472053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-1.064108801074326E-13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482.28841373508675</v>
      </c>
      <c r="AO179" s="59">
        <f t="shared" si="144"/>
        <v>746.97309214631684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48.642227387448223</v>
      </c>
      <c r="AV179" s="21">
        <f>EXP(-LN(2)/25)*AV178+(1-EXP(-LN(2)/25))/(LN(2)/25)*Calculateur!AQ179*Calculateur!AS179*VLOOKUP('Données projet'!$B$10,Paramètres!$A$1:$I$89,3,0)*0.475*44/12</f>
        <v>4.8448705371205003</v>
      </c>
      <c r="AW179" s="21">
        <f>EXP(-LN(2)/2)*AW178+(1-EXP(-LN(2)/2))/(LN(2)/2)*AQ179*AT179*VLOOKUP('Données projet'!$B$10,Paramètres!$A$1:$I$89,3,0)*0.475*44/12</f>
        <v>7.298762874187684E-14</v>
      </c>
      <c r="AX179" s="21">
        <f t="shared" si="166"/>
        <v>53.487097924568793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-6.7984728957526396E-14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284.42619963941019</v>
      </c>
      <c r="BJ179" s="59">
        <f t="shared" si="146"/>
        <v>301.41905904220812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22.301368660347201</v>
      </c>
      <c r="BQ179" s="21">
        <f>EXP(-LN(2)/25)*BQ178+(1-EXP(-LN(2)/25))/(LN(2)/25)*Calculateur!BL179*Calculateur!BN179*VLOOKUP('Données projet'!$B$11,Paramètres!$A$1:$I$89,3,0)*0.475*44/12</f>
        <v>2.1451920783080904</v>
      </c>
      <c r="BR179" s="21">
        <f>EXP(-LN(2)/2)*BR178+(1-EXP(-LN(2)/2))/(LN(2)/2)*BL179*BO179*VLOOKUP('Données projet'!$B$11,Paramètres!$A$1:$I$89,3,0)*0.475*44/12</f>
        <v>9.8663110904557752E-16</v>
      </c>
      <c r="BS179" s="22">
        <f t="shared" si="169"/>
        <v>24.446560738655293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490.96084572840579</v>
      </c>
      <c r="T180" s="59">
        <f t="shared" si="142"/>
        <v>597.91658789908263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33.752286287947378</v>
      </c>
      <c r="AA180" s="21">
        <f>EXP(-LN(2)/25)*AA179+(1-EXP(-LN(2)/25))/(LN(2)/25)*Calculateur!V180*Calculateur!X180*VLOOKUP('Données projet'!$B$9,Paramètres!$A$1:$I$89,3,0)*0.475*44/12</f>
        <v>3.331199843172973</v>
      </c>
      <c r="AB180" s="21">
        <f>EXP(-LN(2)/2)*AB179+(1-EXP(-LN(2)/2))/(LN(2)/2)*V180*Y180*VLOOKUP('Données projet'!$B$9,Paramètres!$A$1:$I$89,3,0)*0.475*44/12</f>
        <v>8.8727353876318519E-16</v>
      </c>
      <c r="AC180" s="22">
        <f t="shared" si="163"/>
        <v>37.083486131120353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-1.064108801074326E-13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482.28841373508675</v>
      </c>
      <c r="AO180" s="59">
        <f t="shared" si="144"/>
        <v>746.97309214631684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47.688382977209514</v>
      </c>
      <c r="AV180" s="21">
        <f>EXP(-LN(2)/25)*AV179+(1-EXP(-LN(2)/25))/(LN(2)/25)*Calculateur!AQ180*Calculateur!AS180*VLOOKUP('Données projet'!$B$10,Paramètres!$A$1:$I$89,3,0)*0.475*44/12</f>
        <v>4.7123872975022714</v>
      </c>
      <c r="AW180" s="21">
        <f>EXP(-LN(2)/2)*AW179+(1-EXP(-LN(2)/2))/(LN(2)/2)*AQ180*AT180*VLOOKUP('Données projet'!$B$10,Paramètres!$A$1:$I$89,3,0)*0.475*44/12</f>
        <v>5.1610047226107274E-14</v>
      </c>
      <c r="AX180" s="21">
        <f t="shared" si="166"/>
        <v>52.400770274711839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-6.7984728957526396E-14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284.42619963941019</v>
      </c>
      <c r="BJ180" s="59">
        <f t="shared" si="146"/>
        <v>301.41905904220812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21.864052423409539</v>
      </c>
      <c r="BQ180" s="21">
        <f>EXP(-LN(2)/25)*BQ179+(1-EXP(-LN(2)/25))/(LN(2)/25)*Calculateur!BL180*Calculateur!BN180*VLOOKUP('Données projet'!$B$11,Paramètres!$A$1:$I$89,3,0)*0.475*44/12</f>
        <v>2.0865316881160072</v>
      </c>
      <c r="BR180" s="21">
        <f>EXP(-LN(2)/2)*BR179+(1-EXP(-LN(2)/2))/(LN(2)/2)*BL180*BO180*VLOOKUP('Données projet'!$B$11,Paramètres!$A$1:$I$89,3,0)*0.475*44/12</f>
        <v>6.9765354773573191E-16</v>
      </c>
      <c r="BS180" s="22">
        <f t="shared" si="169"/>
        <v>23.950584111525547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490.96084572840579</v>
      </c>
      <c r="T181" s="59">
        <f t="shared" si="142"/>
        <v>597.91658789908263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33.090424540702578</v>
      </c>
      <c r="AA181" s="21">
        <f>EXP(-LN(2)/25)*AA180+(1-EXP(-LN(2)/25))/(LN(2)/25)*Calculateur!V181*Calculateur!X181*VLOOKUP('Données projet'!$B$9,Paramètres!$A$1:$I$89,3,0)*0.475*44/12</f>
        <v>3.2401080082812217</v>
      </c>
      <c r="AB181" s="21">
        <f>EXP(-LN(2)/2)*AB180+(1-EXP(-LN(2)/2))/(LN(2)/2)*V181*Y181*VLOOKUP('Données projet'!$B$9,Paramètres!$A$1:$I$89,3,0)*0.475*44/12</f>
        <v>6.2739713602683334E-16</v>
      </c>
      <c r="AC181" s="22">
        <f t="shared" si="163"/>
        <v>36.330532548983797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-1.064108801074326E-13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482.28841373508675</v>
      </c>
      <c r="AO181" s="59">
        <f t="shared" si="144"/>
        <v>746.97309214631684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46.753242874067944</v>
      </c>
      <c r="AV181" s="21">
        <f>EXP(-LN(2)/25)*AV180+(1-EXP(-LN(2)/25))/(LN(2)/25)*Calculateur!AQ181*Calculateur!AS181*VLOOKUP('Données projet'!$B$10,Paramètres!$A$1:$I$89,3,0)*0.475*44/12</f>
        <v>4.5835268190383944</v>
      </c>
      <c r="AW181" s="21">
        <f>EXP(-LN(2)/2)*AW180+(1-EXP(-LN(2)/2))/(LN(2)/2)*AQ181*AT181*VLOOKUP('Données projet'!$B$10,Paramètres!$A$1:$I$89,3,0)*0.475*44/12</f>
        <v>3.649381437093842E-14</v>
      </c>
      <c r="AX181" s="21">
        <f t="shared" si="166"/>
        <v>51.336769693106376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-6.7984728957526396E-14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284.42619963941019</v>
      </c>
      <c r="BJ181" s="59">
        <f t="shared" si="146"/>
        <v>301.41905904220812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21.43531169114166</v>
      </c>
      <c r="BQ181" s="21">
        <f>EXP(-LN(2)/25)*BQ180+(1-EXP(-LN(2)/25))/(LN(2)/25)*Calculateur!BL181*Calculateur!BN181*VLOOKUP('Données projet'!$B$11,Paramètres!$A$1:$I$89,3,0)*0.475*44/12</f>
        <v>2.0294753693785421</v>
      </c>
      <c r="BR181" s="21">
        <f>EXP(-LN(2)/2)*BR180+(1-EXP(-LN(2)/2))/(LN(2)/2)*BL181*BO181*VLOOKUP('Données projet'!$B$11,Paramètres!$A$1:$I$89,3,0)*0.475*44/12</f>
        <v>4.9331555452278876E-16</v>
      </c>
      <c r="BS181" s="22">
        <f t="shared" si="169"/>
        <v>23.464787060520202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490.96084572840579</v>
      </c>
      <c r="T182" s="59">
        <f t="shared" si="142"/>
        <v>597.91658789908263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32.441541498625448</v>
      </c>
      <c r="AA182" s="21">
        <f>EXP(-LN(2)/25)*AA181+(1-EXP(-LN(2)/25))/(LN(2)/25)*Calculateur!V182*Calculateur!X182*VLOOKUP('Données projet'!$B$9,Paramètres!$A$1:$I$89,3,0)*0.475*44/12</f>
        <v>3.1515070844048969</v>
      </c>
      <c r="AB182" s="21">
        <f>EXP(-LN(2)/2)*AB181+(1-EXP(-LN(2)/2))/(LN(2)/2)*V182*Y182*VLOOKUP('Données projet'!$B$9,Paramètres!$A$1:$I$89,3,0)*0.475*44/12</f>
        <v>4.4363676938159265E-16</v>
      </c>
      <c r="AC182" s="22">
        <f t="shared" si="163"/>
        <v>35.593048583030345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-1.064108801074326E-13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482.28841373508675</v>
      </c>
      <c r="AO182" s="59">
        <f t="shared" si="144"/>
        <v>746.97309214631684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45.836440297969837</v>
      </c>
      <c r="AV182" s="21">
        <f>EXP(-LN(2)/25)*AV181+(1-EXP(-LN(2)/25))/(LN(2)/25)*Calculateur!AQ182*Calculateur!AS182*VLOOKUP('Données projet'!$B$10,Paramètres!$A$1:$I$89,3,0)*0.475*44/12</f>
        <v>4.4581900371345897</v>
      </c>
      <c r="AW182" s="21">
        <f>EXP(-LN(2)/2)*AW181+(1-EXP(-LN(2)/2))/(LN(2)/2)*AQ182*AT182*VLOOKUP('Données projet'!$B$10,Paramètres!$A$1:$I$89,3,0)*0.475*44/12</f>
        <v>2.5805023613053637E-14</v>
      </c>
      <c r="AX182" s="21">
        <f t="shared" si="166"/>
        <v>50.294630335104458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-6.7984728957526396E-14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284.42619963941019</v>
      </c>
      <c r="BJ182" s="59">
        <f t="shared" si="146"/>
        <v>301.41905904220812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21.014978303127528</v>
      </c>
      <c r="BQ182" s="21">
        <f>EXP(-LN(2)/25)*BQ181+(1-EXP(-LN(2)/25))/(LN(2)/25)*Calculateur!BL182*Calculateur!BN182*VLOOKUP('Données projet'!$B$11,Paramètres!$A$1:$I$89,3,0)*0.475*44/12</f>
        <v>1.9739792586774145</v>
      </c>
      <c r="BR182" s="21">
        <f>EXP(-LN(2)/2)*BR181+(1-EXP(-LN(2)/2))/(LN(2)/2)*BL182*BO182*VLOOKUP('Données projet'!$B$11,Paramètres!$A$1:$I$89,3,0)*0.475*44/12</f>
        <v>3.4882677386786596E-16</v>
      </c>
      <c r="BS182" s="22">
        <f t="shared" si="169"/>
        <v>22.988957561804941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490.96084572840579</v>
      </c>
      <c r="T183" s="59">
        <f t="shared" si="142"/>
        <v>597.91658789908263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31.805382657223873</v>
      </c>
      <c r="AA183" s="21">
        <f>EXP(-LN(2)/25)*AA182+(1-EXP(-LN(2)/25))/(LN(2)/25)*Calculateur!V183*Calculateur!X183*VLOOKUP('Données projet'!$B$9,Paramètres!$A$1:$I$89,3,0)*0.475*44/12</f>
        <v>3.0653289574512903</v>
      </c>
      <c r="AB183" s="21">
        <f>EXP(-LN(2)/2)*AB182+(1-EXP(-LN(2)/2))/(LN(2)/2)*V183*Y183*VLOOKUP('Données projet'!$B$9,Paramètres!$A$1:$I$89,3,0)*0.475*44/12</f>
        <v>3.1369856801341672E-16</v>
      </c>
      <c r="AC183" s="22">
        <f t="shared" si="163"/>
        <v>34.870711614675166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-1.064108801074326E-13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482.28841373508675</v>
      </c>
      <c r="AO183" s="59">
        <f t="shared" si="144"/>
        <v>746.97309214631684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44.937615661194663</v>
      </c>
      <c r="AV183" s="21">
        <f>EXP(-LN(2)/25)*AV182+(1-EXP(-LN(2)/25))/(LN(2)/25)*Calculateur!AQ183*Calculateur!AS183*VLOOKUP('Données projet'!$B$10,Paramètres!$A$1:$I$89,3,0)*0.475*44/12</f>
        <v>4.3362805961231192</v>
      </c>
      <c r="AW183" s="21">
        <f>EXP(-LN(2)/2)*AW182+(1-EXP(-LN(2)/2))/(LN(2)/2)*AQ183*AT183*VLOOKUP('Données projet'!$B$10,Paramètres!$A$1:$I$89,3,0)*0.475*44/12</f>
        <v>1.824690718546921E-14</v>
      </c>
      <c r="AX183" s="21">
        <f t="shared" si="166"/>
        <v>49.273896257317801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-6.7984728957526396E-14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284.42619963941019</v>
      </c>
      <c r="BJ183" s="59">
        <f t="shared" si="146"/>
        <v>301.41905904220812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20.602887396474301</v>
      </c>
      <c r="BQ183" s="21">
        <f>EXP(-LN(2)/25)*BQ182+(1-EXP(-LN(2)/25))/(LN(2)/25)*Calculateur!BL183*Calculateur!BN183*VLOOKUP('Données projet'!$B$11,Paramètres!$A$1:$I$89,3,0)*0.475*44/12</f>
        <v>1.9200006920418231</v>
      </c>
      <c r="BR183" s="21">
        <f>EXP(-LN(2)/2)*BR182+(1-EXP(-LN(2)/2))/(LN(2)/2)*BL183*BO183*VLOOKUP('Données projet'!$B$11,Paramètres!$A$1:$I$89,3,0)*0.475*44/12</f>
        <v>2.4665777726139438E-16</v>
      </c>
      <c r="BS183" s="22">
        <f t="shared" si="169"/>
        <v>22.522888088516126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490.96084572840579</v>
      </c>
      <c r="T184" s="59">
        <f t="shared" si="142"/>
        <v>597.91658789908263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31.181698502683606</v>
      </c>
      <c r="AA184" s="21">
        <f>EXP(-LN(2)/25)*AA183+(1-EXP(-LN(2)/25))/(LN(2)/25)*Calculateur!V184*Calculateur!X184*VLOOKUP('Données projet'!$B$9,Paramètres!$A$1:$I$89,3,0)*0.475*44/12</f>
        <v>2.981507375911141</v>
      </c>
      <c r="AB184" s="21">
        <f>EXP(-LN(2)/2)*AB183+(1-EXP(-LN(2)/2))/(LN(2)/2)*V184*Y184*VLOOKUP('Données projet'!$B$9,Paramètres!$A$1:$I$89,3,0)*0.475*44/12</f>
        <v>2.2181838469079637E-16</v>
      </c>
      <c r="AC184" s="22">
        <f t="shared" si="163"/>
        <v>34.163205878594745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-1.064108801074326E-13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482.28841373508675</v>
      </c>
      <c r="AO184" s="59">
        <f t="shared" si="144"/>
        <v>746.97309214631684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44.05641642731775</v>
      </c>
      <c r="AV184" s="21">
        <f>EXP(-LN(2)/25)*AV183+(1-EXP(-LN(2)/25))/(LN(2)/25)*Calculateur!AQ184*Calculateur!AS184*VLOOKUP('Données projet'!$B$10,Paramètres!$A$1:$I$89,3,0)*0.475*44/12</f>
        <v>4.2177047751870465</v>
      </c>
      <c r="AW184" s="21">
        <f>EXP(-LN(2)/2)*AW183+(1-EXP(-LN(2)/2))/(LN(2)/2)*AQ184*AT184*VLOOKUP('Données projet'!$B$10,Paramètres!$A$1:$I$89,3,0)*0.475*44/12</f>
        <v>1.2902511806526819E-14</v>
      </c>
      <c r="AX184" s="21">
        <f t="shared" si="166"/>
        <v>48.274121202504809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-6.7984728957526396E-14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284.42619963941019</v>
      </c>
      <c r="BJ184" s="59">
        <f t="shared" si="146"/>
        <v>301.41905904220812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20.19887734114991</v>
      </c>
      <c r="BQ184" s="21">
        <f>EXP(-LN(2)/25)*BQ183+(1-EXP(-LN(2)/25))/(LN(2)/25)*Calculateur!BL184*Calculateur!BN184*VLOOKUP('Données projet'!$B$11,Paramètres!$A$1:$I$89,3,0)*0.475*44/12</f>
        <v>1.8674981721494912</v>
      </c>
      <c r="BR184" s="21">
        <f>EXP(-LN(2)/2)*BR183+(1-EXP(-LN(2)/2))/(LN(2)/2)*BL184*BO184*VLOOKUP('Données projet'!$B$11,Paramètres!$A$1:$I$89,3,0)*0.475*44/12</f>
        <v>1.7441338693393298E-16</v>
      </c>
      <c r="BS184" s="22">
        <f t="shared" si="169"/>
        <v>22.066375513299402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490.96084572840579</v>
      </c>
      <c r="T185" s="59">
        <f t="shared" si="142"/>
        <v>597.91658789908263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30.570244414004101</v>
      </c>
      <c r="AA185" s="21">
        <f>EXP(-LN(2)/25)*AA184+(1-EXP(-LN(2)/25))/(LN(2)/25)*Calculateur!V185*Calculateur!X185*VLOOKUP('Données projet'!$B$9,Paramètres!$A$1:$I$89,3,0)*0.475*44/12</f>
        <v>2.8999778999261925</v>
      </c>
      <c r="AB185" s="21">
        <f>EXP(-LN(2)/2)*AB184+(1-EXP(-LN(2)/2))/(LN(2)/2)*V185*Y185*VLOOKUP('Données projet'!$B$9,Paramètres!$A$1:$I$89,3,0)*0.475*44/12</f>
        <v>1.5684928400670838E-16</v>
      </c>
      <c r="AC185" s="22">
        <f t="shared" si="163"/>
        <v>33.470222313930293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-1.064108801074326E-13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482.28841373508675</v>
      </c>
      <c r="AO185" s="59">
        <f t="shared" si="144"/>
        <v>746.97309214631684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43.192496972938706</v>
      </c>
      <c r="AV185" s="21">
        <f>EXP(-LN(2)/25)*AV184+(1-EXP(-LN(2)/25))/(LN(2)/25)*Calculateur!AQ185*Calculateur!AS185*VLOOKUP('Données projet'!$B$10,Paramètres!$A$1:$I$89,3,0)*0.475*44/12</f>
        <v>4.1023714163101026</v>
      </c>
      <c r="AW185" s="21">
        <f>EXP(-LN(2)/2)*AW184+(1-EXP(-LN(2)/2))/(LN(2)/2)*AQ185*AT185*VLOOKUP('Données projet'!$B$10,Paramètres!$A$1:$I$89,3,0)*0.475*44/12</f>
        <v>9.123453592734605E-15</v>
      </c>
      <c r="AX185" s="21">
        <f t="shared" si="166"/>
        <v>47.294868389248812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-6.7984728957526396E-14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284.42619963941019</v>
      </c>
      <c r="BJ185" s="59">
        <f t="shared" si="146"/>
        <v>301.41905904220812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19.802789676588628</v>
      </c>
      <c r="BQ185" s="21">
        <f>EXP(-LN(2)/25)*BQ184+(1-EXP(-LN(2)/25))/(LN(2)/25)*Calculateur!BL185*Calculateur!BN185*VLOOKUP('Données projet'!$B$11,Paramètres!$A$1:$I$89,3,0)*0.475*44/12</f>
        <v>1.8164313364246027</v>
      </c>
      <c r="BR185" s="21">
        <f>EXP(-LN(2)/2)*BR184+(1-EXP(-LN(2)/2))/(LN(2)/2)*BL185*BO185*VLOOKUP('Données projet'!$B$11,Paramètres!$A$1:$I$89,3,0)*0.475*44/12</f>
        <v>1.2332888863069719E-16</v>
      </c>
      <c r="BS185" s="22">
        <f t="shared" si="169"/>
        <v>21.619221013013231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490.96084572840579</v>
      </c>
      <c r="T186" s="59">
        <f t="shared" si="142"/>
        <v>597.91658789908263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29.970780567053431</v>
      </c>
      <c r="AA186" s="21">
        <f>EXP(-LN(2)/25)*AA185+(1-EXP(-LN(2)/25))/(LN(2)/25)*Calculateur!V186*Calculateur!X186*VLOOKUP('Données projet'!$B$9,Paramètres!$A$1:$I$89,3,0)*0.475*44/12</f>
        <v>2.820677851749501</v>
      </c>
      <c r="AB186" s="21">
        <f>EXP(-LN(2)/2)*AB185+(1-EXP(-LN(2)/2))/(LN(2)/2)*V186*Y186*VLOOKUP('Données projet'!$B$9,Paramètres!$A$1:$I$89,3,0)*0.475*44/12</f>
        <v>1.109091923453982E-16</v>
      </c>
      <c r="AC186" s="22">
        <f t="shared" si="163"/>
        <v>32.791458418802932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-1.064108801074326E-13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482.28841373508675</v>
      </c>
      <c r="AO186" s="59">
        <f t="shared" si="144"/>
        <v>746.97309214631684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42.345518452121198</v>
      </c>
      <c r="AV186" s="21">
        <f>EXP(-LN(2)/25)*AV185+(1-EXP(-LN(2)/25))/(LN(2)/25)*Calculateur!AQ186*Calculateur!AS186*VLOOKUP('Données projet'!$B$10,Paramètres!$A$1:$I$89,3,0)*0.475*44/12</f>
        <v>3.990191854196766</v>
      </c>
      <c r="AW186" s="21">
        <f>EXP(-LN(2)/2)*AW185+(1-EXP(-LN(2)/2))/(LN(2)/2)*AQ186*AT186*VLOOKUP('Données projet'!$B$10,Paramètres!$A$1:$I$89,3,0)*0.475*44/12</f>
        <v>6.4512559032634093E-15</v>
      </c>
      <c r="AX186" s="21">
        <f t="shared" si="166"/>
        <v>46.335710306317971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-6.7984728957526396E-14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284.42619963941019</v>
      </c>
      <c r="BJ186" s="59">
        <f t="shared" si="146"/>
        <v>301.41905904220812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19.414469049539772</v>
      </c>
      <c r="BQ186" s="21">
        <f>EXP(-LN(2)/25)*BQ185+(1-EXP(-LN(2)/25))/(LN(2)/25)*Calculateur!BL186*Calculateur!BN186*VLOOKUP('Données projet'!$B$11,Paramètres!$A$1:$I$89,3,0)*0.475*44/12</f>
        <v>1.7667609260080994</v>
      </c>
      <c r="BR186" s="21">
        <f>EXP(-LN(2)/2)*BR185+(1-EXP(-LN(2)/2))/(LN(2)/2)*BL186*BO186*VLOOKUP('Données projet'!$B$11,Paramètres!$A$1:$I$89,3,0)*0.475*44/12</f>
        <v>8.7206693466966489E-17</v>
      </c>
      <c r="BS186" s="22">
        <f t="shared" si="169"/>
        <v>21.181229975547872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490.96084572840579</v>
      </c>
      <c r="T187" s="59">
        <f t="shared" si="142"/>
        <v>597.91658789908263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29.383071840504623</v>
      </c>
      <c r="AA187" s="21">
        <f>EXP(-LN(2)/25)*AA186+(1-EXP(-LN(2)/25))/(LN(2)/25)*Calculateur!V187*Calculateur!X187*VLOOKUP('Données projet'!$B$9,Paramètres!$A$1:$I$89,3,0)*0.475*44/12</f>
        <v>2.7435462675604096</v>
      </c>
      <c r="AB187" s="21">
        <f>EXP(-LN(2)/2)*AB186+(1-EXP(-LN(2)/2))/(LN(2)/2)*V187*Y187*VLOOKUP('Données projet'!$B$9,Paramètres!$A$1:$I$89,3,0)*0.475*44/12</f>
        <v>7.8424642003354205E-17</v>
      </c>
      <c r="AC187" s="22">
        <f t="shared" si="163"/>
        <v>32.126618108065031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-1.064108801074326E-13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482.28841373508675</v>
      </c>
      <c r="AO187" s="59">
        <f t="shared" si="144"/>
        <v>746.97309214631684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41.515148663491033</v>
      </c>
      <c r="AV187" s="21">
        <f>EXP(-LN(2)/25)*AV186+(1-EXP(-LN(2)/25))/(LN(2)/25)*Calculateur!AQ187*Calculateur!AS187*VLOOKUP('Données projet'!$B$10,Paramètres!$A$1:$I$89,3,0)*0.475*44/12</f>
        <v>3.8810798481086857</v>
      </c>
      <c r="AW187" s="21">
        <f>EXP(-LN(2)/2)*AW186+(1-EXP(-LN(2)/2))/(LN(2)/2)*AQ187*AT187*VLOOKUP('Données projet'!$B$10,Paramètres!$A$1:$I$89,3,0)*0.475*44/12</f>
        <v>4.5617267963673025E-15</v>
      </c>
      <c r="AX187" s="21">
        <f t="shared" si="166"/>
        <v>45.396228511599723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-6.7984728957526396E-14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284.42619963941019</v>
      </c>
      <c r="BJ187" s="59">
        <f t="shared" si="146"/>
        <v>301.41905904220812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19.033763153135151</v>
      </c>
      <c r="BQ187" s="21">
        <f>EXP(-LN(2)/25)*BQ186+(1-EXP(-LN(2)/25))/(LN(2)/25)*Calculateur!BL187*Calculateur!BN187*VLOOKUP('Données projet'!$B$11,Paramètres!$A$1:$I$89,3,0)*0.475*44/12</f>
        <v>1.7184487555764889</v>
      </c>
      <c r="BR187" s="21">
        <f>EXP(-LN(2)/2)*BR186+(1-EXP(-LN(2)/2))/(LN(2)/2)*BL187*BO187*VLOOKUP('Données projet'!$B$11,Paramètres!$A$1:$I$89,3,0)*0.475*44/12</f>
        <v>6.1664444315348595E-17</v>
      </c>
      <c r="BS187" s="22">
        <f t="shared" si="169"/>
        <v>20.75221190871164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490.96084572840579</v>
      </c>
      <c r="T188" s="59">
        <f t="shared" si="142"/>
        <v>597.91658789908263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28.806887723616509</v>
      </c>
      <c r="AA188" s="21">
        <f>EXP(-LN(2)/25)*AA187+(1-EXP(-LN(2)/25))/(LN(2)/25)*Calculateur!V188*Calculateur!X188*VLOOKUP('Données projet'!$B$9,Paramètres!$A$1:$I$89,3,0)*0.475*44/12</f>
        <v>2.6685238505971425</v>
      </c>
      <c r="AB188" s="21">
        <f>EXP(-LN(2)/2)*AB187+(1-EXP(-LN(2)/2))/(LN(2)/2)*V188*Y188*VLOOKUP('Données projet'!$B$9,Paramètres!$A$1:$I$89,3,0)*0.475*44/12</f>
        <v>5.5454596172699111E-17</v>
      </c>
      <c r="AC188" s="22">
        <f t="shared" si="163"/>
        <v>31.475411574213652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-1.064108801074326E-13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482.28841373508675</v>
      </c>
      <c r="AO188" s="59">
        <f t="shared" si="144"/>
        <v>746.97309214631684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40.701061919940344</v>
      </c>
      <c r="AV188" s="21">
        <f>EXP(-LN(2)/25)*AV187+(1-EXP(-LN(2)/25))/(LN(2)/25)*Calculateur!AQ188*Calculateur!AS188*VLOOKUP('Données projet'!$B$10,Paramètres!$A$1:$I$89,3,0)*0.475*44/12</f>
        <v>3.7749515155650348</v>
      </c>
      <c r="AW188" s="21">
        <f>EXP(-LN(2)/2)*AW187+(1-EXP(-LN(2)/2))/(LN(2)/2)*AQ188*AT188*VLOOKUP('Données projet'!$B$10,Paramètres!$A$1:$I$89,3,0)*0.475*44/12</f>
        <v>3.2256279516317046E-15</v>
      </c>
      <c r="AX188" s="21">
        <f t="shared" si="166"/>
        <v>44.476013435505379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-6.7984728957526396E-14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284.42619963941019</v>
      </c>
      <c r="BJ188" s="59">
        <f t="shared" si="146"/>
        <v>301.41905904220812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18.660522667151355</v>
      </c>
      <c r="BQ188" s="21">
        <f>EXP(-LN(2)/25)*BQ187+(1-EXP(-LN(2)/25))/(LN(2)/25)*Calculateur!BL188*Calculateur!BN188*VLOOKUP('Données projet'!$B$11,Paramètres!$A$1:$I$89,3,0)*0.475*44/12</f>
        <v>1.6714576839859574</v>
      </c>
      <c r="BR188" s="21">
        <f>EXP(-LN(2)/2)*BR187+(1-EXP(-LN(2)/2))/(LN(2)/2)*BL188*BO188*VLOOKUP('Données projet'!$B$11,Paramètres!$A$1:$I$89,3,0)*0.475*44/12</f>
        <v>4.3603346733483244E-17</v>
      </c>
      <c r="BS188" s="22">
        <f t="shared" si="169"/>
        <v>20.331980351137311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490.96084572840579</v>
      </c>
      <c r="T189" s="59">
        <f t="shared" si="142"/>
        <v>597.91658789908263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28.242002225822961</v>
      </c>
      <c r="AA189" s="21">
        <f>EXP(-LN(2)/25)*AA188+(1-EXP(-LN(2)/25))/(LN(2)/25)*Calculateur!V189*Calculateur!X189*VLOOKUP('Données projet'!$B$9,Paramètres!$A$1:$I$89,3,0)*0.475*44/12</f>
        <v>2.5955529255709933</v>
      </c>
      <c r="AB189" s="21">
        <f>EXP(-LN(2)/2)*AB188+(1-EXP(-LN(2)/2))/(LN(2)/2)*V189*Y189*VLOOKUP('Données projet'!$B$9,Paramètres!$A$1:$I$89,3,0)*0.475*44/12</f>
        <v>3.9212321001677109E-17</v>
      </c>
      <c r="AC189" s="22">
        <f t="shared" si="163"/>
        <v>30.837555151393953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-1.064108801074326E-13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482.28841373508675</v>
      </c>
      <c r="AO189" s="59">
        <f t="shared" si="144"/>
        <v>746.97309214631684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39.902938920886797</v>
      </c>
      <c r="AV189" s="21">
        <f>EXP(-LN(2)/25)*AV188+(1-EXP(-LN(2)/25))/(LN(2)/25)*Calculateur!AQ189*Calculateur!AS189*VLOOKUP('Données projet'!$B$10,Paramètres!$A$1:$I$89,3,0)*0.475*44/12</f>
        <v>3.6717252678558365</v>
      </c>
      <c r="AW189" s="21">
        <f>EXP(-LN(2)/2)*AW188+(1-EXP(-LN(2)/2))/(LN(2)/2)*AQ189*AT189*VLOOKUP('Données projet'!$B$10,Paramètres!$A$1:$I$89,3,0)*0.475*44/12</f>
        <v>2.2808633981836512E-15</v>
      </c>
      <c r="AX189" s="21">
        <f t="shared" si="166"/>
        <v>43.574664188742631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-6.7984728957526396E-14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284.42619963941019</v>
      </c>
      <c r="BJ189" s="59">
        <f t="shared" si="146"/>
        <v>301.41905904220812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18.294601199443484</v>
      </c>
      <c r="BQ189" s="21">
        <f>EXP(-LN(2)/25)*BQ188+(1-EXP(-LN(2)/25))/(LN(2)/25)*Calculateur!BL189*Calculateur!BN189*VLOOKUP('Données projet'!$B$11,Paramètres!$A$1:$I$89,3,0)*0.475*44/12</f>
        <v>1.625751585719222</v>
      </c>
      <c r="BR189" s="21">
        <f>EXP(-LN(2)/2)*BR188+(1-EXP(-LN(2)/2))/(LN(2)/2)*BL189*BO189*VLOOKUP('Données projet'!$B$11,Paramètres!$A$1:$I$89,3,0)*0.475*44/12</f>
        <v>3.0832222157674298E-17</v>
      </c>
      <c r="BS189" s="22">
        <f t="shared" si="169"/>
        <v>19.920352785162706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490.96084572840579</v>
      </c>
      <c r="T190" s="59">
        <f t="shared" si="142"/>
        <v>597.91658789908263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27.688193788095013</v>
      </c>
      <c r="AA190" s="21">
        <f>EXP(-LN(2)/25)*AA189+(1-EXP(-LN(2)/25))/(LN(2)/25)*Calculateur!V190*Calculateur!X190*VLOOKUP('Données projet'!$B$9,Paramètres!$A$1:$I$89,3,0)*0.475*44/12</f>
        <v>2.5245773943270584</v>
      </c>
      <c r="AB190" s="21">
        <f>EXP(-LN(2)/2)*AB189+(1-EXP(-LN(2)/2))/(LN(2)/2)*V190*Y190*VLOOKUP('Données projet'!$B$9,Paramètres!$A$1:$I$89,3,0)*0.475*44/12</f>
        <v>2.7727298086349559E-17</v>
      </c>
      <c r="AC190" s="22">
        <f t="shared" si="163"/>
        <v>30.21277118242207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-1.064108801074326E-13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482.28841373508675</v>
      </c>
      <c r="AO190" s="59">
        <f t="shared" si="144"/>
        <v>746.97309214631684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39.120466627037729</v>
      </c>
      <c r="AV190" s="21">
        <f>EXP(-LN(2)/25)*AV189+(1-EXP(-LN(2)/25))/(LN(2)/25)*Calculateur!AQ190*Calculateur!AS190*VLOOKUP('Données projet'!$B$10,Paramètres!$A$1:$I$89,3,0)*0.475*44/12</f>
        <v>3.5713217473186787</v>
      </c>
      <c r="AW190" s="21">
        <f>EXP(-LN(2)/2)*AW189+(1-EXP(-LN(2)/2))/(LN(2)/2)*AQ190*AT190*VLOOKUP('Données projet'!$B$10,Paramètres!$A$1:$I$89,3,0)*0.475*44/12</f>
        <v>1.6128139758158523E-15</v>
      </c>
      <c r="AX190" s="21">
        <f t="shared" si="166"/>
        <v>42.691788374356406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-6.7984728957526396E-14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284.42619963941019</v>
      </c>
      <c r="BJ190" s="59">
        <f t="shared" si="146"/>
        <v>301.41905904220812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17.935855228527309</v>
      </c>
      <c r="BQ190" s="21">
        <f>EXP(-LN(2)/25)*BQ189+(1-EXP(-LN(2)/25))/(LN(2)/25)*Calculateur!BL190*Calculateur!BN190*VLOOKUP('Données projet'!$B$11,Paramètres!$A$1:$I$89,3,0)*0.475*44/12</f>
        <v>1.5812953231131697</v>
      </c>
      <c r="BR190" s="21">
        <f>EXP(-LN(2)/2)*BR189+(1-EXP(-LN(2)/2))/(LN(2)/2)*BL190*BO190*VLOOKUP('Données projet'!$B$11,Paramètres!$A$1:$I$89,3,0)*0.475*44/12</f>
        <v>2.1801673366741622E-17</v>
      </c>
      <c r="BS190" s="22">
        <f t="shared" si="169"/>
        <v>19.51715055164048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490.96084572840579</v>
      </c>
      <c r="T191" s="59">
        <f t="shared" si="142"/>
        <v>597.91658789908263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27.145245196041117</v>
      </c>
      <c r="AA191" s="21">
        <f>EXP(-LN(2)/25)*AA190+(1-EXP(-LN(2)/25))/(LN(2)/25)*Calculateur!V191*Calculateur!X191*VLOOKUP('Données projet'!$B$9,Paramètres!$A$1:$I$89,3,0)*0.475*44/12</f>
        <v>2.45554269271743</v>
      </c>
      <c r="AB191" s="21">
        <f>EXP(-LN(2)/2)*AB190+(1-EXP(-LN(2)/2))/(LN(2)/2)*V191*Y191*VLOOKUP('Données projet'!$B$9,Paramètres!$A$1:$I$89,3,0)*0.475*44/12</f>
        <v>1.9606160500838557E-17</v>
      </c>
      <c r="AC191" s="22">
        <f t="shared" si="163"/>
        <v>29.600787888758546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-1.064108801074326E-13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482.28841373508675</v>
      </c>
      <c r="AO191" s="59">
        <f t="shared" si="144"/>
        <v>746.97309214631684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38.353338137610073</v>
      </c>
      <c r="AV191" s="21">
        <f>EXP(-LN(2)/25)*AV190+(1-EXP(-LN(2)/25))/(LN(2)/25)*Calculateur!AQ191*Calculateur!AS191*VLOOKUP('Données projet'!$B$10,Paramètres!$A$1:$I$89,3,0)*0.475*44/12</f>
        <v>3.4736637663306009</v>
      </c>
      <c r="AW191" s="21">
        <f>EXP(-LN(2)/2)*AW190+(1-EXP(-LN(2)/2))/(LN(2)/2)*AQ191*AT191*VLOOKUP('Données projet'!$B$10,Paramètres!$A$1:$I$89,3,0)*0.475*44/12</f>
        <v>1.1404316990918256E-15</v>
      </c>
      <c r="AX191" s="21">
        <f t="shared" si="166"/>
        <v>41.827001903940676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-6.7984728957526396E-14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284.42619963941019</v>
      </c>
      <c r="BJ191" s="59">
        <f t="shared" si="146"/>
        <v>301.41905904220812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17.584144047287364</v>
      </c>
      <c r="BQ191" s="21">
        <f>EXP(-LN(2)/25)*BQ190+(1-EXP(-LN(2)/25))/(LN(2)/25)*Calculateur!BL191*Calculateur!BN191*VLOOKUP('Données projet'!$B$11,Paramètres!$A$1:$I$89,3,0)*0.475*44/12</f>
        <v>1.5380547193459331</v>
      </c>
      <c r="BR191" s="21">
        <f>EXP(-LN(2)/2)*BR190+(1-EXP(-LN(2)/2))/(LN(2)/2)*BL191*BO191*VLOOKUP('Données projet'!$B$11,Paramètres!$A$1:$I$89,3,0)*0.475*44/12</f>
        <v>1.5416111078837149E-17</v>
      </c>
      <c r="BS191" s="22">
        <f t="shared" si="169"/>
        <v>19.122198766633296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490.96084572840579</v>
      </c>
      <c r="T192" s="59">
        <f t="shared" si="142"/>
        <v>597.91658789908263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26.612943494711455</v>
      </c>
      <c r="AA192" s="21">
        <f>EXP(-LN(2)/25)*AA191+(1-EXP(-LN(2)/25))/(LN(2)/25)*Calculateur!V192*Calculateur!X192*VLOOKUP('Données projet'!$B$9,Paramètres!$A$1:$I$89,3,0)*0.475*44/12</f>
        <v>2.3883957486536938</v>
      </c>
      <c r="AB192" s="21">
        <f>EXP(-LN(2)/2)*AB191+(1-EXP(-LN(2)/2))/(LN(2)/2)*V192*Y192*VLOOKUP('Données projet'!$B$9,Paramètres!$A$1:$I$89,3,0)*0.475*44/12</f>
        <v>1.3863649043174782E-17</v>
      </c>
      <c r="AC192" s="22">
        <f t="shared" si="163"/>
        <v>29.001339243365148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-1.064108801074326E-13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482.28841373508675</v>
      </c>
      <c r="AO192" s="59">
        <f t="shared" si="144"/>
        <v>746.97309214631684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37.601252569957914</v>
      </c>
      <c r="AV192" s="21">
        <f>EXP(-LN(2)/25)*AV191+(1-EXP(-LN(2)/25))/(LN(2)/25)*Calculateur!AQ192*Calculateur!AS192*VLOOKUP('Données projet'!$B$10,Paramètres!$A$1:$I$89,3,0)*0.475*44/12</f>
        <v>3.3786762479682522</v>
      </c>
      <c r="AW192" s="21">
        <f>EXP(-LN(2)/2)*AW191+(1-EXP(-LN(2)/2))/(LN(2)/2)*AQ192*AT192*VLOOKUP('Données projet'!$B$10,Paramètres!$A$1:$I$89,3,0)*0.475*44/12</f>
        <v>8.0640698790792616E-16</v>
      </c>
      <c r="AX192" s="21">
        <f t="shared" si="166"/>
        <v>40.979928817926165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-6.7984728957526396E-14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284.42619963941019</v>
      </c>
      <c r="BJ192" s="59">
        <f t="shared" si="146"/>
        <v>301.41905904220812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17.239329707788894</v>
      </c>
      <c r="BQ192" s="21">
        <f>EXP(-LN(2)/25)*BQ191+(1-EXP(-LN(2)/25))/(LN(2)/25)*Calculateur!BL192*Calculateur!BN192*VLOOKUP('Données projet'!$B$11,Paramètres!$A$1:$I$89,3,0)*0.475*44/12</f>
        <v>1.4959965321626361</v>
      </c>
      <c r="BR192" s="21">
        <f>EXP(-LN(2)/2)*BR191+(1-EXP(-LN(2)/2))/(LN(2)/2)*BL192*BO192*VLOOKUP('Données projet'!$B$11,Paramètres!$A$1:$I$89,3,0)*0.475*44/12</f>
        <v>1.0900836683370811E-17</v>
      </c>
      <c r="BS192" s="22">
        <f t="shared" si="169"/>
        <v>18.735326239951529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490.96084572840579</v>
      </c>
      <c r="T193" s="59">
        <f t="shared" si="142"/>
        <v>597.91658789908263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26.091079905072888</v>
      </c>
      <c r="AA193" s="21">
        <f>EXP(-LN(2)/25)*AA192+(1-EXP(-LN(2)/25))/(LN(2)/25)*Calculateur!V193*Calculateur!X193*VLOOKUP('Données projet'!$B$9,Paramètres!$A$1:$I$89,3,0)*0.475*44/12</f>
        <v>2.3230849413064849</v>
      </c>
      <c r="AB193" s="21">
        <f>EXP(-LN(2)/2)*AB192+(1-EXP(-LN(2)/2))/(LN(2)/2)*V193*Y193*VLOOKUP('Données projet'!$B$9,Paramètres!$A$1:$I$89,3,0)*0.475*44/12</f>
        <v>9.8030802504192802E-18</v>
      </c>
      <c r="AC193" s="22">
        <f t="shared" si="163"/>
        <v>28.414164846379371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-1.064108801074326E-13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482.28841373508675</v>
      </c>
      <c r="AO193" s="59">
        <f t="shared" si="144"/>
        <v>746.97309214631684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36.863914941560516</v>
      </c>
      <c r="AV193" s="21">
        <f>EXP(-LN(2)/25)*AV192+(1-EXP(-LN(2)/25))/(LN(2)/25)*Calculateur!AQ193*Calculateur!AS193*VLOOKUP('Données projet'!$B$10,Paramètres!$A$1:$I$89,3,0)*0.475*44/12</f>
        <v>3.2862861682906983</v>
      </c>
      <c r="AW193" s="21">
        <f>EXP(-LN(2)/2)*AW192+(1-EXP(-LN(2)/2))/(LN(2)/2)*AQ193*AT193*VLOOKUP('Données projet'!$B$10,Paramètres!$A$1:$I$89,3,0)*0.475*44/12</f>
        <v>5.7021584954591281E-16</v>
      </c>
      <c r="AX193" s="21">
        <f t="shared" si="166"/>
        <v>40.150201109851217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-6.7984728957526396E-14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284.42619963941019</v>
      </c>
      <c r="BJ193" s="59">
        <f t="shared" si="146"/>
        <v>301.41905904220812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16.901276967172009</v>
      </c>
      <c r="BQ193" s="21">
        <f>EXP(-LN(2)/25)*BQ192+(1-EXP(-LN(2)/25))/(LN(2)/25)*Calculateur!BL193*Calculateur!BN193*VLOOKUP('Données projet'!$B$11,Paramètres!$A$1:$I$89,3,0)*0.475*44/12</f>
        <v>1.4550884283196104</v>
      </c>
      <c r="BR193" s="21">
        <f>EXP(-LN(2)/2)*BR192+(1-EXP(-LN(2)/2))/(LN(2)/2)*BL193*BO193*VLOOKUP('Données projet'!$B$11,Paramètres!$A$1:$I$89,3,0)*0.475*44/12</f>
        <v>7.7080555394185744E-18</v>
      </c>
      <c r="BS193" s="22">
        <f t="shared" si="169"/>
        <v>18.356365395491618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490.96084572840579</v>
      </c>
      <c r="T194" s="59">
        <f t="shared" si="142"/>
        <v>597.91658789908263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25.579449742121774</v>
      </c>
      <c r="AA194" s="21">
        <f>EXP(-LN(2)/25)*AA193+(1-EXP(-LN(2)/25))/(LN(2)/25)*Calculateur!V194*Calculateur!X194*VLOOKUP('Données projet'!$B$9,Paramètres!$A$1:$I$89,3,0)*0.475*44/12</f>
        <v>2.2595600614207316</v>
      </c>
      <c r="AB194" s="21">
        <f>EXP(-LN(2)/2)*AB193+(1-EXP(-LN(2)/2))/(LN(2)/2)*V194*Y194*VLOOKUP('Données projet'!$B$9,Paramètres!$A$1:$I$89,3,0)*0.475*44/12</f>
        <v>6.931824521587392E-18</v>
      </c>
      <c r="AC194" s="22">
        <f t="shared" si="163"/>
        <v>27.839009803542506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-1.064108801074326E-13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482.28841373508675</v>
      </c>
      <c r="AO194" s="59">
        <f t="shared" si="144"/>
        <v>746.97309214631684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36.141036054324445</v>
      </c>
      <c r="AV194" s="21">
        <f>EXP(-LN(2)/25)*AV193+(1-EXP(-LN(2)/25))/(LN(2)/25)*Calculateur!AQ194*Calculateur!AS194*VLOOKUP('Données projet'!$B$10,Paramètres!$A$1:$I$89,3,0)*0.475*44/12</f>
        <v>3.1964225002005104</v>
      </c>
      <c r="AW194" s="21">
        <f>EXP(-LN(2)/2)*AW193+(1-EXP(-LN(2)/2))/(LN(2)/2)*AQ194*AT194*VLOOKUP('Données projet'!$B$10,Paramètres!$A$1:$I$89,3,0)*0.475*44/12</f>
        <v>4.0320349395396308E-16</v>
      </c>
      <c r="AX194" s="21">
        <f t="shared" si="166"/>
        <v>39.337458554524957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-6.7984728957526396E-14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284.42619963941019</v>
      </c>
      <c r="BJ194" s="59">
        <f t="shared" si="146"/>
        <v>301.41905904220812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16.569853234606811</v>
      </c>
      <c r="BQ194" s="21">
        <f>EXP(-LN(2)/25)*BQ193+(1-EXP(-LN(2)/25))/(LN(2)/25)*Calculateur!BL194*Calculateur!BN194*VLOOKUP('Données projet'!$B$11,Paramètres!$A$1:$I$89,3,0)*0.475*44/12</f>
        <v>1.4152989587274358</v>
      </c>
      <c r="BR194" s="21">
        <f>EXP(-LN(2)/2)*BR193+(1-EXP(-LN(2)/2))/(LN(2)/2)*BL194*BO194*VLOOKUP('Données projet'!$B$11,Paramètres!$A$1:$I$89,3,0)*0.475*44/12</f>
        <v>5.4504183416854056E-18</v>
      </c>
      <c r="BS194" s="22">
        <f t="shared" si="169"/>
        <v>17.985152193334248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490.96084572840579</v>
      </c>
      <c r="T195" s="59">
        <f t="shared" si="142"/>
        <v>597.91658789908263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25.077852334602547</v>
      </c>
      <c r="AA195" s="21">
        <f>EXP(-LN(2)/25)*AA194+(1-EXP(-LN(2)/25))/(LN(2)/25)*Calculateur!V195*Calculateur!X195*VLOOKUP('Données projet'!$B$9,Paramètres!$A$1:$I$89,3,0)*0.475*44/12</f>
        <v>2.1977722727160822</v>
      </c>
      <c r="AB195" s="21">
        <f>EXP(-LN(2)/2)*AB194+(1-EXP(-LN(2)/2))/(LN(2)/2)*V195*Y195*VLOOKUP('Données projet'!$B$9,Paramètres!$A$1:$I$89,3,0)*0.475*44/12</f>
        <v>4.9015401252096409E-18</v>
      </c>
      <c r="AC195" s="22">
        <f t="shared" si="163"/>
        <v>27.27562460731863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-1.064108801074326E-13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482.28841373508675</v>
      </c>
      <c r="AO195" s="59">
        <f t="shared" si="144"/>
        <v>746.97309214631684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35.432332381154488</v>
      </c>
      <c r="AV195" s="21">
        <f>EXP(-LN(2)/25)*AV194+(1-EXP(-LN(2)/25))/(LN(2)/25)*Calculateur!AQ195*Calculateur!AS195*VLOOKUP('Données projet'!$B$10,Paramètres!$A$1:$I$89,3,0)*0.475*44/12</f>
        <v>3.1090161588399736</v>
      </c>
      <c r="AW195" s="21">
        <f>EXP(-LN(2)/2)*AW194+(1-EXP(-LN(2)/2))/(LN(2)/2)*AQ195*AT195*VLOOKUP('Données projet'!$B$10,Paramètres!$A$1:$I$89,3,0)*0.475*44/12</f>
        <v>2.8510792477295641E-16</v>
      </c>
      <c r="AX195" s="21">
        <f t="shared" si="166"/>
        <v>38.541348539994459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-6.7984728957526396E-14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284.42619963941019</v>
      </c>
      <c r="BJ195" s="59">
        <f t="shared" si="146"/>
        <v>301.41905904220812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16.244928519288699</v>
      </c>
      <c r="BQ195" s="21">
        <f>EXP(-LN(2)/25)*BQ194+(1-EXP(-LN(2)/25))/(LN(2)/25)*Calculateur!BL195*Calculateur!BN195*VLOOKUP('Données projet'!$B$11,Paramètres!$A$1:$I$89,3,0)*0.475*44/12</f>
        <v>1.3765975342736965</v>
      </c>
      <c r="BR195" s="21">
        <f>EXP(-LN(2)/2)*BR194+(1-EXP(-LN(2)/2))/(LN(2)/2)*BL195*BO195*VLOOKUP('Données projet'!$B$11,Paramètres!$A$1:$I$89,3,0)*0.475*44/12</f>
        <v>3.8540277697092872E-18</v>
      </c>
      <c r="BS195" s="22">
        <f t="shared" si="169"/>
        <v>17.621526053562395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490.96084572840579</v>
      </c>
      <c r="T196" s="59">
        <f t="shared" si="142"/>
        <v>597.91658789908263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24.586090946300562</v>
      </c>
      <c r="AA196" s="21">
        <f>EXP(-LN(2)/25)*AA195+(1-EXP(-LN(2)/25))/(LN(2)/25)*Calculateur!V196*Calculateur!X196*VLOOKUP('Données projet'!$B$9,Paramètres!$A$1:$I$89,3,0)*0.475*44/12</f>
        <v>2.1376740743428404</v>
      </c>
      <c r="AB196" s="21">
        <f>EXP(-LN(2)/2)*AB195+(1-EXP(-LN(2)/2))/(LN(2)/2)*V196*Y196*VLOOKUP('Données projet'!$B$9,Paramètres!$A$1:$I$89,3,0)*0.475*44/12</f>
        <v>3.4659122607936964E-18</v>
      </c>
      <c r="AC196" s="22">
        <f t="shared" si="163"/>
        <v>26.723765020643402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-1.064108801074326E-13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482.28841373508675</v>
      </c>
      <c r="AO196" s="59">
        <f t="shared" si="144"/>
        <v>746.97309214631684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34.737525954748833</v>
      </c>
      <c r="AV196" s="21">
        <f>EXP(-LN(2)/25)*AV195+(1-EXP(-LN(2)/25))/(LN(2)/25)*Calculateur!AQ196*Calculateur!AS196*VLOOKUP('Données projet'!$B$10,Paramètres!$A$1:$I$89,3,0)*0.475*44/12</f>
        <v>3.0239999484804403</v>
      </c>
      <c r="AW196" s="21">
        <f>EXP(-LN(2)/2)*AW195+(1-EXP(-LN(2)/2))/(LN(2)/2)*AQ196*AT196*VLOOKUP('Données projet'!$B$10,Paramètres!$A$1:$I$89,3,0)*0.475*44/12</f>
        <v>2.0160174697698154E-16</v>
      </c>
      <c r="AX196" s="21">
        <f t="shared" si="166"/>
        <v>37.76152590322927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-6.7984728957526396E-14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284.42619963941019</v>
      </c>
      <c r="BJ196" s="59">
        <f t="shared" si="146"/>
        <v>301.41905904220812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15.926375379453468</v>
      </c>
      <c r="BQ196" s="21">
        <f>EXP(-LN(2)/25)*BQ195+(1-EXP(-LN(2)/25))/(LN(2)/25)*Calculateur!BL196*Calculateur!BN196*VLOOKUP('Données projet'!$B$11,Paramètres!$A$1:$I$89,3,0)*0.475*44/12</f>
        <v>1.3389544023068642</v>
      </c>
      <c r="BR196" s="21">
        <f>EXP(-LN(2)/2)*BR195+(1-EXP(-LN(2)/2))/(LN(2)/2)*BL196*BO196*VLOOKUP('Données projet'!$B$11,Paramètres!$A$1:$I$89,3,0)*0.475*44/12</f>
        <v>2.7252091708427028E-18</v>
      </c>
      <c r="BS196" s="22">
        <f t="shared" si="169"/>
        <v>17.265329781760332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490.96084572840579</v>
      </c>
      <c r="T197" s="59">
        <f t="shared" ref="T197:T203" si="204">$T$3</f>
        <v>597.91658789908263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24.103972698878351</v>
      </c>
      <c r="AA197" s="21">
        <f>EXP(-LN(2)/25)*AA196+(1-EXP(-LN(2)/25))/(LN(2)/25)*Calculateur!V197*Calculateur!X197*VLOOKUP('Données projet'!$B$9,Paramètres!$A$1:$I$89,3,0)*0.475*44/12</f>
        <v>2.0792192643645415</v>
      </c>
      <c r="AB197" s="21">
        <f>EXP(-LN(2)/2)*AB196+(1-EXP(-LN(2)/2))/(LN(2)/2)*V197*Y197*VLOOKUP('Données projet'!$B$9,Paramètres!$A$1:$I$89,3,0)*0.475*44/12</f>
        <v>2.4507700626048208E-18</v>
      </c>
      <c r="AC197" s="22">
        <f t="shared" si="163"/>
        <v>26.183191963242894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-1.064108801074326E-13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482.28841373508675</v>
      </c>
      <c r="AO197" s="59">
        <f t="shared" ref="AO197:AO203" si="205">$AO$3</f>
        <v>746.97309214631684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34.056344258574917</v>
      </c>
      <c r="AV197" s="21">
        <f>EXP(-LN(2)/25)*AV196+(1-EXP(-LN(2)/25))/(LN(2)/25)*Calculateur!AQ197*Calculateur!AS197*VLOOKUP('Données projet'!$B$10,Paramètres!$A$1:$I$89,3,0)*0.475*44/12</f>
        <v>2.9413085108639967</v>
      </c>
      <c r="AW197" s="21">
        <f>EXP(-LN(2)/2)*AW196+(1-EXP(-LN(2)/2))/(LN(2)/2)*AQ197*AT197*VLOOKUP('Données projet'!$B$10,Paramètres!$A$1:$I$89,3,0)*0.475*44/12</f>
        <v>1.425539623864782E-16</v>
      </c>
      <c r="AX197" s="21">
        <f t="shared" si="166"/>
        <v>36.997652769438915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-6.7984728957526396E-14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284.42619963941019</v>
      </c>
      <c r="BJ197" s="59">
        <f t="shared" ref="BJ197:BJ203" si="206">$BJ$3</f>
        <v>301.41905904220812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15.614068872392176</v>
      </c>
      <c r="BQ197" s="21">
        <f>EXP(-LN(2)/25)*BQ196+(1-EXP(-LN(2)/25))/(LN(2)/25)*Calculateur!BL197*Calculateur!BN197*VLOOKUP('Données projet'!$B$11,Paramètres!$A$1:$I$89,3,0)*0.475*44/12</f>
        <v>1.3023406237632313</v>
      </c>
      <c r="BR197" s="21">
        <f>EXP(-LN(2)/2)*BR196+(1-EXP(-LN(2)/2))/(LN(2)/2)*BL197*BO197*VLOOKUP('Données projet'!$B$11,Paramètres!$A$1:$I$89,3,0)*0.475*44/12</f>
        <v>1.9270138848546436E-18</v>
      </c>
      <c r="BS197" s="22">
        <f t="shared" si="169"/>
        <v>16.916409496155406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490.96084572840579</v>
      </c>
      <c r="T198" s="59">
        <f t="shared" si="204"/>
        <v>597.91658789908263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23.631308496224992</v>
      </c>
      <c r="AA198" s="21">
        <f>EXP(-LN(2)/25)*AA197+(1-EXP(-LN(2)/25))/(LN(2)/25)*Calculateur!V198*Calculateur!X198*VLOOKUP('Données projet'!$B$9,Paramètres!$A$1:$I$89,3,0)*0.475*44/12</f>
        <v>2.0223629042391043</v>
      </c>
      <c r="AB198" s="21">
        <f>EXP(-LN(2)/2)*AB197+(1-EXP(-LN(2)/2))/(LN(2)/2)*V198*Y198*VLOOKUP('Données projet'!$B$9,Paramètres!$A$1:$I$89,3,0)*0.475*44/12</f>
        <v>1.7329561303968486E-18</v>
      </c>
      <c r="AC198" s="22">
        <f t="shared" si="163"/>
        <v>25.653671400464098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-1.064108801074326E-13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482.28841373508675</v>
      </c>
      <c r="AO198" s="59">
        <f t="shared" si="205"/>
        <v>746.97309214631684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33.388520119983163</v>
      </c>
      <c r="AV198" s="21">
        <f>EXP(-LN(2)/25)*AV197+(1-EXP(-LN(2)/25))/(LN(2)/25)*Calculateur!AQ198*Calculateur!AS198*VLOOKUP('Données projet'!$B$10,Paramètres!$A$1:$I$89,3,0)*0.475*44/12</f>
        <v>2.8608782749577286</v>
      </c>
      <c r="AW198" s="21">
        <f>EXP(-LN(2)/2)*AW197+(1-EXP(-LN(2)/2))/(LN(2)/2)*AQ198*AT198*VLOOKUP('Données projet'!$B$10,Paramètres!$A$1:$I$89,3,0)*0.475*44/12</f>
        <v>1.0080087348849077E-16</v>
      </c>
      <c r="AX198" s="21">
        <f t="shared" si="166"/>
        <v>36.24939839494089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-6.7984728957526396E-14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284.42619963941019</v>
      </c>
      <c r="BJ198" s="59">
        <f t="shared" si="206"/>
        <v>301.41905904220812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15.307886505446197</v>
      </c>
      <c r="BQ198" s="21">
        <f>EXP(-LN(2)/25)*BQ197+(1-EXP(-LN(2)/25))/(LN(2)/25)*Calculateur!BL198*Calculateur!BN198*VLOOKUP('Données projet'!$B$11,Paramètres!$A$1:$I$89,3,0)*0.475*44/12</f>
        <v>1.2667280509193088</v>
      </c>
      <c r="BR198" s="21">
        <f>EXP(-LN(2)/2)*BR197+(1-EXP(-LN(2)/2))/(LN(2)/2)*BL198*BO198*VLOOKUP('Données projet'!$B$11,Paramètres!$A$1:$I$89,3,0)*0.475*44/12</f>
        <v>1.3626045854213514E-18</v>
      </c>
      <c r="BS198" s="22">
        <f t="shared" si="169"/>
        <v>16.574614556365507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490.96084572840579</v>
      </c>
      <c r="T199" s="59">
        <f t="shared" si="204"/>
        <v>597.91658789908263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23.167912950288972</v>
      </c>
      <c r="AA199" s="21">
        <f>EXP(-LN(2)/25)*AA198+(1-EXP(-LN(2)/25))/(LN(2)/25)*Calculateur!V199*Calculateur!X199*VLOOKUP('Données projet'!$B$9,Paramètres!$A$1:$I$89,3,0)*0.475*44/12</f>
        <v>1.9670612842712429</v>
      </c>
      <c r="AB199" s="21">
        <f>EXP(-LN(2)/2)*AB198+(1-EXP(-LN(2)/2))/(LN(2)/2)*V199*Y199*VLOOKUP('Données projet'!$B$9,Paramètres!$A$1:$I$89,3,0)*0.475*44/12</f>
        <v>1.2253850313024106E-18</v>
      </c>
      <c r="AC199" s="22">
        <f t="shared" si="163"/>
        <v>25.134974234560215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-1.064108801074326E-13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482.28841373508675</v>
      </c>
      <c r="AO199" s="59">
        <f t="shared" si="205"/>
        <v>746.97309214631684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32.733791605416691</v>
      </c>
      <c r="AV199" s="21">
        <f>EXP(-LN(2)/25)*AV198+(1-EXP(-LN(2)/25))/(LN(2)/25)*Calculateur!AQ199*Calculateur!AS199*VLOOKUP('Données projet'!$B$10,Paramètres!$A$1:$I$89,3,0)*0.475*44/12</f>
        <v>2.7826474080819597</v>
      </c>
      <c r="AW199" s="21">
        <f>EXP(-LN(2)/2)*AW198+(1-EXP(-LN(2)/2))/(LN(2)/2)*AQ199*AT199*VLOOKUP('Données projet'!$B$10,Paramètres!$A$1:$I$89,3,0)*0.475*44/12</f>
        <v>7.1276981193239101E-17</v>
      </c>
      <c r="AX199" s="21">
        <f t="shared" si="166"/>
        <v>35.516439013498648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-6.7984728957526396E-14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284.42619963941019</v>
      </c>
      <c r="BJ199" s="59">
        <f t="shared" si="206"/>
        <v>301.41905904220812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15.007708187963225</v>
      </c>
      <c r="BQ199" s="21">
        <f>EXP(-LN(2)/25)*BQ198+(1-EXP(-LN(2)/25))/(LN(2)/25)*Calculateur!BL199*Calculateur!BN199*VLOOKUP('Données projet'!$B$11,Paramètres!$A$1:$I$89,3,0)*0.475*44/12</f>
        <v>1.2320893057525872</v>
      </c>
      <c r="BR199" s="21">
        <f>EXP(-LN(2)/2)*BR198+(1-EXP(-LN(2)/2))/(LN(2)/2)*BL199*BO199*VLOOKUP('Données projet'!$B$11,Paramètres!$A$1:$I$89,3,0)*0.475*44/12</f>
        <v>9.635069424273218E-19</v>
      </c>
      <c r="BS199" s="22">
        <f t="shared" si="169"/>
        <v>16.239797493715812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490.96084572840579</v>
      </c>
      <c r="T200" s="59">
        <f t="shared" si="204"/>
        <v>597.91658789908263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22.713604308365383</v>
      </c>
      <c r="AA200" s="21">
        <f>EXP(-LN(2)/25)*AA199+(1-EXP(-LN(2)/25))/(LN(2)/25)*Calculateur!V200*Calculateur!X200*VLOOKUP('Données projet'!$B$9,Paramètres!$A$1:$I$89,3,0)*0.475*44/12</f>
        <v>1.9132718900095886</v>
      </c>
      <c r="AB200" s="21">
        <f>EXP(-LN(2)/2)*AB199+(1-EXP(-LN(2)/2))/(LN(2)/2)*V200*Y200*VLOOKUP('Données projet'!$B$9,Paramètres!$A$1:$I$89,3,0)*0.475*44/12</f>
        <v>8.6647806519842439E-19</v>
      </c>
      <c r="AC200" s="22">
        <f t="shared" si="163"/>
        <v>24.626876198374973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-1.064108801074326E-13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482.28841373508675</v>
      </c>
      <c r="AO200" s="59">
        <f t="shared" si="205"/>
        <v>746.97309214631684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32.091901917675905</v>
      </c>
      <c r="AV200" s="21">
        <f>EXP(-LN(2)/25)*AV199+(1-EXP(-LN(2)/25))/(LN(2)/25)*Calculateur!AQ200*Calculateur!AS200*VLOOKUP('Données projet'!$B$10,Paramètres!$A$1:$I$89,3,0)*0.475*44/12</f>
        <v>2.7065557683748911</v>
      </c>
      <c r="AW200" s="21">
        <f>EXP(-LN(2)/2)*AW199+(1-EXP(-LN(2)/2))/(LN(2)/2)*AQ200*AT200*VLOOKUP('Données projet'!$B$10,Paramètres!$A$1:$I$89,3,0)*0.475*44/12</f>
        <v>5.0400436744245385E-17</v>
      </c>
      <c r="AX200" s="21">
        <f t="shared" si="166"/>
        <v>34.798457686050796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-6.7984728957526396E-14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284.42619963941019</v>
      </c>
      <c r="BJ200" s="59">
        <f t="shared" si="206"/>
        <v>301.41905904220812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14.713416184195397</v>
      </c>
      <c r="BQ200" s="21">
        <f>EXP(-LN(2)/25)*BQ199+(1-EXP(-LN(2)/25))/(LN(2)/25)*Calculateur!BL200*Calculateur!BN200*VLOOKUP('Données projet'!$B$11,Paramètres!$A$1:$I$89,3,0)*0.475*44/12</f>
        <v>1.1983977588940222</v>
      </c>
      <c r="BR200" s="21">
        <f>EXP(-LN(2)/2)*BR199+(1-EXP(-LN(2)/2))/(LN(2)/2)*BL200*BO200*VLOOKUP('Données projet'!$B$11,Paramètres!$A$1:$I$89,3,0)*0.475*44/12</f>
        <v>6.8130229271067569E-19</v>
      </c>
      <c r="BS200" s="22">
        <f t="shared" si="169"/>
        <v>15.91181394308942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490.96084572840579</v>
      </c>
      <c r="T201" s="59">
        <f t="shared" si="204"/>
        <v>597.91658789908263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22.268204381809003</v>
      </c>
      <c r="AA201" s="21">
        <f>EXP(-LN(2)/25)*AA200+(1-EXP(-LN(2)/25))/(LN(2)/25)*Calculateur!V201*Calculateur!X201*VLOOKUP('Données projet'!$B$9,Paramètres!$A$1:$I$89,3,0)*0.475*44/12</f>
        <v>1.8609533695626805</v>
      </c>
      <c r="AB201" s="21">
        <f>EXP(-LN(2)/2)*AB200+(1-EXP(-LN(2)/2))/(LN(2)/2)*V201*Y201*VLOOKUP('Données projet'!$B$9,Paramètres!$A$1:$I$89,3,0)*0.475*44/12</f>
        <v>6.126925156512054E-19</v>
      </c>
      <c r="AC201" s="22">
        <f t="shared" si="163"/>
        <v>24.129157751371682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-1.064108801074326E-13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482.28841373508675</v>
      </c>
      <c r="AO201" s="59">
        <f t="shared" si="205"/>
        <v>746.97309214631684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31.462599295197666</v>
      </c>
      <c r="AV201" s="21">
        <f>EXP(-LN(2)/25)*AV200+(1-EXP(-LN(2)/25))/(LN(2)/25)*Calculateur!AQ201*Calculateur!AS201*VLOOKUP('Données projet'!$B$10,Paramètres!$A$1:$I$89,3,0)*0.475*44/12</f>
        <v>2.6325448585570976</v>
      </c>
      <c r="AW201" s="21">
        <f>EXP(-LN(2)/2)*AW200+(1-EXP(-LN(2)/2))/(LN(2)/2)*AQ201*AT201*VLOOKUP('Données projet'!$B$10,Paramètres!$A$1:$I$89,3,0)*0.475*44/12</f>
        <v>3.5638490596619551E-17</v>
      </c>
      <c r="AX201" s="21">
        <f t="shared" si="166"/>
        <v>34.095144153754767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-6.7984728957526396E-14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284.42619963941019</v>
      </c>
      <c r="BJ201" s="59">
        <f t="shared" si="206"/>
        <v>301.41905904220812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14.42489506712106</v>
      </c>
      <c r="BQ201" s="21">
        <f>EXP(-LN(2)/25)*BQ200+(1-EXP(-LN(2)/25))/(LN(2)/25)*Calculateur!BL201*Calculateur!BN201*VLOOKUP('Données projet'!$B$11,Paramètres!$A$1:$I$89,3,0)*0.475*44/12</f>
        <v>1.1656275091560659</v>
      </c>
      <c r="BR201" s="21">
        <f>EXP(-LN(2)/2)*BR200+(1-EXP(-LN(2)/2))/(LN(2)/2)*BL201*BO201*VLOOKUP('Données projet'!$B$11,Paramètres!$A$1:$I$89,3,0)*0.475*44/12</f>
        <v>4.817534712136609E-19</v>
      </c>
      <c r="BS201" s="22">
        <f t="shared" si="169"/>
        <v>15.590522576277126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490.96084572840579</v>
      </c>
      <c r="T202" s="59">
        <f t="shared" si="204"/>
        <v>597.91658789908263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21.831538476145266</v>
      </c>
      <c r="AA202" s="21">
        <f>EXP(-LN(2)/25)*AA201+(1-EXP(-LN(2)/25))/(LN(2)/25)*Calculateur!V202*Calculateur!X202*VLOOKUP('Données projet'!$B$9,Paramètres!$A$1:$I$89,3,0)*0.475*44/12</f>
        <v>1.8100655018087046</v>
      </c>
      <c r="AB202" s="21">
        <f>EXP(-LN(2)/2)*AB201+(1-EXP(-LN(2)/2))/(LN(2)/2)*V202*Y202*VLOOKUP('Données projet'!$B$9,Paramètres!$A$1:$I$89,3,0)*0.475*44/12</f>
        <v>4.3323903259921229E-19</v>
      </c>
      <c r="AC202" s="22">
        <f t="shared" si="163"/>
        <v>23.64160397795397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-1.064108801074326E-13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482.28841373508675</v>
      </c>
      <c r="AO202" s="59">
        <f t="shared" si="205"/>
        <v>746.97309214631684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30.845636913309527</v>
      </c>
      <c r="AV202" s="21">
        <f>EXP(-LN(2)/25)*AV201+(1-EXP(-LN(2)/25))/(LN(2)/25)*Calculateur!AQ202*Calculateur!AS202*VLOOKUP('Données projet'!$B$10,Paramètres!$A$1:$I$89,3,0)*0.475*44/12</f>
        <v>2.5605577809603366</v>
      </c>
      <c r="AW202" s="21">
        <f>EXP(-LN(2)/2)*AW201+(1-EXP(-LN(2)/2))/(LN(2)/2)*AQ202*AT202*VLOOKUP('Données projet'!$B$10,Paramètres!$A$1:$I$89,3,0)*0.475*44/12</f>
        <v>2.5200218372122692E-17</v>
      </c>
      <c r="AX202" s="21">
        <f t="shared" si="166"/>
        <v>33.406194694269864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-6.7984728957526396E-14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284.42619963941019</v>
      </c>
      <c r="BJ202" s="59">
        <f t="shared" si="206"/>
        <v>301.41905904220812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14.142031673172045</v>
      </c>
      <c r="BQ202" s="21">
        <f>EXP(-LN(2)/25)*BQ201+(1-EXP(-LN(2)/25))/(LN(2)/25)*Calculateur!BL202*Calculateur!BN202*VLOOKUP('Données projet'!$B$11,Paramètres!$A$1:$I$89,3,0)*0.475*44/12</f>
        <v>1.1337533636205066</v>
      </c>
      <c r="BR202" s="21">
        <f>EXP(-LN(2)/2)*BR201+(1-EXP(-LN(2)/2))/(LN(2)/2)*BL202*BO202*VLOOKUP('Données projet'!$B$11,Paramètres!$A$1:$I$89,3,0)*0.475*44/12</f>
        <v>3.4065114635533785E-19</v>
      </c>
      <c r="BS202" s="22">
        <f t="shared" si="169"/>
        <v>15.275785036792552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490.96084572840579</v>
      </c>
      <c r="T203" s="59">
        <f t="shared" si="204"/>
        <v>597.91658789908263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21.40343532255169</v>
      </c>
      <c r="AA203" s="21">
        <f>EXP(-LN(2)/25)*AA202+(1-EXP(-LN(2)/25))/(LN(2)/25)*Calculateur!V203*Calculateur!X203*VLOOKUP('Données projet'!$B$9,Paramètres!$A$1:$I$89,3,0)*0.475*44/12</f>
        <v>1.7605691654745379</v>
      </c>
      <c r="AB203" s="21">
        <f>EXP(-LN(2)/2)*AB202+(1-EXP(-LN(2)/2))/(LN(2)/2)*V203*Y203*VLOOKUP('Données projet'!$B$9,Paramètres!$A$1:$I$89,3,0)*0.475*44/12</f>
        <v>3.0634625782560275E-19</v>
      </c>
      <c r="AC203" s="22">
        <f t="shared" si="163"/>
        <v>23.164004488026229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-1.064108801074326E-13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482.28841373508675</v>
      </c>
      <c r="AO203" s="59">
        <f t="shared" si="205"/>
        <v>746.97309214631684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30.240772787420319</v>
      </c>
      <c r="AV203" s="21">
        <f>EXP(-LN(2)/25)*AV202+(1-EXP(-LN(2)/25))/(LN(2)/25)*Calculateur!AQ203*Calculateur!AS203*VLOOKUP('Données projet'!$B$10,Paramètres!$A$1:$I$89,3,0)*0.475*44/12</f>
        <v>2.4905391937860948</v>
      </c>
      <c r="AW203" s="21">
        <f>EXP(-LN(2)/2)*AW202+(1-EXP(-LN(2)/2))/(LN(2)/2)*AQ203*AT203*VLOOKUP('Données projet'!$B$10,Paramètres!$A$1:$I$89,3,0)*0.475*44/12</f>
        <v>1.7819245298309775E-17</v>
      </c>
      <c r="AX203" s="21">
        <f t="shared" si="166"/>
        <v>32.731311981206417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-6.7984728957526396E-14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284.42619963941019</v>
      </c>
      <c r="BJ203" s="59">
        <f t="shared" si="206"/>
        <v>301.41905904220812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13.864715057848736</v>
      </c>
      <c r="BQ203" s="21">
        <f>EXP(-LN(2)/25)*BQ202+(1-EXP(-LN(2)/25))/(LN(2)/25)*Calculateur!BL203*Calculateur!BN203*VLOOKUP('Données projet'!$B$11,Paramètres!$A$1:$I$89,3,0)*0.475*44/12</f>
        <v>1.1027508182708057</v>
      </c>
      <c r="BR203" s="21">
        <f>EXP(-LN(2)/2)*BR202+(1-EXP(-LN(2)/2))/(LN(2)/2)*BL203*BO203*VLOOKUP('Données projet'!$B$11,Paramètres!$A$1:$I$89,3,0)*0.475*44/12</f>
        <v>2.4087673560683045E-19</v>
      </c>
      <c r="BS203" s="22">
        <f t="shared" si="169"/>
        <v>14.967465876119542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1.4037863041747067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1.4714192565876152</v>
      </c>
      <c r="BA205" s="82">
        <f>EXP(LN('Données projet'!B88)/'Données projet'!A88)</f>
        <v>1.3239616704988877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 x14ac:dyDescent="0.35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81" t="s">
        <v>114</v>
      </c>
      <c r="P2" s="121">
        <v>0</v>
      </c>
    </row>
    <row r="3" spans="1:16" ht="15" thickBot="1" x14ac:dyDescent="0.4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81" t="s">
        <v>121</v>
      </c>
      <c r="P5" s="121">
        <v>0</v>
      </c>
    </row>
    <row r="6" spans="1:16" x14ac:dyDescent="0.35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81" t="s">
        <v>133</v>
      </c>
      <c r="P10" s="121">
        <v>0</v>
      </c>
    </row>
    <row r="11" spans="1:16" ht="15" thickBot="1" x14ac:dyDescent="0.4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136</v>
      </c>
      <c r="B12" s="123" t="s">
        <v>137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139</v>
      </c>
      <c r="B13" s="123" t="s">
        <v>140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141</v>
      </c>
      <c r="B14" s="123" t="s">
        <v>142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143</v>
      </c>
      <c r="B15" s="123" t="s">
        <v>144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145</v>
      </c>
      <c r="B16" s="123" t="s">
        <v>146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147</v>
      </c>
      <c r="B17" s="123" t="s">
        <v>148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149</v>
      </c>
      <c r="B18" s="123" t="s">
        <v>150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151</v>
      </c>
      <c r="B19" s="123" t="s">
        <v>152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112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157</v>
      </c>
      <c r="B21" s="123" t="s">
        <v>158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159</v>
      </c>
      <c r="B22" s="123" t="s">
        <v>160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161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71</v>
      </c>
      <c r="B24" s="123" t="s">
        <v>162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163</v>
      </c>
      <c r="B25" s="123" t="s">
        <v>164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177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112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112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112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112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112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112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112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112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112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112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112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112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112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112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112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112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112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112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112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112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112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112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112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112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21</v>
      </c>
      <c r="B66" s="123" t="s">
        <v>228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111</v>
      </c>
      <c r="E70" s="124">
        <v>2.4</v>
      </c>
      <c r="F70" s="124" t="s">
        <v>237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112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112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278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 x14ac:dyDescent="0.35">
      <c r="A93" s="122" t="s">
        <v>72</v>
      </c>
    </row>
    <row r="94" spans="1:14" x14ac:dyDescent="0.35">
      <c r="A94" s="122" t="s">
        <v>73</v>
      </c>
    </row>
    <row r="95" spans="1:14" x14ac:dyDescent="0.35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1.0829666666666669</v>
      </c>
      <c r="C6" s="147">
        <f ca="1">IF(OR('Données projet'!B9="",'Données projet'!C9="",'Données projet'!C9=0%),0,Calculateur!S3)</f>
        <v>490.96084572840579</v>
      </c>
      <c r="D6" s="147">
        <f>IF(OR('Données projet'!B9="",'Données projet'!C9="",'Données projet'!C9=0%),0,Calculateur!T3)</f>
        <v>597.91658789908263</v>
      </c>
      <c r="E6" s="147">
        <f ca="1">MIN(C6,D6)</f>
        <v>490.96084572840579</v>
      </c>
      <c r="F6" s="147">
        <f ca="1">E6*B6</f>
        <v>531.69423056233927</v>
      </c>
      <c r="G6" s="147">
        <f ca="1">F6*(100%-'Données projet'!$C$24)*(100%-'Données projet'!$C$25)*(100%-'Données projet'!$C$26)*(100%-'Données projet'!$C$27)</f>
        <v>478.52480750610533</v>
      </c>
      <c r="H6" s="148">
        <f>IF(OR('Données projet'!B9="",'Données projet'!C9="",'Données projet'!C9=0%),0,AVERAGE(Calculateur!$AC$3:$AC$33)*B6)</f>
        <v>10.800864011420506</v>
      </c>
      <c r="I6" s="149">
        <f>H6*(100%-'Données projet'!$C$24)*(100%-'Données projet'!$C$25)*(100%-'Données projet'!$C$26)*(100%-'Données projet'!$C$27)</f>
        <v>9.7207776102784553</v>
      </c>
      <c r="J6" s="150">
        <f>IF(OR('Données projet'!B9="",'Données projet'!C9="",'Données projet'!C9=0%),0,SUM(Calculateur!$V$3:$V$33)*VLOOKUP('Données projet'!$B$9,Paramètres!$A$1:$I$89,9,0)*B6)</f>
        <v>89.875403666666671</v>
      </c>
      <c r="K6" s="151">
        <f>J6*(100%-'Données projet'!$C$24)*(100%-'Données projet'!$C$25)*(100%-'Données projet'!$C$26)*(100%-'Données projet'!$C$27)</f>
        <v>80.887863300000006</v>
      </c>
      <c r="L6" s="152">
        <f ca="1">G6+I6+K6</f>
        <v>569.13344841638377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Mélèze d'Europe</v>
      </c>
      <c r="B7" s="154">
        <f>'Données projet'!D10</f>
        <v>1.0829666666666669</v>
      </c>
      <c r="C7" s="147">
        <f ca="1">IF(OR('Données projet'!B10="",'Données projet'!C10="",'Données projet'!C10=0%),0,Calculateur!AN3)</f>
        <v>482.28841373508675</v>
      </c>
      <c r="D7" s="147">
        <f>IF(OR('Données projet'!B10="",'Données projet'!C10="",'Données projet'!C10=0%),0,Calculateur!AO3)</f>
        <v>746.97309214631684</v>
      </c>
      <c r="E7" s="147">
        <f t="shared" ref="E7:E15" ca="1" si="0">MIN(C7,D7)</f>
        <v>482.28841373508675</v>
      </c>
      <c r="F7" s="147">
        <f t="shared" ref="F7:F15" ca="1" si="1">E7*B7</f>
        <v>522.30227579464122</v>
      </c>
      <c r="G7" s="147">
        <f ca="1">F7*(100%-'Données projet'!$C$24)*(100%-'Données projet'!$C$25)*(100%-'Données projet'!$C$26)*(100%-'Données projet'!$C$27)</f>
        <v>470.07204821517712</v>
      </c>
      <c r="H7" s="155">
        <f>IF(OR('Données projet'!B10="",'Données projet'!C10="",'Données projet'!C10=0%),0,AVERAGE(Calculateur!$AX$3:$AX$33)*B7)</f>
        <v>1.9588408423509502</v>
      </c>
      <c r="I7" s="149">
        <f>H7*(100%-'Données projet'!$C$24)*(100%-'Données projet'!$C$25)*(100%-'Données projet'!$C$26)*(100%-'Données projet'!$C$27)</f>
        <v>1.7629567581158552</v>
      </c>
      <c r="J7" s="150">
        <f>IF(OR('Données projet'!B10="",'Données projet'!C10="",'Données projet'!C10=0%),0,SUM(Calculateur!$AQ$3:$AQ$33)*VLOOKUP('Données projet'!$B$10,Paramètres!$A$1:$I$89,9,0)*B7)</f>
        <v>49.827296333333337</v>
      </c>
      <c r="K7" s="151">
        <f>J7*(100%-'Données projet'!$C$24)*(100%-'Données projet'!$C$25)*(100%-'Données projet'!$C$26)*(100%-'Données projet'!$C$27)</f>
        <v>44.844566700000001</v>
      </c>
      <c r="L7" s="152">
        <f t="shared" ref="L7:L15" ca="1" si="2">G7+I7+K7</f>
        <v>516.67957167329303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Pin laricio</v>
      </c>
      <c r="B8" s="154">
        <f>'Données projet'!D11</f>
        <v>1.0829666666666669</v>
      </c>
      <c r="C8" s="147">
        <f ca="1">IF(OR('Données projet'!B11="",'Données projet'!C11="",'Données projet'!C11=0%),0,Calculateur!BI3)</f>
        <v>284.42619963941019</v>
      </c>
      <c r="D8" s="147">
        <f>IF(OR('Données projet'!B11="",'Données projet'!C11="",'Données projet'!C11=0%),0,Calculateur!BJ3)</f>
        <v>301.41905904220812</v>
      </c>
      <c r="E8" s="147">
        <f t="shared" ca="1" si="0"/>
        <v>284.42619963941019</v>
      </c>
      <c r="F8" s="147">
        <f t="shared" ca="1" si="1"/>
        <v>308.02409333615998</v>
      </c>
      <c r="G8" s="147">
        <f ca="1">F8*(100%-'Données projet'!$C$24)*(100%-'Données projet'!$C$25)*(100%-'Données projet'!$C$26)*(100%-'Données projet'!$C$27)</f>
        <v>277.22168400254401</v>
      </c>
      <c r="H8" s="155">
        <f>IF(OR('Données projet'!B11="",'Données projet'!C11="",'Données projet'!C11=0%),0,AVERAGE(Calculateur!$BS$3:$BS$33)*B8)</f>
        <v>6.8258367333689378</v>
      </c>
      <c r="I8" s="149">
        <f>H8*(100%-'Données projet'!$C$24)*(100%-'Données projet'!$C$25)*(100%-'Données projet'!$C$26)*(100%-'Données projet'!$C$27)</f>
        <v>6.1432530600320439</v>
      </c>
      <c r="J8" s="150">
        <f>IF(OR('Données projet'!B11="",'Données projet'!C11="",'Données projet'!C11=0%),0,SUM(Calculateur!$BL$3:$BL$33)*VLOOKUP('Données projet'!$B$11,Paramètres!$A$1:$I$89,9,0)*B8)</f>
        <v>55.881080000000011</v>
      </c>
      <c r="K8" s="151">
        <f>J8*(100%-'Données projet'!$C$24)*(100%-'Données projet'!$C$25)*(100%-'Données projet'!$C$26)*(100%-'Données projet'!$C$27)</f>
        <v>50.292972000000013</v>
      </c>
      <c r="L8" s="152">
        <f t="shared" ca="1" si="2"/>
        <v>333.6579090625761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1362.0205996931404</v>
      </c>
      <c r="G16" s="166">
        <f t="shared" ca="1" si="3"/>
        <v>1225.8185397238265</v>
      </c>
      <c r="H16" s="167">
        <f t="shared" si="3"/>
        <v>19.585541587140394</v>
      </c>
      <c r="I16" s="167">
        <f t="shared" si="3"/>
        <v>17.626987428426354</v>
      </c>
      <c r="J16" s="168">
        <f t="shared" si="3"/>
        <v>195.58377999999999</v>
      </c>
      <c r="K16" s="168">
        <f t="shared" si="3"/>
        <v>176.02540200000001</v>
      </c>
      <c r="L16" s="169">
        <f t="shared" ca="1" si="3"/>
        <v>1419.4709291522527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4" zoomScale="80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293</v>
      </c>
      <c r="I4" s="262"/>
      <c r="K4" s="286" t="s">
        <v>294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296" t="s">
        <v>295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-1978.6239726754939</v>
      </c>
      <c r="U10" s="178">
        <f>'Données projet'!D9</f>
        <v>1.0829666666666669</v>
      </c>
      <c r="V10" s="177">
        <f>U10*T10</f>
        <v>-2142.7838082751377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-3169.2649670930077</v>
      </c>
      <c r="U11" s="178">
        <f>'Données projet'!D10</f>
        <v>1.0829666666666669</v>
      </c>
      <c r="V11" s="177">
        <f t="shared" ref="V11" si="0">U11*T11</f>
        <v>-3432.2083171961581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-4662.4515287489694</v>
      </c>
      <c r="U12" s="178">
        <f>'Données projet'!D11</f>
        <v>1.0829666666666669</v>
      </c>
      <c r="V12" s="177">
        <f t="shared" ref="V12:V19" si="1">U12*T12</f>
        <v>-5049.2795905841767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76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307</v>
      </c>
      <c r="H15" s="190"/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89"/>
      <c r="H16" s="190"/>
      <c r="I16" s="191"/>
      <c r="J16" s="202"/>
      <c r="K16" s="208"/>
      <c r="L16" s="286" t="s">
        <v>312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>
        <v>4355</v>
      </c>
      <c r="F17" s="230"/>
      <c r="G17" s="289"/>
      <c r="J17" s="202"/>
      <c r="K17" s="208"/>
      <c r="L17" s="259" t="s">
        <v>313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>
        <v>500</v>
      </c>
      <c r="F18" s="230"/>
      <c r="G18" s="289"/>
      <c r="J18" s="202"/>
      <c r="K18" s="208"/>
      <c r="L18" s="259" t="s">
        <v>309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>
        <v>500</v>
      </c>
      <c r="F19" s="230"/>
      <c r="G19" s="289"/>
      <c r="H19" s="212" t="s">
        <v>76</v>
      </c>
      <c r="I19" s="212" t="s">
        <v>314</v>
      </c>
      <c r="J19" s="93"/>
      <c r="K19" s="173"/>
      <c r="L19" s="286" t="s">
        <v>315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>
        <v>500</v>
      </c>
      <c r="F20" s="230"/>
      <c r="G20" s="289"/>
      <c r="H20" s="190">
        <v>1</v>
      </c>
      <c r="I20" s="191">
        <v>900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>
        <v>500</v>
      </c>
      <c r="F21" s="230"/>
      <c r="H21" s="190">
        <v>1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>
        <v>500</v>
      </c>
      <c r="F22" s="230"/>
      <c r="H22" s="190">
        <v>1</v>
      </c>
      <c r="I22" s="191">
        <v>476.66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316</v>
      </c>
      <c r="M23" s="288"/>
      <c r="N23" s="288"/>
      <c r="O23" s="23"/>
      <c r="P23" s="23"/>
      <c r="Q23" s="234"/>
      <c r="R23" s="23"/>
      <c r="S23" s="36" t="s">
        <v>317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-18013.296284476524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43</v>
      </c>
      <c r="C24" s="193">
        <v>10</v>
      </c>
      <c r="D24" s="182">
        <f t="shared" ref="D24:D42" si="2">B24*C24</f>
        <v>430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60</v>
      </c>
      <c r="C25" s="193">
        <v>10</v>
      </c>
      <c r="D25" s="182">
        <f t="shared" si="2"/>
        <v>600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03">
        <f ca="1">T23-T24</f>
        <v>-18013.296284476524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90</v>
      </c>
      <c r="C26" s="193">
        <v>18</v>
      </c>
      <c r="D26" s="182">
        <f t="shared" si="2"/>
        <v>1620</v>
      </c>
      <c r="E26" s="193">
        <v>150</v>
      </c>
      <c r="F26" s="233"/>
      <c r="G26" s="229"/>
      <c r="H26" s="190"/>
      <c r="I26" s="191"/>
      <c r="K26" s="208"/>
      <c r="L26" s="290" t="s">
        <v>321</v>
      </c>
      <c r="M26" s="291"/>
      <c r="N26" s="291"/>
      <c r="O26" s="291"/>
      <c r="P26" s="292"/>
      <c r="Q26" s="234"/>
      <c r="R26" s="23"/>
      <c r="S26" s="186" t="s">
        <v>322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35</v>
      </c>
      <c r="B27" s="181">
        <f>'Données projet'!D40</f>
        <v>72</v>
      </c>
      <c r="C27" s="193">
        <v>25</v>
      </c>
      <c r="D27" s="182">
        <f t="shared" si="2"/>
        <v>1800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323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40</v>
      </c>
      <c r="B28" s="181">
        <f>'Données projet'!D41</f>
        <v>77</v>
      </c>
      <c r="C28" s="193">
        <v>25</v>
      </c>
      <c r="D28" s="182">
        <f t="shared" si="2"/>
        <v>1925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45</v>
      </c>
      <c r="B29" s="181">
        <f>'Données projet'!D42</f>
        <v>64</v>
      </c>
      <c r="C29" s="193">
        <v>35</v>
      </c>
      <c r="D29" s="182">
        <f t="shared" si="2"/>
        <v>2240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50</v>
      </c>
      <c r="B30" s="181">
        <f>'Données projet'!D43</f>
        <v>62</v>
      </c>
      <c r="C30" s="193">
        <v>40</v>
      </c>
      <c r="D30" s="182">
        <f t="shared" si="2"/>
        <v>2480</v>
      </c>
      <c r="E30" s="193">
        <v>150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55</v>
      </c>
      <c r="B31" s="181">
        <f>'Données projet'!D44</f>
        <v>46</v>
      </c>
      <c r="C31" s="193">
        <v>45</v>
      </c>
      <c r="D31" s="182">
        <f t="shared" si="2"/>
        <v>2070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60</v>
      </c>
      <c r="B32" s="181">
        <f>'Données projet'!D45</f>
        <v>35</v>
      </c>
      <c r="C32" s="193">
        <v>55</v>
      </c>
      <c r="D32" s="182">
        <f t="shared" si="2"/>
        <v>1925</v>
      </c>
      <c r="E32" s="193">
        <v>150</v>
      </c>
      <c r="F32" s="233"/>
      <c r="G32" s="203"/>
      <c r="H32" s="190"/>
      <c r="I32" s="191"/>
      <c r="K32" s="173"/>
      <c r="N32" s="4"/>
      <c r="O32" s="85" t="s">
        <v>76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65</v>
      </c>
      <c r="B33" s="181">
        <f>'Données projet'!D46</f>
        <v>769</v>
      </c>
      <c r="C33" s="193">
        <v>55</v>
      </c>
      <c r="D33" s="182">
        <f t="shared" si="2"/>
        <v>42295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>
        <v>4355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>
        <v>500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>
        <v>500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>
        <v>500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>
        <v>500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>
        <v>500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18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24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30</v>
      </c>
      <c r="B57" s="181">
        <f>'Données projet'!D65</f>
        <v>107</v>
      </c>
      <c r="C57" s="191">
        <v>10</v>
      </c>
      <c r="D57" s="179">
        <f t="shared" si="4"/>
        <v>1070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36</v>
      </c>
      <c r="B58" s="181">
        <f>'Données projet'!D66</f>
        <v>119</v>
      </c>
      <c r="C58" s="191">
        <v>18</v>
      </c>
      <c r="D58" s="179">
        <f t="shared" si="4"/>
        <v>2142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42</v>
      </c>
      <c r="B59" s="181">
        <f>'Données projet'!D67</f>
        <v>121</v>
      </c>
      <c r="C59" s="191">
        <v>25</v>
      </c>
      <c r="D59" s="179">
        <f t="shared" si="4"/>
        <v>3025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48</v>
      </c>
      <c r="B60" s="181">
        <f>'Données projet'!D68</f>
        <v>123</v>
      </c>
      <c r="C60" s="191">
        <v>25</v>
      </c>
      <c r="D60" s="179">
        <f t="shared" si="4"/>
        <v>3075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54</v>
      </c>
      <c r="B61" s="181">
        <f>'Données projet'!D69</f>
        <v>119</v>
      </c>
      <c r="C61" s="191">
        <v>35</v>
      </c>
      <c r="D61" s="179">
        <f t="shared" si="4"/>
        <v>4165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60</v>
      </c>
      <c r="B62" s="181">
        <f>'Données projet'!D70</f>
        <v>112</v>
      </c>
      <c r="C62" s="191">
        <v>40</v>
      </c>
      <c r="D62" s="179">
        <f t="shared" si="4"/>
        <v>4480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66</v>
      </c>
      <c r="B63" s="181">
        <f>'Données projet'!D71</f>
        <v>109</v>
      </c>
      <c r="C63" s="191">
        <v>45</v>
      </c>
      <c r="D63" s="179">
        <f t="shared" si="4"/>
        <v>4905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72</v>
      </c>
      <c r="B64" s="181">
        <f>'Données projet'!D72</f>
        <v>101</v>
      </c>
      <c r="C64" s="191">
        <v>55</v>
      </c>
      <c r="D64" s="179">
        <f t="shared" si="4"/>
        <v>5555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78</v>
      </c>
      <c r="B65" s="181">
        <f>'Données projet'!D73</f>
        <v>426</v>
      </c>
      <c r="C65" s="191">
        <v>55</v>
      </c>
      <c r="D65" s="179">
        <f t="shared" si="4"/>
        <v>23430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>
        <v>4875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>
        <v>500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>
        <v>500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>
        <v>500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>
        <v>500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 t="s">
        <v>194</v>
      </c>
      <c r="D84" s="197" t="s">
        <v>194</v>
      </c>
      <c r="E84" s="193">
        <v>500</v>
      </c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17</v>
      </c>
      <c r="B85" s="181">
        <f>'Données projet'!D88</f>
        <v>15</v>
      </c>
      <c r="C85" s="191">
        <v>10</v>
      </c>
      <c r="D85" s="179">
        <f>B85*C85</f>
        <v>150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20</v>
      </c>
      <c r="B86" s="181">
        <f>'Données projet'!D89</f>
        <v>15</v>
      </c>
      <c r="C86" s="191">
        <v>10</v>
      </c>
      <c r="D86" s="179">
        <f t="shared" ref="D86:D104" si="6">B86*C86</f>
        <v>150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25</v>
      </c>
      <c r="B87" s="181">
        <f>'Données projet'!D90</f>
        <v>36</v>
      </c>
      <c r="C87" s="191">
        <v>10</v>
      </c>
      <c r="D87" s="179">
        <f t="shared" si="6"/>
        <v>360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30</v>
      </c>
      <c r="B88" s="181">
        <f>'Données projet'!D91</f>
        <v>54</v>
      </c>
      <c r="C88" s="191">
        <v>15</v>
      </c>
      <c r="D88" s="179">
        <f t="shared" si="6"/>
        <v>810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35</v>
      </c>
      <c r="B89" s="181">
        <f>'Données projet'!D92</f>
        <v>52</v>
      </c>
      <c r="C89" s="191">
        <v>25</v>
      </c>
      <c r="D89" s="179">
        <f t="shared" si="6"/>
        <v>1300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40</v>
      </c>
      <c r="B90" s="181">
        <f>'Données projet'!D93</f>
        <v>48</v>
      </c>
      <c r="C90" s="191">
        <v>25</v>
      </c>
      <c r="D90" s="179">
        <f t="shared" si="6"/>
        <v>1200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45</v>
      </c>
      <c r="B91" s="181">
        <f>'Données projet'!D94</f>
        <v>57</v>
      </c>
      <c r="C91" s="191">
        <v>25</v>
      </c>
      <c r="D91" s="179">
        <f t="shared" si="6"/>
        <v>1425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50</v>
      </c>
      <c r="B92" s="181">
        <f>'Données projet'!D95</f>
        <v>47</v>
      </c>
      <c r="C92" s="191">
        <v>25</v>
      </c>
      <c r="D92" s="179">
        <f t="shared" si="6"/>
        <v>1175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55</v>
      </c>
      <c r="B93" s="181">
        <f>'Données projet'!D96</f>
        <v>48</v>
      </c>
      <c r="C93" s="191">
        <v>30</v>
      </c>
      <c r="D93" s="179">
        <f t="shared" si="6"/>
        <v>1440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60</v>
      </c>
      <c r="B94" s="181">
        <f>'Données projet'!D97</f>
        <v>32</v>
      </c>
      <c r="C94" s="191">
        <v>35</v>
      </c>
      <c r="D94" s="179">
        <f t="shared" si="6"/>
        <v>1120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65</v>
      </c>
      <c r="B95" s="181">
        <f>'Données projet'!D98</f>
        <v>555</v>
      </c>
      <c r="C95" s="191">
        <v>40</v>
      </c>
      <c r="D95" s="179">
        <f t="shared" si="6"/>
        <v>22200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EE69C-0AFA-4C61-A627-0F0949BEE142}">
  <dimension ref="B2:C13"/>
  <sheetViews>
    <sheetView workbookViewId="0">
      <selection activeCell="C8" sqref="C8:C9"/>
    </sheetView>
  </sheetViews>
  <sheetFormatPr baseColWidth="10" defaultColWidth="11.453125" defaultRowHeight="14.5" x14ac:dyDescent="0.35"/>
  <sheetData>
    <row r="2" spans="2:3" x14ac:dyDescent="0.35">
      <c r="B2">
        <v>2916</v>
      </c>
    </row>
    <row r="3" spans="2:3" x14ac:dyDescent="0.35">
      <c r="C3">
        <v>2730</v>
      </c>
    </row>
    <row r="4" spans="2:3" x14ac:dyDescent="0.35">
      <c r="C4">
        <v>910</v>
      </c>
    </row>
    <row r="5" spans="2:3" x14ac:dyDescent="0.35">
      <c r="C5">
        <v>910</v>
      </c>
    </row>
    <row r="6" spans="2:3" x14ac:dyDescent="0.35">
      <c r="C6">
        <v>1430</v>
      </c>
    </row>
    <row r="7" spans="2:3" x14ac:dyDescent="0.35">
      <c r="C7">
        <v>1950</v>
      </c>
    </row>
    <row r="8" spans="2:3" x14ac:dyDescent="0.35">
      <c r="C8">
        <v>3120</v>
      </c>
    </row>
    <row r="9" spans="2:3" x14ac:dyDescent="0.35">
      <c r="C9">
        <v>1950</v>
      </c>
    </row>
    <row r="10" spans="2:3" x14ac:dyDescent="0.35">
      <c r="B10">
        <v>585</v>
      </c>
    </row>
    <row r="11" spans="2:3" x14ac:dyDescent="0.35">
      <c r="B11">
        <v>1430</v>
      </c>
    </row>
    <row r="12" spans="2:3" x14ac:dyDescent="0.35">
      <c r="B12">
        <v>8100</v>
      </c>
    </row>
    <row r="13" spans="2:3" x14ac:dyDescent="0.35">
      <c r="B13">
        <v>3240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3" ma:contentTypeDescription="Create a new document." ma:contentTypeScope="" ma:versionID="8a7e085eed51d4be664b1017c9ac59f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220289adfe3f184e266fc283e6a621b7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16F1ED-03A6-43AB-869C-454121A3C4BC}">
  <ds:schemaRefs>
    <ds:schemaRef ds:uri="http://schemas.microsoft.com/office/2006/metadata/properties"/>
    <ds:schemaRef ds:uri="http://schemas.microsoft.com/office/infopath/2007/PartnerControls"/>
    <ds:schemaRef ds:uri="fa473fcf-5fe5-4769-9ae9-3c0fe3bc1313"/>
    <ds:schemaRef ds:uri="aa854ec9-9a17-4ecd-ac24-2f9174284672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781744CC-E060-4EE9-A737-DF6C6B74DE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1F5A5-8B5C-4F53-AB97-72AFB82FA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Feuil1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Thomas EVEN</cp:lastModifiedBy>
  <cp:revision/>
  <dcterms:created xsi:type="dcterms:W3CDTF">2021-02-01T08:22:39Z</dcterms:created>
  <dcterms:modified xsi:type="dcterms:W3CDTF">2023-09-14T09:32:34Z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2023-05-09T22:32:21Z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11177b6f-a63a-4716-adf8-3e20348e14ed</vt:lpwstr>
  </property>
  <property fmtid="{D5CDD505-2E9C-101B-9397-08002B2CF9AE}" pid="8" name="MSIP_Label_2d26f538-337a-4593-a7e6-123667b1a538_ContentBits">
    <vt:lpwstr>0</vt:lpwstr>
  </property>
  <property fmtid="{D5CDD505-2E9C-101B-9397-08002B2CF9AE}" pid="9" name="ContentTypeId">
    <vt:lpwstr>0x010100B17917BD1DD3FD43A53AD9CE171726C7</vt:lpwstr>
  </property>
  <property fmtid="{D5CDD505-2E9C-101B-9397-08002B2CF9AE}" pid="10" name="MediaServiceImageTags">
    <vt:lpwstr/>
  </property>
</Properties>
</file>