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ianneyf\Downloads\"/>
    </mc:Choice>
  </mc:AlternateContent>
  <xr:revisionPtr revIDLastSave="0" documentId="13_ncr:1_{A4A2FE7B-170E-4034-8E55-0652660C4628}" xr6:coauthVersionLast="47" xr6:coauthVersionMax="47" xr10:uidLastSave="{00000000-0000-0000-0000-000000000000}"/>
  <bookViews>
    <workbookView xWindow="20370" yWindow="-3375" windowWidth="29040" windowHeight="1584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6" l="1"/>
  <c r="E48" i="6"/>
  <c r="E17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FQ4" i="2"/>
  <c r="GL4" i="2"/>
  <c r="F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B7" i="2" l="1"/>
  <c r="EV7" i="2"/>
  <c r="HI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EV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H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FS28" i="2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EA33" i="2"/>
  <c r="EV33" i="2"/>
  <c r="EB33" i="2"/>
  <c r="HG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FS38" i="2"/>
  <c r="HH38" i="2"/>
  <c r="EX38" i="2"/>
  <c r="EW38" i="2"/>
  <c r="HG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DG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C44" i="2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G48" i="2"/>
  <c r="HH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EC50" i="2"/>
  <c r="HG50" i="2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HI57" i="2"/>
  <c r="EB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B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HH75" i="2"/>
  <c r="FS75" i="2"/>
  <c r="HG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A77" i="2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HI78" i="2"/>
  <c r="EW78" i="2"/>
  <c r="EV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C85" i="2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V105" i="2"/>
  <c r="EB105" i="2"/>
  <c r="EA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B107" i="2"/>
  <c r="HG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HI113" i="2"/>
  <c r="EC113" i="2"/>
  <c r="EX113" i="2"/>
  <c r="EW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HH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HH122" i="2"/>
  <c r="EW122" i="2"/>
  <c r="EC122" i="2"/>
  <c r="FS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X130" i="2"/>
  <c r="EB130" i="2"/>
  <c r="FS130" i="2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H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HG140" i="2"/>
  <c r="EX140" i="2"/>
  <c r="EB140" i="2"/>
  <c r="FR140" i="2"/>
  <c r="HH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FS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EX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FS146" i="2"/>
  <c r="HH146" i="2"/>
  <c r="FR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H150" i="2"/>
  <c r="HI150" i="2"/>
  <c r="HG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A155" i="2"/>
  <c r="EW155" i="2"/>
  <c r="HG155" i="2"/>
  <c r="EX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DH156" i="2" l="1"/>
  <c r="EX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EC157" i="2"/>
  <c r="EX157" i="2"/>
  <c r="EB157" i="2"/>
  <c r="HH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HH158" i="2"/>
  <c r="HG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HG161" i="2"/>
  <c r="FS161" i="2"/>
  <c r="HH161" i="2"/>
  <c r="EA161" i="2"/>
  <c r="E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G162" i="2" l="1"/>
  <c r="EC162" i="2"/>
  <c r="EB162" i="2"/>
  <c r="HH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G163" i="2" l="1"/>
  <c r="HI163" i="2"/>
  <c r="HH163" i="2"/>
  <c r="EA163" i="2"/>
  <c r="EV163" i="2"/>
  <c r="EY163" i="2" s="1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FS164" i="2" l="1"/>
  <c r="DH164" i="2"/>
  <c r="EA164" i="2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B167" i="2"/>
  <c r="EX167" i="2"/>
  <c r="EC167" i="2"/>
  <c r="HI167" i="2"/>
  <c r="FR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W168" i="2" l="1"/>
  <c r="EV168" i="2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B169" i="2"/>
  <c r="EA169" i="2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V172" i="2"/>
  <c r="EA172" i="2"/>
  <c r="HI172" i="2"/>
  <c r="EW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HI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EB178" i="2"/>
  <c r="HG178" i="2"/>
  <c r="FS178" i="2"/>
  <c r="FQ178" i="2"/>
  <c r="HH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B179" i="2" l="1"/>
  <c r="HH179" i="2"/>
  <c r="EV179" i="2"/>
  <c r="EA179" i="2"/>
  <c r="ED179" i="2" s="1"/>
  <c r="DF179" i="2"/>
  <c r="HI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X180" i="2" l="1"/>
  <c r="HI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X182" i="2"/>
  <c r="FS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A185" i="2" l="1"/>
  <c r="HH185" i="2"/>
  <c r="EW185" i="2"/>
  <c r="HG185" i="2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HG186" i="2"/>
  <c r="FS186" i="2"/>
  <c r="HH186" i="2"/>
  <c r="FR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HH189" i="2"/>
  <c r="AA189" i="2"/>
  <c r="EV189" i="2"/>
  <c r="EY189" i="2" s="1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W191" i="2" l="1"/>
  <c r="HG191" i="2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V192" i="2" l="1"/>
  <c r="EB192" i="2"/>
  <c r="EA192" i="2"/>
  <c r="HH192" i="2"/>
  <c r="HG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Q193" i="2" l="1"/>
  <c r="HI193" i="2"/>
  <c r="EA193" i="2"/>
  <c r="EX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EA194" i="2" l="1"/>
  <c r="ED194" i="2" s="1"/>
  <c r="FQ194" i="2"/>
  <c r="HG194" i="2"/>
  <c r="EB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HG195" i="2" l="1"/>
  <c r="AA195" i="2"/>
  <c r="EB195" i="2"/>
  <c r="HI195" i="2"/>
  <c r="E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A197" i="2" l="1"/>
  <c r="AA197" i="2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V199" i="2"/>
  <c r="EW199" i="2"/>
  <c r="HG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A201" i="2" l="1"/>
  <c r="EB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X202" i="2" l="1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<sst xmlns="http://schemas.openxmlformats.org/spreadsheetml/2006/main" count="1171" uniqueCount="324">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</sst>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133.88554969577129</c:v>
                </c:pt>
                <c:pt idx="22">
                  <c:v>143.27355550168537</c:v>
                </c:pt>
                <c:pt idx="23">
                  <c:v>152.64683015838821</c:v>
                </c:pt>
                <c:pt idx="24">
                  <c:v>162.00640689272805</c:v>
                </c:pt>
                <c:pt idx="25">
                  <c:v>171.35318959873041</c:v>
                </c:pt>
                <c:pt idx="26">
                  <c:v>180.68797535583599</c:v>
                </c:pt>
                <c:pt idx="27">
                  <c:v>190.01147204026685</c:v>
                </c:pt>
                <c:pt idx="28">
                  <c:v>199.32431229219435</c:v>
                </c:pt>
                <c:pt idx="29">
                  <c:v>208.62706473142643</c:v>
                </c:pt>
                <c:pt idx="30">
                  <c:v>217.92024306476185</c:v>
                </c:pt>
                <c:pt idx="31">
                  <c:v>160.17621878306821</c:v>
                </c:pt>
                <c:pt idx="32">
                  <c:v>170.33782955280489</c:v>
                </c:pt>
                <c:pt idx="33">
                  <c:v>180.48516769023772</c:v>
                </c:pt>
                <c:pt idx="34">
                  <c:v>190.61914954910142</c:v>
                </c:pt>
                <c:pt idx="35">
                  <c:v>200.74058596732002</c:v>
                </c:pt>
                <c:pt idx="36">
                  <c:v>210.85019924163896</c:v>
                </c:pt>
                <c:pt idx="37">
                  <c:v>220.94863667100961</c:v>
                </c:pt>
                <c:pt idx="38">
                  <c:v>231.03648149074067</c:v>
                </c:pt>
                <c:pt idx="39">
                  <c:v>241.11426179447608</c:v>
                </c:pt>
                <c:pt idx="40">
                  <c:v>251.1824578846782</c:v>
                </c:pt>
                <c:pt idx="41">
                  <c:v>192.13814620457819</c:v>
                </c:pt>
                <c:pt idx="42">
                  <c:v>203.77468058377053</c:v>
                </c:pt>
                <c:pt idx="43">
                  <c:v>215.39584283593396</c:v>
                </c:pt>
                <c:pt idx="44">
                  <c:v>227.0025797348942</c:v>
                </c:pt>
                <c:pt idx="45">
                  <c:v>238.59573324490518</c:v>
                </c:pt>
                <c:pt idx="46">
                  <c:v>250.17605676255928</c:v>
                </c:pt>
                <c:pt idx="47">
                  <c:v>261.74422819048414</c:v>
                </c:pt>
                <c:pt idx="48">
                  <c:v>273.30086057644468</c:v>
                </c:pt>
                <c:pt idx="49">
                  <c:v>284.84651085713051</c:v>
                </c:pt>
                <c:pt idx="50">
                  <c:v>296.38168710899464</c:v>
                </c:pt>
                <c:pt idx="51">
                  <c:v>234.56482390663419</c:v>
                </c:pt>
                <c:pt idx="52">
                  <c:v>248.16297855306274</c:v>
                </c:pt>
                <c:pt idx="53">
                  <c:v>261.74422819048414</c:v>
                </c:pt>
                <c:pt idx="54">
                  <c:v>275.30957376859936</c:v>
                </c:pt>
                <c:pt idx="55">
                  <c:v>288.85990949975189</c:v>
                </c:pt>
                <c:pt idx="56">
                  <c:v>302.39603882080934</c:v>
                </c:pt>
                <c:pt idx="57">
                  <c:v>315.91868734548348</c:v>
                </c:pt>
                <c:pt idx="58">
                  <c:v>329.42851348169211</c:v>
                </c:pt>
                <c:pt idx="59">
                  <c:v>342.92611721533916</c:v>
                </c:pt>
                <c:pt idx="60">
                  <c:v>356.4120474383385</c:v>
                </c:pt>
                <c:pt idx="61">
                  <c:v>291.86913926751021</c:v>
                </c:pt>
                <c:pt idx="62">
                  <c:v>307.40596257029637</c:v>
                </c:pt>
                <c:pt idx="63">
                  <c:v>322.92534379451814</c:v>
                </c:pt>
                <c:pt idx="64">
                  <c:v>338.42823915402437</c:v>
                </c:pt>
                <c:pt idx="65">
                  <c:v>353.91551010384433</c:v>
                </c:pt>
                <c:pt idx="66">
                  <c:v>369.38793655321842</c:v>
                </c:pt>
                <c:pt idx="67">
                  <c:v>384.84622774857962</c:v>
                </c:pt>
                <c:pt idx="68">
                  <c:v>400.29103131634878</c:v>
                </c:pt>
                <c:pt idx="69">
                  <c:v>415.72294083711449</c:v>
                </c:pt>
                <c:pt idx="70">
                  <c:v>431.14250223646945</c:v>
                </c:pt>
                <c:pt idx="71">
                  <c:v>361.40397634816736</c:v>
                </c:pt>
                <c:pt idx="72">
                  <c:v>378.36539662842574</c:v>
                </c:pt>
                <c:pt idx="73">
                  <c:v>395.310273009897</c:v>
                </c:pt>
                <c:pt idx="74">
                  <c:v>412.23941423652178</c:v>
                </c:pt>
                <c:pt idx="75">
                  <c:v>429.15355722818907</c:v>
                </c:pt>
                <c:pt idx="76">
                  <c:v>446.05337609733306</c:v>
                </c:pt>
                <c:pt idx="77">
                  <c:v>462.93948972795494</c:v>
                </c:pt>
                <c:pt idx="78">
                  <c:v>479.81246819138977</c:v>
                </c:pt>
                <c:pt idx="79">
                  <c:v>496.6728382127958</c:v>
                </c:pt>
                <c:pt idx="80">
                  <c:v>513.52108785692201</c:v>
                </c:pt>
                <c:pt idx="81">
                  <c:v>438.59929855364607</c:v>
                </c:pt>
                <c:pt idx="82">
                  <c:v>455.98800633231934</c:v>
                </c:pt>
                <c:pt idx="83">
                  <c:v>473.36255181121783</c:v>
                </c:pt>
                <c:pt idx="84">
                  <c:v>490.72352773098049</c:v>
                </c:pt>
                <c:pt idx="85">
                  <c:v>508.0714814925293</c:v>
                </c:pt>
                <c:pt idx="86">
                  <c:v>525.40692008667054</c:v>
                </c:pt>
                <c:pt idx="87">
                  <c:v>542.7303143394812</c:v>
                </c:pt>
                <c:pt idx="88">
                  <c:v>560.04210258768592</c:v>
                </c:pt>
                <c:pt idx="89">
                  <c:v>577.34269387615848</c:v>
                </c:pt>
                <c:pt idx="90">
                  <c:v>594.63247075242327</c:v>
                </c:pt>
                <c:pt idx="91">
                  <c:v>515.99777715164339</c:v>
                </c:pt>
                <c:pt idx="92">
                  <c:v>534.31757023210309</c:v>
                </c:pt>
                <c:pt idx="93">
                  <c:v>552.62415903802309</c:v>
                </c:pt>
                <c:pt idx="94">
                  <c:v>570.91804225426574</c:v>
                </c:pt>
                <c:pt idx="95">
                  <c:v>589.19968402429186</c:v>
                </c:pt>
                <c:pt idx="96">
                  <c:v>607.46951736202516</c:v>
                </c:pt>
                <c:pt idx="97">
                  <c:v>625.72794713217797</c:v>
                </c:pt>
                <c:pt idx="98">
                  <c:v>643.97535266486341</c:v>
                </c:pt>
                <c:pt idx="99">
                  <c:v>662.21209005867013</c:v>
                </c:pt>
                <c:pt idx="100">
                  <c:v>680.43849421703806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1.8181341265753002</c:v>
                </c:pt>
                <c:pt idx="2">
                  <c:v>2.2743106215670248</c:v>
                </c:pt>
                <c:pt idx="3">
                  <c:v>2.8453959434087075</c:v>
                </c:pt>
                <c:pt idx="4">
                  <c:v>3.5604428348241446</c:v>
                </c:pt>
                <c:pt idx="5">
                  <c:v>4.4558750746090627</c:v>
                </c:pt>
                <c:pt idx="6">
                  <c:v>5.5773636344907445</c:v>
                </c:pt>
                <c:pt idx="7">
                  <c:v>6.9821817968037978</c:v>
                </c:pt>
                <c:pt idx="8">
                  <c:v>8.7421618394872009</c:v>
                </c:pt>
                <c:pt idx="9">
                  <c:v>10.947407358279287</c:v>
                </c:pt>
                <c:pt idx="10">
                  <c:v>13.710954851717311</c:v>
                </c:pt>
                <c:pt idx="11">
                  <c:v>17.174627928222961</c:v>
                </c:pt>
                <c:pt idx="12">
                  <c:v>21.516390030249696</c:v>
                </c:pt>
                <c:pt idx="13">
                  <c:v>26.95958021000617</c:v>
                </c:pt>
                <c:pt idx="14">
                  <c:v>33.784515389560262</c:v>
                </c:pt>
                <c:pt idx="15">
                  <c:v>42.343066923912453</c:v>
                </c:pt>
                <c:pt idx="16">
                  <c:v>53.076975739445423</c:v>
                </c:pt>
                <c:pt idx="17">
                  <c:v>66.540867124348125</c:v>
                </c:pt>
                <c:pt idx="18">
                  <c:v>83.431173827072755</c:v>
                </c:pt>
                <c:pt idx="19">
                  <c:v>104.62248759610861</c:v>
                </c:pt>
                <c:pt idx="20">
                  <c:v>131.21325118848048</c:v>
                </c:pt>
                <c:pt idx="21">
                  <c:v>164.58319598155325</c:v>
                </c:pt>
                <c:pt idx="22">
                  <c:v>206.46555082498423</c:v>
                </c:pt>
                <c:pt idx="23">
                  <c:v>259.03782863162985</c:v>
                </c:pt>
                <c:pt idx="24">
                  <c:v>325.03597993436773</c:v>
                </c:pt>
                <c:pt idx="25">
                  <c:v>407.89793949468162</c:v>
                </c:pt>
                <c:pt idx="26">
                  <c:v>376.9525885389333</c:v>
                </c:pt>
                <c:pt idx="27">
                  <c:v>410.27619508431599</c:v>
                </c:pt>
                <c:pt idx="28">
                  <c:v>443.54137638245015</c:v>
                </c:pt>
                <c:pt idx="29">
                  <c:v>476.75312396624321</c:v>
                </c:pt>
                <c:pt idx="30">
                  <c:v>509.91567780631357</c:v>
                </c:pt>
                <c:pt idx="31">
                  <c:v>478.64941517310723</c:v>
                </c:pt>
                <c:pt idx="32">
                  <c:v>511.3358881271144</c:v>
                </c:pt>
                <c:pt idx="33">
                  <c:v>543.978245254341</c:v>
                </c:pt>
                <c:pt idx="34">
                  <c:v>576.57950175211477</c:v>
                </c:pt>
                <c:pt idx="35">
                  <c:v>609.14230448868716</c:v>
                </c:pt>
                <c:pt idx="36">
                  <c:v>557.9213314887844</c:v>
                </c:pt>
                <c:pt idx="37">
                  <c:v>588.14593218797006</c:v>
                </c:pt>
                <c:pt idx="38">
                  <c:v>618.33819596367323</c:v>
                </c:pt>
                <c:pt idx="39">
                  <c:v>648.49992135083971</c:v>
                </c:pt>
                <c:pt idx="40">
                  <c:v>678.63272618537417</c:v>
                </c:pt>
                <c:pt idx="41">
                  <c:v>620.69565848153741</c:v>
                </c:pt>
                <c:pt idx="42">
                  <c:v>647.55781319141124</c:v>
                </c:pt>
                <c:pt idx="43">
                  <c:v>674.39699172585131</c:v>
                </c:pt>
                <c:pt idx="44">
                  <c:v>701.2142358040129</c:v>
                </c:pt>
                <c:pt idx="45">
                  <c:v>728.01050108203719</c:v>
                </c:pt>
                <c:pt idx="46">
                  <c:v>671.33751041747894</c:v>
                </c:pt>
                <c:pt idx="47">
                  <c:v>692.27753096210472</c:v>
                </c:pt>
                <c:pt idx="48">
                  <c:v>713.20457786722011</c:v>
                </c:pt>
                <c:pt idx="49">
                  <c:v>734.11908497147158</c:v>
                </c:pt>
                <c:pt idx="50">
                  <c:v>755.02145940727178</c:v>
                </c:pt>
                <c:pt idx="51">
                  <c:v>714.84998798766367</c:v>
                </c:pt>
                <c:pt idx="52">
                  <c:v>731.06492305237623</c:v>
                </c:pt>
                <c:pt idx="53">
                  <c:v>747.27253134258956</c:v>
                </c:pt>
                <c:pt idx="54">
                  <c:v>763.47299401473185</c:v>
                </c:pt>
                <c:pt idx="55">
                  <c:v>779.66648391733395</c:v>
                </c:pt>
                <c:pt idx="56">
                  <c:v>750.56015385100557</c:v>
                </c:pt>
                <c:pt idx="57">
                  <c:v>762.53402877829774</c:v>
                </c:pt>
                <c:pt idx="58">
                  <c:v>774.50408919046504</c:v>
                </c:pt>
                <c:pt idx="59">
                  <c:v>786.47040231283711</c:v>
                </c:pt>
                <c:pt idx="60">
                  <c:v>798.43303315959008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5" zoomScaleNormal="85" workbookViewId="0">
      <selection activeCell="F71" sqref="F71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2.02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164</v>
      </c>
      <c r="C9" s="32">
        <v>0.67</v>
      </c>
      <c r="D9" s="33">
        <f t="shared" ref="D9:D18" si="0">C9*$C$5</f>
        <v>1.3534000000000002</v>
      </c>
      <c r="E9" s="34">
        <v>100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18</v>
      </c>
      <c r="C10" s="32">
        <v>0.33</v>
      </c>
      <c r="D10" s="33">
        <f t="shared" si="0"/>
        <v>0.66660000000000008</v>
      </c>
      <c r="E10" s="34">
        <v>60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2.0200000000000005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Cèdre de l'Atlas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20</v>
      </c>
      <c r="B36" s="60">
        <v>158</v>
      </c>
      <c r="C36" s="60">
        <v>1</v>
      </c>
      <c r="D36" s="60">
        <v>39.5</v>
      </c>
      <c r="E36" s="51">
        <v>0.2</v>
      </c>
      <c r="F36" s="51">
        <v>0.2</v>
      </c>
      <c r="G36" s="51">
        <v>0.6</v>
      </c>
      <c r="H36" s="51"/>
      <c r="I36" s="49">
        <f>IFERROR(B36/A36,"")</f>
        <v>7.9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30</v>
      </c>
      <c r="B37" s="60">
        <v>210.5</v>
      </c>
      <c r="C37" s="60">
        <v>2</v>
      </c>
      <c r="D37" s="60">
        <v>67</v>
      </c>
      <c r="E37" s="51">
        <v>0.3</v>
      </c>
      <c r="F37" s="51">
        <v>0.4</v>
      </c>
      <c r="G37" s="51">
        <v>0.3</v>
      </c>
      <c r="H37" s="51"/>
      <c r="I37" s="53">
        <f t="shared" ref="I37:I45" si="1">IF(A37&lt;&gt;0,(B37-(B36-D36))/(A37-A36),"")</f>
        <v>9.1999999999999993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40</v>
      </c>
      <c r="B38" s="60">
        <v>243.5</v>
      </c>
      <c r="C38" s="60">
        <v>3</v>
      </c>
      <c r="D38" s="60">
        <v>70</v>
      </c>
      <c r="E38" s="51"/>
      <c r="F38" s="51"/>
      <c r="G38" s="51"/>
      <c r="H38" s="51"/>
      <c r="I38" s="53">
        <f t="shared" si="1"/>
        <v>10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50</v>
      </c>
      <c r="B39" s="60">
        <v>288.5</v>
      </c>
      <c r="C39" s="60">
        <v>4</v>
      </c>
      <c r="D39" s="60">
        <v>75</v>
      </c>
      <c r="E39" s="51"/>
      <c r="F39" s="51"/>
      <c r="G39" s="51"/>
      <c r="H39" s="51"/>
      <c r="I39" s="49">
        <f t="shared" si="1"/>
        <v>11.5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60</v>
      </c>
      <c r="B40" s="60">
        <v>348.5</v>
      </c>
      <c r="C40" s="60">
        <v>5</v>
      </c>
      <c r="D40" s="60">
        <v>80</v>
      </c>
      <c r="E40" s="51"/>
      <c r="F40" s="51"/>
      <c r="G40" s="51"/>
      <c r="H40" s="51"/>
      <c r="I40" s="49">
        <f t="shared" si="1"/>
        <v>13.5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70</v>
      </c>
      <c r="B41" s="60">
        <v>423.5</v>
      </c>
      <c r="C41" s="60">
        <v>6</v>
      </c>
      <c r="D41" s="60">
        <v>87</v>
      </c>
      <c r="E41" s="51"/>
      <c r="F41" s="51"/>
      <c r="G41" s="51"/>
      <c r="H41" s="51"/>
      <c r="I41" s="53">
        <f t="shared" si="1"/>
        <v>15.5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80</v>
      </c>
      <c r="B42" s="60">
        <v>506.5</v>
      </c>
      <c r="C42" s="60">
        <v>7</v>
      </c>
      <c r="D42" s="60">
        <v>93</v>
      </c>
      <c r="E42" s="51"/>
      <c r="F42" s="51"/>
      <c r="G42" s="51"/>
      <c r="H42" s="51"/>
      <c r="I42" s="53">
        <f t="shared" si="1"/>
        <v>17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90</v>
      </c>
      <c r="B43" s="60">
        <v>588.5</v>
      </c>
      <c r="C43" s="60">
        <v>8</v>
      </c>
      <c r="D43" s="60">
        <v>98</v>
      </c>
      <c r="E43" s="51"/>
      <c r="F43" s="51"/>
      <c r="G43" s="51"/>
      <c r="H43" s="51"/>
      <c r="I43" s="49">
        <f t="shared" si="1"/>
        <v>17.5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100</v>
      </c>
      <c r="B44" s="60">
        <v>675.5</v>
      </c>
      <c r="C44" s="60">
        <v>9</v>
      </c>
      <c r="D44" s="60">
        <v>675.5</v>
      </c>
      <c r="E44" s="51"/>
      <c r="F44" s="51"/>
      <c r="G44" s="51"/>
      <c r="H44" s="51"/>
      <c r="I44" s="49">
        <f t="shared" si="1"/>
        <v>18.5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ref="I46:I55" si="2">IF(A46&lt;&gt;0,(B46-(B45-D45))/(A46-A45),"")</f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2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2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2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2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2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2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2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2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2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Douglas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25</v>
      </c>
      <c r="B62" s="60">
        <v>335</v>
      </c>
      <c r="C62" s="60">
        <v>1</v>
      </c>
      <c r="D62" s="60">
        <v>54</v>
      </c>
      <c r="E62" s="51"/>
      <c r="F62" s="51">
        <v>0.4</v>
      </c>
      <c r="G62" s="51">
        <v>0.6</v>
      </c>
      <c r="H62" s="51"/>
      <c r="I62" s="53">
        <f>IFERROR(B62/A62,"")</f>
        <v>13.4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30</v>
      </c>
      <c r="B63" s="60">
        <v>421</v>
      </c>
      <c r="C63" s="60">
        <v>2</v>
      </c>
      <c r="D63" s="60">
        <v>54</v>
      </c>
      <c r="E63" s="51">
        <v>0.2</v>
      </c>
      <c r="F63" s="51">
        <v>0.6</v>
      </c>
      <c r="G63" s="51">
        <v>0.2</v>
      </c>
      <c r="H63" s="51"/>
      <c r="I63" s="49">
        <f t="shared" ref="I63:I71" si="3">IF(A63&lt;&gt;0,(B63-(B62-D62))/(A63-A62),"")</f>
        <v>28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35</v>
      </c>
      <c r="B64" s="60">
        <v>505</v>
      </c>
      <c r="C64" s="60">
        <v>3</v>
      </c>
      <c r="D64" s="60">
        <v>69</v>
      </c>
      <c r="E64" s="51"/>
      <c r="F64" s="51"/>
      <c r="G64" s="51"/>
      <c r="H64" s="51"/>
      <c r="I64" s="49">
        <f t="shared" si="3"/>
        <v>27.6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40</v>
      </c>
      <c r="B65" s="60">
        <v>564</v>
      </c>
      <c r="C65" s="60">
        <v>4</v>
      </c>
      <c r="D65" s="60">
        <v>72</v>
      </c>
      <c r="E65" s="51"/>
      <c r="F65" s="51"/>
      <c r="G65" s="51"/>
      <c r="H65" s="51"/>
      <c r="I65" s="49">
        <f t="shared" si="3"/>
        <v>25.6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45</v>
      </c>
      <c r="B66" s="60">
        <v>606</v>
      </c>
      <c r="C66" s="60">
        <v>5</v>
      </c>
      <c r="D66" s="60">
        <v>66</v>
      </c>
      <c r="E66" s="51"/>
      <c r="F66" s="51"/>
      <c r="G66" s="51"/>
      <c r="H66" s="51"/>
      <c r="I66" s="49">
        <f t="shared" si="3"/>
        <v>22.8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50</v>
      </c>
      <c r="B67" s="60">
        <v>629</v>
      </c>
      <c r="C67" s="60">
        <v>6</v>
      </c>
      <c r="D67" s="60">
        <v>48</v>
      </c>
      <c r="E67" s="51"/>
      <c r="F67" s="51"/>
      <c r="G67" s="51"/>
      <c r="H67" s="51"/>
      <c r="I67" s="49">
        <f t="shared" si="3"/>
        <v>17.8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55</v>
      </c>
      <c r="B68" s="60">
        <v>650</v>
      </c>
      <c r="C68" s="60">
        <v>7</v>
      </c>
      <c r="D68" s="60">
        <v>35</v>
      </c>
      <c r="E68" s="51"/>
      <c r="F68" s="51"/>
      <c r="G68" s="51"/>
      <c r="H68" s="51"/>
      <c r="I68" s="49">
        <f t="shared" si="3"/>
        <v>13.8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60</v>
      </c>
      <c r="B69" s="50">
        <v>666</v>
      </c>
      <c r="C69" s="50">
        <v>8</v>
      </c>
      <c r="D69" s="50">
        <v>666</v>
      </c>
      <c r="E69" s="51"/>
      <c r="F69" s="51"/>
      <c r="G69" s="51"/>
      <c r="H69" s="51"/>
      <c r="I69" s="49">
        <f t="shared" si="3"/>
        <v>10.199999999999999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3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3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ref="I72:I81" si="4">IF(A72&lt;&gt;0,(B72-(B71-D71))/(A72-A71),"")</f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4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4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4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4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4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4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4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4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4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5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/>
      <c r="B90" s="60"/>
      <c r="C90" s="60"/>
      <c r="D90" s="60"/>
      <c r="E90" s="87"/>
      <c r="F90" s="87"/>
      <c r="G90" s="87"/>
      <c r="H90" s="87"/>
      <c r="I90" s="53" t="str">
        <f t="shared" si="5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/>
      <c r="B91" s="60"/>
      <c r="C91" s="60"/>
      <c r="D91" s="60"/>
      <c r="E91" s="87"/>
      <c r="F91" s="87"/>
      <c r="G91" s="87"/>
      <c r="H91" s="87"/>
      <c r="I91" s="53" t="str">
        <f t="shared" si="5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/>
      <c r="B92" s="60"/>
      <c r="C92" s="60"/>
      <c r="D92" s="60"/>
      <c r="E92" s="87"/>
      <c r="F92" s="87"/>
      <c r="G92" s="87"/>
      <c r="H92" s="87"/>
      <c r="I92" s="53" t="str">
        <f t="shared" si="5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/>
      <c r="B93" s="60"/>
      <c r="C93" s="60"/>
      <c r="D93" s="60"/>
      <c r="E93" s="87"/>
      <c r="F93" s="87"/>
      <c r="G93" s="87"/>
      <c r="H93" s="87"/>
      <c r="I93" s="53" t="str">
        <f t="shared" si="5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/>
      <c r="B94" s="60"/>
      <c r="C94" s="60"/>
      <c r="D94" s="60"/>
      <c r="E94" s="87"/>
      <c r="F94" s="87"/>
      <c r="G94" s="87"/>
      <c r="H94" s="87"/>
      <c r="I94" s="53" t="str">
        <f t="shared" si="5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/>
      <c r="B95" s="60"/>
      <c r="C95" s="60"/>
      <c r="D95" s="60"/>
      <c r="E95" s="87"/>
      <c r="F95" s="87"/>
      <c r="G95" s="87"/>
      <c r="H95" s="87"/>
      <c r="I95" s="53" t="str">
        <f t="shared" si="5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5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5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5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5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5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5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5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5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5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5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5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5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6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6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6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6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6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6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6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6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6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6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6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6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6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6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6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6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6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6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6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7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7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7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7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7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7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7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7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7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7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7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7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7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7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7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7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7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7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8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8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8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8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8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8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8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8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8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8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8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8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8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8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8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8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8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8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8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9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9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9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9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9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9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9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9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9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9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9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9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9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9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9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9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9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9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9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10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10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10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10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10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10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10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10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10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10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10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10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10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10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10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10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10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10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10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1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1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1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1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1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1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1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1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1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1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1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1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1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1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1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1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1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2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2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2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2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2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2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2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2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2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2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2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2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2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2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2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2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2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2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6" zoomScaleNormal="100" workbookViewId="0">
      <selection activeCell="F12" sqref="F12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Cèdre de l'Atlas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Douglas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226.0452828290525</v>
      </c>
      <c r="T3" s="59">
        <f>IF('Données projet'!E9&gt;30,$R$33-$H$33,LOOKUP('Données projet'!$E$9,$A$3:$A$203,R3:R203)-LOOKUP('Données projet'!$E$9,$A$3:$A$203,$H$3:$H$203))</f>
        <v>179.89696397462069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365.13032894303285</v>
      </c>
      <c r="AO3" s="59">
        <f>IF('Données projet'!E10&gt;30,$AM$33-$H$33,LOOKUP('Données projet'!$E$10,$A$3:$A$203,AM3:AM203)-LOOKUP('Données projet'!$E$10,$A$3:$A$203,$H$3:$H$203))</f>
        <v>471.89239871617241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7.9</v>
      </c>
      <c r="N4" s="13">
        <f>IF('Données projet'!$A$36&gt;35,N3+M4-V3,IF(A4&lt;'Données projet'!$A$36,$K$205^A4,IF(A4='Données projet'!$A$36,'Données projet'!$B$36,N3+M4-V3)))</f>
        <v>1.2880503926580862</v>
      </c>
      <c r="O4" s="13">
        <f>N4*VLOOKUP('Données projet'!$B$9,Paramètres!$A$1:$I$89,3,0)*VLOOKUP('Données projet'!$B$9,Paramètres!$A$1:$I$89,5,0)</f>
        <v>0.60280758376398436</v>
      </c>
      <c r="P4" s="13">
        <f>EXP(-1.0587+0.8836*LN(O4)+0.284)</f>
        <v>0.29465781953181042</v>
      </c>
      <c r="Q4" s="20">
        <f t="shared" ref="Q4:Q34" si="2">(O4+P4)*0.475*44/12</f>
        <v>1.5630855774068424</v>
      </c>
      <c r="R4" s="59">
        <f t="shared" si="0"/>
        <v>294.89641891074018</v>
      </c>
      <c r="S4" s="59">
        <f ca="1">AVERAGE(OFFSET($R$3,0,0,'Données projet'!$E$9+1,1))-AVERAGE(OFFSET($H$3,0,0,'Données projet'!$E$9+1,1))</f>
        <v>226.0452828290525</v>
      </c>
      <c r="T4" s="59">
        <f>$T$3</f>
        <v>179.89696397462069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13.4</v>
      </c>
      <c r="AI4" s="13">
        <f>IF('Données projet'!$A$62&gt;35,AI3+AH4-AQ3,IF(A4&lt;'Données projet'!$A$62,$AF$205^A4,IF(A4='Données projet'!$A$62,'Données projet'!$B$62,AI3+AH4-AQ3)))</f>
        <v>1.261832742012994</v>
      </c>
      <c r="AJ4" s="13">
        <f>AI4*VLOOKUP('Données projet'!$B$10,Paramètres!$A$1:$I$89,3,0)*VLOOKUP('Données projet'!$B$10,Paramètres!$A$1:$I$89,5,0)</f>
        <v>0.70536450278526364</v>
      </c>
      <c r="AK4" s="13">
        <f>EXP(-1.0587+0.8836*LN(AJ4)+0.284)</f>
        <v>0.33854025888476524</v>
      </c>
      <c r="AL4" s="20">
        <f t="shared" ref="AL4:AL67" si="4">(AJ4+AK4)*0.475*44/12</f>
        <v>1.8181341265753002</v>
      </c>
      <c r="AM4" s="59">
        <f t="shared" ref="AM4:AM67" si="5">AL4+(AD4+AE4)*44/12</f>
        <v>295.15146745990859</v>
      </c>
      <c r="AN4" s="59">
        <f ca="1">AVERAGE(OFFSET($AM$3,0,0,'Données projet'!$E$10+1,1))-AVERAGE(OFFSET($H$3,0,0,'Données projet'!$E$10+1,1))</f>
        <v>365.13032894303285</v>
      </c>
      <c r="AO4" s="59">
        <f>$AO$3</f>
        <v>471.89239871617241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7.9</v>
      </c>
      <c r="N5" s="13">
        <f>IF('Données projet'!$A$36&gt;35,N4+M5-V4,IF(A5&lt;'Données projet'!$A$36,$K$205^A5,IF(A5='Données projet'!$A$36,'Données projet'!$B$36,N4+M5-V4)))</f>
        <v>1.6590738140266501</v>
      </c>
      <c r="O5" s="13">
        <f>N5*VLOOKUP('Données projet'!$B$9,Paramètres!$A$1:$I$89,3,0)*VLOOKUP('Données projet'!$B$9,Paramètres!$A$1:$I$89,5,0)</f>
        <v>0.77644654496447219</v>
      </c>
      <c r="P5" s="13">
        <f t="shared" ref="P5:P68" si="33">EXP(-1.0587+0.8836*LN(O5)+0.284)</f>
        <v>0.36851455096495994</v>
      </c>
      <c r="Q5" s="20">
        <f t="shared" si="2"/>
        <v>1.9941405754104276</v>
      </c>
      <c r="R5" s="59">
        <f t="shared" si="0"/>
        <v>295.32747390874374</v>
      </c>
      <c r="S5" s="59">
        <f ca="1">AVERAGE(OFFSET($R$3,0,0,'Données projet'!$E$9+1,1))-AVERAGE(OFFSET($H$3,0,0,'Données projet'!$E$9+1,1))</f>
        <v>226.0452828290525</v>
      </c>
      <c r="T5" s="59">
        <f t="shared" ref="T5:T68" si="34">$T$3</f>
        <v>179.89696397462069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13.4</v>
      </c>
      <c r="AI5" s="13">
        <f>IF('Données projet'!$A$62&gt;35,AI4+AH5-AQ4,IF(A5&lt;'Données projet'!$A$62,$AF$205^A5,IF(A5='Données projet'!$A$62,'Données projet'!$B$62,AI4+AH5-AQ4)))</f>
        <v>1.592221868816031</v>
      </c>
      <c r="AJ5" s="13">
        <f>AI5*VLOOKUP('Données projet'!$B$10,Paramètres!$A$1:$I$89,3,0)*VLOOKUP('Données projet'!$B$10,Paramètres!$A$1:$I$89,5,0)</f>
        <v>0.89005202466816125</v>
      </c>
      <c r="AK5" s="13">
        <f t="shared" ref="AK5:AK68" si="35">EXP(-1.0587+0.8836*LN(AJ5)+0.284)</f>
        <v>0.41577225565740339</v>
      </c>
      <c r="AL5" s="20">
        <f t="shared" si="4"/>
        <v>2.2743106215670248</v>
      </c>
      <c r="AM5" s="59">
        <f t="shared" si="5"/>
        <v>295.60764395490031</v>
      </c>
      <c r="AN5" s="59">
        <f ca="1">AVERAGE(OFFSET($AM$3,0,0,'Données projet'!$E$10+1,1))-AVERAGE(OFFSET($H$3,0,0,'Données projet'!$E$10+1,1))</f>
        <v>365.13032894303285</v>
      </c>
      <c r="AO5" s="59">
        <f t="shared" ref="AO5:AO68" si="36">$AO$3</f>
        <v>471.89239871617241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7.9</v>
      </c>
      <c r="N6" s="13">
        <f>IF('Données projet'!$A$36&gt;35,N5+M6-V5,IF(A6&lt;'Données projet'!$A$36,$K$205^A6,IF(A6='Données projet'!$A$36,'Données projet'!$B$36,N5+M6-V5)))</f>
        <v>2.1369706776057753</v>
      </c>
      <c r="O6" s="13">
        <f>N6*VLOOKUP('Données projet'!$B$9,Paramètres!$A$1:$I$89,3,0)*VLOOKUP('Données projet'!$B$9,Paramètres!$A$1:$I$89,5,0)</f>
        <v>1.0001022771195029</v>
      </c>
      <c r="P6" s="13">
        <f t="shared" si="33"/>
        <v>0.46088365986243646</v>
      </c>
      <c r="Q6" s="20">
        <f t="shared" si="2"/>
        <v>2.5445505069102112</v>
      </c>
      <c r="R6" s="59">
        <f t="shared" si="0"/>
        <v>295.8778838402435</v>
      </c>
      <c r="S6" s="59">
        <f ca="1">AVERAGE(OFFSET($R$3,0,0,'Données projet'!$E$9+1,1))-AVERAGE(OFFSET($H$3,0,0,'Données projet'!$E$9+1,1))</f>
        <v>226.0452828290525</v>
      </c>
      <c r="T6" s="59">
        <f t="shared" si="34"/>
        <v>179.89696397462069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13.4</v>
      </c>
      <c r="AI6" s="13">
        <f>IF('Données projet'!$A$62&gt;35,AI5+AH6-AQ5,IF(A6&lt;'Données projet'!$A$62,$AF$205^A6,IF(A6='Données projet'!$A$62,'Données projet'!$B$62,AI5+AH6-AQ5)))</f>
        <v>2.0091176866211859</v>
      </c>
      <c r="AJ6" s="13">
        <f>AI6*VLOOKUP('Données projet'!$B$10,Paramètres!$A$1:$I$89,3,0)*VLOOKUP('Données projet'!$B$10,Paramètres!$A$1:$I$89,5,0)</f>
        <v>1.1230967868212429</v>
      </c>
      <c r="AK6" s="13">
        <f t="shared" si="35"/>
        <v>0.510623372073709</v>
      </c>
      <c r="AL6" s="20">
        <f t="shared" si="4"/>
        <v>2.8453959434087075</v>
      </c>
      <c r="AM6" s="59">
        <f t="shared" si="5"/>
        <v>296.17872927674205</v>
      </c>
      <c r="AN6" s="59">
        <f ca="1">AVERAGE(OFFSET($AM$3,0,0,'Données projet'!$E$10+1,1))-AVERAGE(OFFSET($H$3,0,0,'Données projet'!$E$10+1,1))</f>
        <v>365.13032894303285</v>
      </c>
      <c r="AO6" s="59">
        <f t="shared" si="36"/>
        <v>471.89239871617241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7.9</v>
      </c>
      <c r="N7" s="13">
        <f>IF('Données projet'!$A$36&gt;35,N6+M7-V6,IF(A7&lt;'Données projet'!$A$36,$K$205^A7,IF(A7='Données projet'!$A$36,'Données projet'!$B$36,N6+M7-V6)))</f>
        <v>2.7525259203889356</v>
      </c>
      <c r="O7" s="13">
        <f>N7*VLOOKUP('Données projet'!$B$9,Paramètres!$A$1:$I$89,3,0)*VLOOKUP('Données projet'!$B$9,Paramètres!$A$1:$I$89,5,0)</f>
        <v>1.2881821307420218</v>
      </c>
      <c r="P7" s="13">
        <f t="shared" si="33"/>
        <v>0.57640532069082717</v>
      </c>
      <c r="Q7" s="20">
        <f t="shared" si="2"/>
        <v>3.2474898112455457</v>
      </c>
      <c r="R7" s="59">
        <f t="shared" si="0"/>
        <v>296.58082314457886</v>
      </c>
      <c r="S7" s="59">
        <f ca="1">AVERAGE(OFFSET($R$3,0,0,'Données projet'!$E$9+1,1))-AVERAGE(OFFSET($H$3,0,0,'Données projet'!$E$9+1,1))</f>
        <v>226.0452828290525</v>
      </c>
      <c r="T7" s="59">
        <f t="shared" si="34"/>
        <v>179.89696397462069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13.4</v>
      </c>
      <c r="AI7" s="13">
        <f>IF('Données projet'!$A$62&gt;35,AI6+AH7-AQ6,IF(A7&lt;'Données projet'!$A$62,$AF$205^A7,IF(A7='Données projet'!$A$62,'Données projet'!$B$62,AI6+AH7-AQ6)))</f>
        <v>2.5351704795360144</v>
      </c>
      <c r="AJ7" s="13">
        <f>AI7*VLOOKUP('Données projet'!$B$10,Paramètres!$A$1:$I$89,3,0)*VLOOKUP('Données projet'!$B$10,Paramètres!$A$1:$I$89,5,0)</f>
        <v>1.4171602980606322</v>
      </c>
      <c r="AK7" s="13">
        <f t="shared" si="35"/>
        <v>0.6271130999245228</v>
      </c>
      <c r="AL7" s="20">
        <f t="shared" si="4"/>
        <v>3.5604428348241446</v>
      </c>
      <c r="AM7" s="59">
        <f t="shared" si="5"/>
        <v>296.89377616815744</v>
      </c>
      <c r="AN7" s="59">
        <f ca="1">AVERAGE(OFFSET($AM$3,0,0,'Données projet'!$E$10+1,1))-AVERAGE(OFFSET($H$3,0,0,'Données projet'!$E$10+1,1))</f>
        <v>365.13032894303285</v>
      </c>
      <c r="AO7" s="59">
        <f t="shared" si="36"/>
        <v>471.89239871617241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7.9</v>
      </c>
      <c r="N8" s="13">
        <f>IF('Données projet'!$A$36&gt;35,N7+M8-V7,IF(A8&lt;'Données projet'!$A$36,$K$205^A8,IF(A8='Données projet'!$A$36,'Données projet'!$B$36,N7+M8-V7)))</f>
        <v>3.5453920925585285</v>
      </c>
      <c r="O8" s="13">
        <f>N8*VLOOKUP('Données projet'!$B$9,Paramètres!$A$1:$I$89,3,0)*VLOOKUP('Données projet'!$B$9,Paramètres!$A$1:$I$89,5,0)</f>
        <v>1.6592434993173915</v>
      </c>
      <c r="P8" s="13">
        <f t="shared" si="33"/>
        <v>0.72088277944126433</v>
      </c>
      <c r="Q8" s="20">
        <f t="shared" si="2"/>
        <v>4.1453866021713255</v>
      </c>
      <c r="R8" s="59">
        <f t="shared" si="0"/>
        <v>297.47871993550461</v>
      </c>
      <c r="S8" s="59">
        <f ca="1">AVERAGE(OFFSET($R$3,0,0,'Données projet'!$E$9+1,1))-AVERAGE(OFFSET($H$3,0,0,'Données projet'!$E$9+1,1))</f>
        <v>226.0452828290525</v>
      </c>
      <c r="T8" s="59">
        <f t="shared" si="34"/>
        <v>179.89696397462069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13.4</v>
      </c>
      <c r="AI8" s="13">
        <f>IF('Données projet'!$A$62&gt;35,AI7+AH8-AQ7,IF(A8&lt;'Données projet'!$A$62,$AF$205^A8,IF(A8='Données projet'!$A$62,'Données projet'!$B$62,AI7+AH8-AQ7)))</f>
        <v>3.1989611176633259</v>
      </c>
      <c r="AJ8" s="13">
        <f>AI8*VLOOKUP('Données projet'!$B$10,Paramètres!$A$1:$I$89,3,0)*VLOOKUP('Données projet'!$B$10,Paramètres!$A$1:$I$89,5,0)</f>
        <v>1.7882192647737993</v>
      </c>
      <c r="AK8" s="13">
        <f t="shared" si="35"/>
        <v>0.7701779072505428</v>
      </c>
      <c r="AL8" s="20">
        <f t="shared" si="4"/>
        <v>4.4558750746090627</v>
      </c>
      <c r="AM8" s="59">
        <f t="shared" si="5"/>
        <v>297.7892084079424</v>
      </c>
      <c r="AN8" s="59">
        <f ca="1">AVERAGE(OFFSET($AM$3,0,0,'Données projet'!$E$10+1,1))-AVERAGE(OFFSET($H$3,0,0,'Données projet'!$E$10+1,1))</f>
        <v>365.13032894303285</v>
      </c>
      <c r="AO8" s="59">
        <f t="shared" si="36"/>
        <v>471.89239871617241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7.9</v>
      </c>
      <c r="N9" s="13">
        <f>IF('Données projet'!$A$36&gt;35,N8+M9-V8,IF(A9&lt;'Données projet'!$A$36,$K$205^A9,IF(A9='Données projet'!$A$36,'Données projet'!$B$36,N8+M9-V8)))</f>
        <v>4.566643676946887</v>
      </c>
      <c r="O9" s="13">
        <f>N9*VLOOKUP('Données projet'!$B$9,Paramètres!$A$1:$I$89,3,0)*VLOOKUP('Données projet'!$B$9,Paramètres!$A$1:$I$89,5,0)</f>
        <v>2.1371892408111433</v>
      </c>
      <c r="P9" s="13">
        <f t="shared" si="33"/>
        <v>0.9015738804633705</v>
      </c>
      <c r="Q9" s="20">
        <f t="shared" si="2"/>
        <v>5.292512436219778</v>
      </c>
      <c r="R9" s="59">
        <f t="shared" si="0"/>
        <v>298.62584576955311</v>
      </c>
      <c r="S9" s="59">
        <f ca="1">AVERAGE(OFFSET($R$3,0,0,'Données projet'!$E$9+1,1))-AVERAGE(OFFSET($H$3,0,0,'Données projet'!$E$9+1,1))</f>
        <v>226.0452828290525</v>
      </c>
      <c r="T9" s="59">
        <f t="shared" si="34"/>
        <v>179.89696397462069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13.4</v>
      </c>
      <c r="AI9" s="13">
        <f>IF('Données projet'!$A$62&gt;35,AI8+AH9-AQ8,IF(A9&lt;'Données projet'!$A$62,$AF$205^A9,IF(A9='Données projet'!$A$62,'Données projet'!$B$62,AI8+AH9-AQ8)))</f>
        <v>4.0365538786940665</v>
      </c>
      <c r="AJ9" s="13">
        <f>AI9*VLOOKUP('Données projet'!$B$10,Paramètres!$A$1:$I$89,3,0)*VLOOKUP('Données projet'!$B$10,Paramètres!$A$1:$I$89,5,0)</f>
        <v>2.2564336181899831</v>
      </c>
      <c r="AK9" s="13">
        <f t="shared" si="35"/>
        <v>0.94588043032144931</v>
      </c>
      <c r="AL9" s="20">
        <f t="shared" si="4"/>
        <v>5.5773636344907445</v>
      </c>
      <c r="AM9" s="59">
        <f t="shared" si="5"/>
        <v>298.91069696782404</v>
      </c>
      <c r="AN9" s="59">
        <f ca="1">AVERAGE(OFFSET($AM$3,0,0,'Données projet'!$E$10+1,1))-AVERAGE(OFFSET($H$3,0,0,'Données projet'!$E$10+1,1))</f>
        <v>365.13032894303285</v>
      </c>
      <c r="AO9" s="59">
        <f t="shared" si="36"/>
        <v>471.89239871617241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7.9</v>
      </c>
      <c r="N10" s="13">
        <f>IF('Données projet'!$A$36&gt;35,N9+M10-V9,IF(A10&lt;'Données projet'!$A$36,$K$205^A10,IF(A10='Données projet'!$A$36,'Données projet'!$B$36,N9+M10-V9)))</f>
        <v>5.8820671812210037</v>
      </c>
      <c r="O10" s="13">
        <f>N10*VLOOKUP('Données projet'!$B$9,Paramètres!$A$1:$I$89,3,0)*VLOOKUP('Données projet'!$B$9,Paramètres!$A$1:$I$89,5,0)</f>
        <v>2.7528074408114294</v>
      </c>
      <c r="P10" s="13">
        <f t="shared" si="33"/>
        <v>1.1275556652411438</v>
      </c>
      <c r="Q10" s="20">
        <f t="shared" si="2"/>
        <v>6.7582990763748976</v>
      </c>
      <c r="R10" s="59">
        <f t="shared" si="0"/>
        <v>300.09163240970821</v>
      </c>
      <c r="S10" s="59">
        <f ca="1">AVERAGE(OFFSET($R$3,0,0,'Données projet'!$E$9+1,1))-AVERAGE(OFFSET($H$3,0,0,'Données projet'!$E$9+1,1))</f>
        <v>226.0452828290525</v>
      </c>
      <c r="T10" s="59">
        <f t="shared" si="34"/>
        <v>179.89696397462069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13.4</v>
      </c>
      <c r="AI10" s="13">
        <f>IF('Données projet'!$A$62&gt;35,AI9+AH10-AQ9,IF(A10&lt;'Données projet'!$A$62,$AF$205^A10,IF(A10='Données projet'!$A$62,'Données projet'!$B$62,AI9+AH10-AQ9)))</f>
        <v>5.0934558490357196</v>
      </c>
      <c r="AJ10" s="13">
        <f>AI10*VLOOKUP('Données projet'!$B$10,Paramètres!$A$1:$I$89,3,0)*VLOOKUP('Données projet'!$B$10,Paramètres!$A$1:$I$89,5,0)</f>
        <v>2.8472418196109675</v>
      </c>
      <c r="AK10" s="13">
        <f t="shared" si="35"/>
        <v>1.1616663890802092</v>
      </c>
      <c r="AL10" s="20">
        <f t="shared" si="4"/>
        <v>6.9821817968037978</v>
      </c>
      <c r="AM10" s="59">
        <f t="shared" si="5"/>
        <v>300.3155151301371</v>
      </c>
      <c r="AN10" s="59">
        <f ca="1">AVERAGE(OFFSET($AM$3,0,0,'Données projet'!$E$10+1,1))-AVERAGE(OFFSET($H$3,0,0,'Données projet'!$E$10+1,1))</f>
        <v>365.13032894303285</v>
      </c>
      <c r="AO10" s="59">
        <f t="shared" si="36"/>
        <v>471.89239871617241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7.9</v>
      </c>
      <c r="N11" s="13">
        <f>IF('Données projet'!$A$36&gt;35,N10+M11-V10,IF(A11&lt;'Données projet'!$A$36,$K$205^A11,IF(A11='Données projet'!$A$36,'Données projet'!$B$36,N10+M11-V10)))</f>
        <v>7.5763989424129567</v>
      </c>
      <c r="O11" s="13">
        <f>N11*VLOOKUP('Données projet'!$B$9,Paramètres!$A$1:$I$89,3,0)*VLOOKUP('Données projet'!$B$9,Paramètres!$A$1:$I$89,5,0)</f>
        <v>3.5457547050492639</v>
      </c>
      <c r="P11" s="13">
        <f t="shared" si="33"/>
        <v>1.4101803587787649</v>
      </c>
      <c r="Q11" s="20">
        <f t="shared" si="2"/>
        <v>8.631586902833817</v>
      </c>
      <c r="R11" s="59">
        <f t="shared" si="0"/>
        <v>301.96492023616713</v>
      </c>
      <c r="S11" s="59">
        <f ca="1">AVERAGE(OFFSET($R$3,0,0,'Données projet'!$E$9+1,1))-AVERAGE(OFFSET($H$3,0,0,'Données projet'!$E$9+1,1))</f>
        <v>226.0452828290525</v>
      </c>
      <c r="T11" s="59">
        <f t="shared" si="34"/>
        <v>179.89696397462069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13.4</v>
      </c>
      <c r="AI11" s="13">
        <f>IF('Données projet'!$A$62&gt;35,AI10+AH11-AQ10,IF(A11&lt;'Données projet'!$A$62,$AF$205^A11,IF(A11='Données projet'!$A$62,'Données projet'!$B$62,AI10+AH11-AQ10)))</f>
        <v>6.4270893603108652</v>
      </c>
      <c r="AJ11" s="13">
        <f>AI11*VLOOKUP('Données projet'!$B$10,Paramètres!$A$1:$I$89,3,0)*VLOOKUP('Données projet'!$B$10,Paramètres!$A$1:$I$89,5,0)</f>
        <v>3.5927429524137739</v>
      </c>
      <c r="AK11" s="13">
        <f t="shared" si="35"/>
        <v>1.4266801133205034</v>
      </c>
      <c r="AL11" s="20">
        <f t="shared" si="4"/>
        <v>8.7421618394872009</v>
      </c>
      <c r="AM11" s="59">
        <f t="shared" si="5"/>
        <v>302.07549517282052</v>
      </c>
      <c r="AN11" s="59">
        <f ca="1">AVERAGE(OFFSET($AM$3,0,0,'Données projet'!$E$10+1,1))-AVERAGE(OFFSET($H$3,0,0,'Données projet'!$E$10+1,1))</f>
        <v>365.13032894303285</v>
      </c>
      <c r="AO11" s="59">
        <f t="shared" si="36"/>
        <v>471.89239871617241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7.9</v>
      </c>
      <c r="N12" s="13">
        <f>IF('Données projet'!$A$36&gt;35,N11+M12-V11,IF(A12&lt;'Données projet'!$A$36,$K$205^A12,IF(A12='Données projet'!$A$36,'Données projet'!$B$36,N11+M12-V11)))</f>
        <v>9.7587836327093171</v>
      </c>
      <c r="O12" s="13">
        <f>N12*VLOOKUP('Données projet'!$B$9,Paramètres!$A$1:$I$89,3,0)*VLOOKUP('Données projet'!$B$9,Paramètres!$A$1:$I$89,5,0)</f>
        <v>4.5671107401079603</v>
      </c>
      <c r="P12" s="13">
        <f t="shared" si="33"/>
        <v>1.763645650133036</v>
      </c>
      <c r="Q12" s="20">
        <f t="shared" si="2"/>
        <v>11.026067379669733</v>
      </c>
      <c r="R12" s="59">
        <f t="shared" si="0"/>
        <v>304.35940071300303</v>
      </c>
      <c r="S12" s="59">
        <f ca="1">AVERAGE(OFFSET($R$3,0,0,'Données projet'!$E$9+1,1))-AVERAGE(OFFSET($H$3,0,0,'Données projet'!$E$9+1,1))</f>
        <v>226.0452828290525</v>
      </c>
      <c r="T12" s="59">
        <f t="shared" si="34"/>
        <v>179.89696397462069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13.4</v>
      </c>
      <c r="AI12" s="13">
        <f>IF('Données projet'!$A$62&gt;35,AI11+AH12-AQ11,IF(A12&lt;'Données projet'!$A$62,$AF$205^A12,IF(A12='Données projet'!$A$62,'Données projet'!$B$62,AI11+AH12-AQ11)))</f>
        <v>8.1099117906835989</v>
      </c>
      <c r="AJ12" s="13">
        <f>AI12*VLOOKUP('Données projet'!$B$10,Paramètres!$A$1:$I$89,3,0)*VLOOKUP('Données projet'!$B$10,Paramètres!$A$1:$I$89,5,0)</f>
        <v>4.5334406909921316</v>
      </c>
      <c r="AK12" s="13">
        <f t="shared" si="35"/>
        <v>1.7521520506036317</v>
      </c>
      <c r="AL12" s="20">
        <f t="shared" si="4"/>
        <v>10.947407358279287</v>
      </c>
      <c r="AM12" s="59">
        <f t="shared" si="5"/>
        <v>304.28074069161261</v>
      </c>
      <c r="AN12" s="59">
        <f ca="1">AVERAGE(OFFSET($AM$3,0,0,'Données projet'!$E$10+1,1))-AVERAGE(OFFSET($H$3,0,0,'Données projet'!$E$10+1,1))</f>
        <v>365.13032894303285</v>
      </c>
      <c r="AO12" s="59">
        <f t="shared" si="36"/>
        <v>471.89239871617241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7.9</v>
      </c>
      <c r="N13" s="13">
        <f>IF('Données projet'!$A$36&gt;35,N12+M13-V12,IF(A13&lt;'Données projet'!$A$36,$K$205^A13,IF(A13='Données projet'!$A$36,'Données projet'!$B$36,N12+M13-V12)))</f>
        <v>12.569805089976542</v>
      </c>
      <c r="O13" s="13">
        <f>N13*VLOOKUP('Données projet'!$B$9,Paramètres!$A$1:$I$89,3,0)*VLOOKUP('Données projet'!$B$9,Paramètres!$A$1:$I$89,5,0)</f>
        <v>5.8826687821090227</v>
      </c>
      <c r="P13" s="13">
        <f t="shared" si="33"/>
        <v>2.2057079152108381</v>
      </c>
      <c r="Q13" s="20">
        <f t="shared" si="2"/>
        <v>14.087256081165423</v>
      </c>
      <c r="R13" s="59">
        <f t="shared" si="0"/>
        <v>307.42058941449875</v>
      </c>
      <c r="S13" s="59">
        <f ca="1">AVERAGE(OFFSET($R$3,0,0,'Données projet'!$E$9+1,1))-AVERAGE(OFFSET($H$3,0,0,'Données projet'!$E$9+1,1))</f>
        <v>226.0452828290525</v>
      </c>
      <c r="T13" s="59">
        <f t="shared" si="34"/>
        <v>179.89696397462069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13.4</v>
      </c>
      <c r="AI13" s="13">
        <f>IF('Données projet'!$A$62&gt;35,AI12+AH13-AQ12,IF(A13&lt;'Données projet'!$A$62,$AF$205^A13,IF(A13='Données projet'!$A$62,'Données projet'!$B$62,AI12+AH13-AQ12)))</f>
        <v>10.233352232321796</v>
      </c>
      <c r="AJ13" s="13">
        <f>AI13*VLOOKUP('Données projet'!$B$10,Paramètres!$A$1:$I$89,3,0)*VLOOKUP('Données projet'!$B$10,Paramètres!$A$1:$I$89,5,0)</f>
        <v>5.7204438978678835</v>
      </c>
      <c r="AK13" s="13">
        <f t="shared" si="35"/>
        <v>2.1518746772808122</v>
      </c>
      <c r="AL13" s="20">
        <f t="shared" si="4"/>
        <v>13.710954851717311</v>
      </c>
      <c r="AM13" s="59">
        <f t="shared" si="5"/>
        <v>307.04428818505062</v>
      </c>
      <c r="AN13" s="59">
        <f ca="1">AVERAGE(OFFSET($AM$3,0,0,'Données projet'!$E$10+1,1))-AVERAGE(OFFSET($H$3,0,0,'Données projet'!$E$10+1,1))</f>
        <v>365.13032894303285</v>
      </c>
      <c r="AO13" s="59">
        <f t="shared" si="36"/>
        <v>471.89239871617241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7.9</v>
      </c>
      <c r="N14" s="13">
        <f>IF('Données projet'!$A$36&gt;35,N13+M14-V13,IF(A14&lt;'Données projet'!$A$36,$K$205^A14,IF(A14='Données projet'!$A$36,'Données projet'!$B$36,N13+M14-V13)))</f>
        <v>16.190542381779895</v>
      </c>
      <c r="O14" s="13">
        <f>N14*VLOOKUP('Données projet'!$B$9,Paramètres!$A$1:$I$89,3,0)*VLOOKUP('Données projet'!$B$9,Paramètres!$A$1:$I$89,5,0)</f>
        <v>7.5771738346729904</v>
      </c>
      <c r="P14" s="13">
        <f t="shared" si="33"/>
        <v>2.7585742106736397</v>
      </c>
      <c r="Q14" s="20">
        <f t="shared" si="2"/>
        <v>18.001427845645381</v>
      </c>
      <c r="R14" s="59">
        <f t="shared" si="0"/>
        <v>311.33476117897868</v>
      </c>
      <c r="S14" s="59">
        <f ca="1">AVERAGE(OFFSET($R$3,0,0,'Données projet'!$E$9+1,1))-AVERAGE(OFFSET($H$3,0,0,'Données projet'!$E$9+1,1))</f>
        <v>226.0452828290525</v>
      </c>
      <c r="T14" s="59">
        <f t="shared" si="34"/>
        <v>179.89696397462069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13.4</v>
      </c>
      <c r="AI14" s="13">
        <f>IF('Données projet'!$A$62&gt;35,AI13+AH14-AQ13,IF(A14&lt;'Données projet'!$A$62,$AF$205^A14,IF(A14='Données projet'!$A$62,'Données projet'!$B$62,AI13+AH14-AQ13)))</f>
        <v>12.912778907295403</v>
      </c>
      <c r="AJ14" s="13">
        <f>AI14*VLOOKUP('Données projet'!$B$10,Paramètres!$A$1:$I$89,3,0)*VLOOKUP('Données projet'!$B$10,Paramètres!$A$1:$I$89,5,0)</f>
        <v>7.2182434091781298</v>
      </c>
      <c r="AK14" s="13">
        <f t="shared" si="35"/>
        <v>2.6427869802321831</v>
      </c>
      <c r="AL14" s="20">
        <f t="shared" si="4"/>
        <v>17.174627928222961</v>
      </c>
      <c r="AM14" s="59">
        <f t="shared" si="5"/>
        <v>310.50796126155626</v>
      </c>
      <c r="AN14" s="59">
        <f ca="1">AVERAGE(OFFSET($AM$3,0,0,'Données projet'!$E$10+1,1))-AVERAGE(OFFSET($H$3,0,0,'Données projet'!$E$10+1,1))</f>
        <v>365.13032894303285</v>
      </c>
      <c r="AO14" s="59">
        <f t="shared" si="36"/>
        <v>471.89239871617241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7.9</v>
      </c>
      <c r="N15" s="13">
        <f>IF('Données projet'!$A$36&gt;35,N14+M15-V14,IF(A15&lt;'Données projet'!$A$36,$K$205^A15,IF(A15='Données projet'!$A$36,'Données projet'!$B$36,N14+M15-V14)))</f>
        <v>20.854234472198982</v>
      </c>
      <c r="O15" s="13">
        <f>N15*VLOOKUP('Données projet'!$B$9,Paramètres!$A$1:$I$89,3,0)*VLOOKUP('Données projet'!$B$9,Paramètres!$A$1:$I$89,5,0)</f>
        <v>9.7597817329891239</v>
      </c>
      <c r="P15" s="13">
        <f t="shared" si="33"/>
        <v>3.4500178483814818</v>
      </c>
      <c r="Q15" s="20">
        <f t="shared" si="2"/>
        <v>23.00706760422047</v>
      </c>
      <c r="R15" s="59">
        <f t="shared" si="0"/>
        <v>316.3404009375538</v>
      </c>
      <c r="S15" s="59">
        <f ca="1">AVERAGE(OFFSET($R$3,0,0,'Données projet'!$E$9+1,1))-AVERAGE(OFFSET($H$3,0,0,'Données projet'!$E$9+1,1))</f>
        <v>226.0452828290525</v>
      </c>
      <c r="T15" s="59">
        <f t="shared" si="34"/>
        <v>179.89696397462069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13.4</v>
      </c>
      <c r="AI15" s="13">
        <f>IF('Données projet'!$A$62&gt;35,AI14+AH15-AQ14,IF(A15&lt;'Données projet'!$A$62,$AF$205^A15,IF(A15='Données projet'!$A$62,'Données projet'!$B$62,AI14+AH15-AQ14)))</f>
        <v>16.293767215600113</v>
      </c>
      <c r="AJ15" s="13">
        <f>AI15*VLOOKUP('Données projet'!$B$10,Paramètres!$A$1:$I$89,3,0)*VLOOKUP('Données projet'!$B$10,Paramètres!$A$1:$I$89,5,0)</f>
        <v>9.1082158735204626</v>
      </c>
      <c r="AK15" s="13">
        <f t="shared" si="35"/>
        <v>3.2456922778190744</v>
      </c>
      <c r="AL15" s="20">
        <f t="shared" si="4"/>
        <v>21.516390030249696</v>
      </c>
      <c r="AM15" s="59">
        <f t="shared" si="5"/>
        <v>314.849723363583</v>
      </c>
      <c r="AN15" s="59">
        <f ca="1">AVERAGE(OFFSET($AM$3,0,0,'Données projet'!$E$10+1,1))-AVERAGE(OFFSET($H$3,0,0,'Données projet'!$E$10+1,1))</f>
        <v>365.13032894303285</v>
      </c>
      <c r="AO15" s="59">
        <f t="shared" si="36"/>
        <v>471.89239871617241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7.9</v>
      </c>
      <c r="N16" s="13">
        <f>IF('Données projet'!$A$36&gt;35,N15+M16-V15,IF(A16&lt;'Données projet'!$A$36,$K$205^A16,IF(A16='Données projet'!$A$36,'Données projet'!$B$36,N15+M16-V15)))</f>
        <v>26.861304900499697</v>
      </c>
      <c r="O16" s="13">
        <f>N16*VLOOKUP('Données projet'!$B$9,Paramètres!$A$1:$I$89,3,0)*VLOOKUP('Données projet'!$B$9,Paramètres!$A$1:$I$89,5,0)</f>
        <v>12.571090693433858</v>
      </c>
      <c r="P16" s="13">
        <f t="shared" si="33"/>
        <v>4.3147735914069099</v>
      </c>
      <c r="Q16" s="20">
        <f t="shared" si="2"/>
        <v>29.409546962764335</v>
      </c>
      <c r="R16" s="59">
        <f t="shared" si="0"/>
        <v>322.74288029609767</v>
      </c>
      <c r="S16" s="59">
        <f ca="1">AVERAGE(OFFSET($R$3,0,0,'Données projet'!$E$9+1,1))-AVERAGE(OFFSET($H$3,0,0,'Données projet'!$E$9+1,1))</f>
        <v>226.0452828290525</v>
      </c>
      <c r="T16" s="59">
        <f t="shared" si="34"/>
        <v>179.89696397462069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13.4</v>
      </c>
      <c r="AI16" s="13">
        <f>IF('Données projet'!$A$62&gt;35,AI15+AH16-AQ15,IF(A16&lt;'Données projet'!$A$62,$AF$205^A16,IF(A16='Données projet'!$A$62,'Données projet'!$B$62,AI15+AH16-AQ15)))</f>
        <v>20.560008963382117</v>
      </c>
      <c r="AJ16" s="13">
        <f>AI16*VLOOKUP('Données projet'!$B$10,Paramètres!$A$1:$I$89,3,0)*VLOOKUP('Données projet'!$B$10,Paramètres!$A$1:$I$89,5,0)</f>
        <v>11.493045010530604</v>
      </c>
      <c r="AK16" s="13">
        <f t="shared" si="35"/>
        <v>3.9861397990423186</v>
      </c>
      <c r="AL16" s="20">
        <f t="shared" si="4"/>
        <v>26.95958021000617</v>
      </c>
      <c r="AM16" s="59">
        <f t="shared" si="5"/>
        <v>320.29291354333947</v>
      </c>
      <c r="AN16" s="59">
        <f ca="1">AVERAGE(OFFSET($AM$3,0,0,'Données projet'!$E$10+1,1))-AVERAGE(OFFSET($H$3,0,0,'Données projet'!$E$10+1,1))</f>
        <v>365.13032894303285</v>
      </c>
      <c r="AO16" s="59">
        <f t="shared" si="36"/>
        <v>471.89239871617241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7.9</v>
      </c>
      <c r="N17" s="13">
        <f>IF('Données projet'!$A$36&gt;35,N16+M17-V16,IF(A17&lt;'Données projet'!$A$36,$K$205^A17,IF(A17='Données projet'!$A$36,'Données projet'!$B$36,N16+M17-V16)))</f>
        <v>34.598714324397214</v>
      </c>
      <c r="O17" s="13">
        <f>N17*VLOOKUP('Données projet'!$B$9,Paramètres!$A$1:$I$89,3,0)*VLOOKUP('Données projet'!$B$9,Paramètres!$A$1:$I$89,5,0)</f>
        <v>16.192198303817896</v>
      </c>
      <c r="P17" s="13">
        <f t="shared" si="33"/>
        <v>5.3962825594761723</v>
      </c>
      <c r="Q17" s="20">
        <f t="shared" si="2"/>
        <v>37.599937503570509</v>
      </c>
      <c r="R17" s="59">
        <f t="shared" si="0"/>
        <v>330.93327083690383</v>
      </c>
      <c r="S17" s="59">
        <f ca="1">AVERAGE(OFFSET($R$3,0,0,'Données projet'!$E$9+1,1))-AVERAGE(OFFSET($H$3,0,0,'Données projet'!$E$9+1,1))</f>
        <v>226.0452828290525</v>
      </c>
      <c r="T17" s="59">
        <f t="shared" si="34"/>
        <v>179.89696397462069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13.4</v>
      </c>
      <c r="AI17" s="13">
        <f>IF('Données projet'!$A$62&gt;35,AI16+AH17-AQ16,IF(A17&lt;'Données projet'!$A$62,$AF$205^A17,IF(A17='Données projet'!$A$62,'Données projet'!$B$62,AI16+AH17-AQ16)))</f>
        <v>25.943292486076189</v>
      </c>
      <c r="AJ17" s="13">
        <f>AI17*VLOOKUP('Données projet'!$B$10,Paramètres!$A$1:$I$89,3,0)*VLOOKUP('Données projet'!$B$10,Paramètres!$A$1:$I$89,5,0)</f>
        <v>14.502300499716588</v>
      </c>
      <c r="AK17" s="13">
        <f t="shared" si="35"/>
        <v>4.8955073794567685</v>
      </c>
      <c r="AL17" s="20">
        <f t="shared" si="4"/>
        <v>33.784515389560262</v>
      </c>
      <c r="AM17" s="59">
        <f t="shared" si="5"/>
        <v>327.1178487228936</v>
      </c>
      <c r="AN17" s="59">
        <f ca="1">AVERAGE(OFFSET($AM$3,0,0,'Données projet'!$E$10+1,1))-AVERAGE(OFFSET($H$3,0,0,'Données projet'!$E$10+1,1))</f>
        <v>365.13032894303285</v>
      </c>
      <c r="AO17" s="59">
        <f t="shared" si="36"/>
        <v>471.89239871617241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7.9</v>
      </c>
      <c r="N18" s="13">
        <f>IF('Données projet'!$A$36&gt;35,N17+M18-V17,IF(A18&lt;'Données projet'!$A$36,$K$205^A18,IF(A18='Données projet'!$A$36,'Données projet'!$B$36,N17+M18-V17)))</f>
        <v>44.564887571004775</v>
      </c>
      <c r="O18" s="13">
        <f>N18*VLOOKUP('Données projet'!$B$9,Paramètres!$A$1:$I$89,3,0)*VLOOKUP('Données projet'!$B$9,Paramètres!$A$1:$I$89,5,0)</f>
        <v>20.856367383230236</v>
      </c>
      <c r="P18" s="13">
        <f t="shared" si="33"/>
        <v>6.7488744993944465</v>
      </c>
      <c r="Q18" s="20">
        <f t="shared" si="2"/>
        <v>48.079129612237985</v>
      </c>
      <c r="R18" s="59">
        <f t="shared" si="0"/>
        <v>341.41246294557129</v>
      </c>
      <c r="S18" s="59">
        <f ca="1">AVERAGE(OFFSET($R$3,0,0,'Données projet'!$E$9+1,1))-AVERAGE(OFFSET($H$3,0,0,'Données projet'!$E$9+1,1))</f>
        <v>226.0452828290525</v>
      </c>
      <c r="T18" s="59">
        <f t="shared" si="34"/>
        <v>179.89696397462069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13.4</v>
      </c>
      <c r="AI18" s="13">
        <f>IF('Données projet'!$A$62&gt;35,AI17+AH18-AQ17,IF(A18&lt;'Données projet'!$A$62,$AF$205^A18,IF(A18='Données projet'!$A$62,'Données projet'!$B$62,AI17+AH18-AQ17)))</f>
        <v>32.736095894550616</v>
      </c>
      <c r="AJ18" s="13">
        <f>AI18*VLOOKUP('Données projet'!$B$10,Paramètres!$A$1:$I$89,3,0)*VLOOKUP('Données projet'!$B$10,Paramètres!$A$1:$I$89,5,0)</f>
        <v>18.299477605053795</v>
      </c>
      <c r="AK18" s="13">
        <f t="shared" si="35"/>
        <v>6.0123311550873311</v>
      </c>
      <c r="AL18" s="20">
        <f t="shared" si="4"/>
        <v>42.343066923912453</v>
      </c>
      <c r="AM18" s="59">
        <f t="shared" si="5"/>
        <v>335.67640025724575</v>
      </c>
      <c r="AN18" s="59">
        <f ca="1">AVERAGE(OFFSET($AM$3,0,0,'Données projet'!$E$10+1,1))-AVERAGE(OFFSET($H$3,0,0,'Données projet'!$E$10+1,1))</f>
        <v>365.13032894303285</v>
      </c>
      <c r="AO18" s="59">
        <f t="shared" si="36"/>
        <v>471.89239871617241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7.9</v>
      </c>
      <c r="N19" s="13">
        <f>IF('Données projet'!$A$36&gt;35,N18+M19-V18,IF(A19&lt;'Données projet'!$A$36,$K$205^A19,IF(A19='Données projet'!$A$36,'Données projet'!$B$36,N18+M19-V18)))</f>
        <v>57.401820934596167</v>
      </c>
      <c r="O19" s="13">
        <f>N19*VLOOKUP('Données projet'!$B$9,Paramètres!$A$1:$I$89,3,0)*VLOOKUP('Données projet'!$B$9,Paramètres!$A$1:$I$89,5,0)</f>
        <v>26.864052197391008</v>
      </c>
      <c r="P19" s="13">
        <f t="shared" si="33"/>
        <v>8.4404970471001413</v>
      </c>
      <c r="Q19" s="20">
        <f t="shared" si="2"/>
        <v>61.488756600822086</v>
      </c>
      <c r="R19" s="59">
        <f t="shared" si="0"/>
        <v>354.82208993415543</v>
      </c>
      <c r="S19" s="59">
        <f ca="1">AVERAGE(OFFSET($R$3,0,0,'Données projet'!$E$9+1,1))-AVERAGE(OFFSET($H$3,0,0,'Données projet'!$E$9+1,1))</f>
        <v>226.0452828290525</v>
      </c>
      <c r="T19" s="59">
        <f t="shared" si="34"/>
        <v>179.89696397462069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13.4</v>
      </c>
      <c r="AI19" s="13">
        <f>IF('Données projet'!$A$62&gt;35,AI18+AH19-AQ18,IF(A19&lt;'Données projet'!$A$62,$AF$205^A19,IF(A19='Données projet'!$A$62,'Données projet'!$B$62,AI18+AH19-AQ18)))</f>
        <v>41.307477645421123</v>
      </c>
      <c r="AJ19" s="13">
        <f>AI19*VLOOKUP('Données projet'!$B$10,Paramètres!$A$1:$I$89,3,0)*VLOOKUP('Données projet'!$B$10,Paramètres!$A$1:$I$89,5,0)</f>
        <v>23.090880003790407</v>
      </c>
      <c r="AK19" s="13">
        <f t="shared" si="35"/>
        <v>7.3839386025897387</v>
      </c>
      <c r="AL19" s="20">
        <f t="shared" si="4"/>
        <v>53.076975739445423</v>
      </c>
      <c r="AM19" s="59">
        <f t="shared" si="5"/>
        <v>346.41030907277872</v>
      </c>
      <c r="AN19" s="59">
        <f ca="1">AVERAGE(OFFSET($AM$3,0,0,'Données projet'!$E$10+1,1))-AVERAGE(OFFSET($H$3,0,0,'Données projet'!$E$10+1,1))</f>
        <v>365.13032894303285</v>
      </c>
      <c r="AO19" s="59">
        <f t="shared" si="36"/>
        <v>471.89239871617241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7.9</v>
      </c>
      <c r="N20" s="13">
        <f>IF('Données projet'!$A$36&gt;35,N19+M20-V19,IF(A20&lt;'Données projet'!$A$36,$K$205^A20,IF(A20='Données projet'!$A$36,'Données projet'!$B$36,N19+M20-V19)))</f>
        <v>73.936437994095741</v>
      </c>
      <c r="O20" s="13">
        <f>N20*VLOOKUP('Données projet'!$B$9,Paramètres!$A$1:$I$89,3,0)*VLOOKUP('Données projet'!$B$9,Paramètres!$A$1:$I$89,5,0)</f>
        <v>34.602252981236802</v>
      </c>
      <c r="P20" s="13">
        <f t="shared" si="33"/>
        <v>10.556129086190376</v>
      </c>
      <c r="Q20" s="20">
        <f t="shared" si="2"/>
        <v>78.650848767435647</v>
      </c>
      <c r="R20" s="59">
        <f t="shared" si="0"/>
        <v>371.98418210076898</v>
      </c>
      <c r="S20" s="59">
        <f ca="1">AVERAGE(OFFSET($R$3,0,0,'Données projet'!$E$9+1,1))-AVERAGE(OFFSET($H$3,0,0,'Données projet'!$E$9+1,1))</f>
        <v>226.0452828290525</v>
      </c>
      <c r="T20" s="59">
        <f t="shared" si="34"/>
        <v>179.89696397462069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13.4</v>
      </c>
      <c r="AI20" s="13">
        <f>IF('Données projet'!$A$62&gt;35,AI19+AH20-AQ19,IF(A20&lt;'Données projet'!$A$62,$AF$205^A20,IF(A20='Données projet'!$A$62,'Données projet'!$B$62,AI19+AH20-AQ19)))</f>
        <v>52.123127782962186</v>
      </c>
      <c r="AJ20" s="13">
        <f>AI20*VLOOKUP('Données projet'!$B$10,Paramètres!$A$1:$I$89,3,0)*VLOOKUP('Données projet'!$B$10,Paramètres!$A$1:$I$89,5,0)</f>
        <v>29.136828430675862</v>
      </c>
      <c r="AK20" s="13">
        <f t="shared" si="35"/>
        <v>9.0684541287584697</v>
      </c>
      <c r="AL20" s="20">
        <f t="shared" si="4"/>
        <v>66.540867124348125</v>
      </c>
      <c r="AM20" s="59">
        <f t="shared" si="5"/>
        <v>359.87420045768147</v>
      </c>
      <c r="AN20" s="59">
        <f ca="1">AVERAGE(OFFSET($AM$3,0,0,'Données projet'!$E$10+1,1))-AVERAGE(OFFSET($H$3,0,0,'Données projet'!$E$10+1,1))</f>
        <v>365.13032894303285</v>
      </c>
      <c r="AO20" s="59">
        <f t="shared" si="36"/>
        <v>471.89239871617241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7.9</v>
      </c>
      <c r="N21" s="13">
        <f>IF('Données projet'!$A$36&gt;35,N20+M21-V20,IF(A21&lt;'Données projet'!$A$36,$K$205^A21,IF(A21='Données projet'!$A$36,'Données projet'!$B$36,N20+M21-V20)))</f>
        <v>95.233857990035276</v>
      </c>
      <c r="O21" s="13">
        <f>N21*VLOOKUP('Données projet'!$B$9,Paramètres!$A$1:$I$89,3,0)*VLOOKUP('Données projet'!$B$9,Paramètres!$A$1:$I$89,5,0)</f>
        <v>44.569445539336513</v>
      </c>
      <c r="P21" s="13">
        <f t="shared" si="33"/>
        <v>13.202049673437019</v>
      </c>
      <c r="Q21" s="20">
        <f t="shared" si="2"/>
        <v>100.61868749558056</v>
      </c>
      <c r="R21" s="59">
        <f t="shared" si="0"/>
        <v>393.95202082891387</v>
      </c>
      <c r="S21" s="59">
        <f ca="1">AVERAGE(OFFSET($R$3,0,0,'Données projet'!$E$9+1,1))-AVERAGE(OFFSET($H$3,0,0,'Données projet'!$E$9+1,1))</f>
        <v>226.0452828290525</v>
      </c>
      <c r="T21" s="59">
        <f t="shared" si="34"/>
        <v>179.89696397462069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13.4</v>
      </c>
      <c r="AI21" s="13">
        <f>IF('Données projet'!$A$62&gt;35,AI20+AH21-AQ20,IF(A21&lt;'Données projet'!$A$62,$AF$205^A21,IF(A21='Données projet'!$A$62,'Données projet'!$B$62,AI20+AH21-AQ20)))</f>
        <v>65.770669252668839</v>
      </c>
      <c r="AJ21" s="13">
        <f>AI21*VLOOKUP('Données projet'!$B$10,Paramètres!$A$1:$I$89,3,0)*VLOOKUP('Données projet'!$B$10,Paramètres!$A$1:$I$89,5,0)</f>
        <v>36.765804112241881</v>
      </c>
      <c r="AK21" s="13">
        <f t="shared" si="35"/>
        <v>11.137262199953007</v>
      </c>
      <c r="AL21" s="20">
        <f t="shared" si="4"/>
        <v>83.431173827072755</v>
      </c>
      <c r="AM21" s="59">
        <f t="shared" si="5"/>
        <v>376.76450716040608</v>
      </c>
      <c r="AN21" s="59">
        <f ca="1">AVERAGE(OFFSET($AM$3,0,0,'Données projet'!$E$10+1,1))-AVERAGE(OFFSET($H$3,0,0,'Données projet'!$E$10+1,1))</f>
        <v>365.13032894303285</v>
      </c>
      <c r="AO21" s="59">
        <f t="shared" si="36"/>
        <v>471.89239871617241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7.9</v>
      </c>
      <c r="N22" s="13">
        <f>IF('Données projet'!$A$36&gt;35,N21+M22-V21,IF(A22&lt;'Données projet'!$A$36,$K$205^A22,IF(A22='Données projet'!$A$36,'Données projet'!$B$36,N21+M22-V21)))</f>
        <v>122.66600817840934</v>
      </c>
      <c r="O22" s="13">
        <f>N22*VLOOKUP('Données projet'!$B$9,Paramètres!$A$1:$I$89,3,0)*VLOOKUP('Données projet'!$B$9,Paramètres!$A$1:$I$89,5,0)</f>
        <v>57.407691827495569</v>
      </c>
      <c r="P22" s="13">
        <f t="shared" si="33"/>
        <v>16.511176981334152</v>
      </c>
      <c r="Q22" s="20">
        <f t="shared" si="2"/>
        <v>128.7420298420451</v>
      </c>
      <c r="R22" s="59">
        <f t="shared" si="0"/>
        <v>422.07536317537841</v>
      </c>
      <c r="S22" s="59">
        <f ca="1">AVERAGE(OFFSET($R$3,0,0,'Données projet'!$E$9+1,1))-AVERAGE(OFFSET($H$3,0,0,'Données projet'!$E$9+1,1))</f>
        <v>226.0452828290525</v>
      </c>
      <c r="T22" s="59">
        <f t="shared" si="34"/>
        <v>179.89696397462069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13.4</v>
      </c>
      <c r="AI22" s="13">
        <f>IF('Données projet'!$A$62&gt;35,AI21+AH22-AQ21,IF(A22&lt;'Données projet'!$A$62,$AF$205^A22,IF(A22='Données projet'!$A$62,'Données projet'!$B$62,AI21+AH22-AQ21)))</f>
        <v>82.991583927124836</v>
      </c>
      <c r="AJ22" s="13">
        <f>AI22*VLOOKUP('Données projet'!$B$10,Paramètres!$A$1:$I$89,3,0)*VLOOKUP('Données projet'!$B$10,Paramètres!$A$1:$I$89,5,0)</f>
        <v>46.392295415262787</v>
      </c>
      <c r="AK22" s="13">
        <f t="shared" si="35"/>
        <v>13.678032391115355</v>
      </c>
      <c r="AL22" s="20">
        <f t="shared" si="4"/>
        <v>104.62248759610861</v>
      </c>
      <c r="AM22" s="59">
        <f t="shared" si="5"/>
        <v>397.95582092944193</v>
      </c>
      <c r="AN22" s="59">
        <f ca="1">AVERAGE(OFFSET($AM$3,0,0,'Données projet'!$E$10+1,1))-AVERAGE(OFFSET($H$3,0,0,'Données projet'!$E$10+1,1))</f>
        <v>365.13032894303285</v>
      </c>
      <c r="AO22" s="59">
        <f t="shared" si="36"/>
        <v>471.89239871617241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158</v>
      </c>
      <c r="L23" s="12">
        <f>VLOOKUP(A23,'Données projet'!$A$35:$I$55,9,0)</f>
        <v>7.9</v>
      </c>
      <c r="M23" s="12">
        <f t="array" ref="M23">INDEX(L:L,MIN(IF(ISNUMBER(L23:L219),ROW(L23:L219),"")))</f>
        <v>7.9</v>
      </c>
      <c r="N23" s="13">
        <f>IF('Données projet'!$A$36&gt;35,N22+M23-V22,IF(A23&lt;'Données projet'!$A$36,$K$205^A23,IF(A23='Données projet'!$A$36,'Données projet'!$B$36,N22+M23-V22)))</f>
        <v>158</v>
      </c>
      <c r="O23" s="13">
        <f>N23*VLOOKUP('Données projet'!$B$9,Paramètres!$A$1:$I$89,3,0)*VLOOKUP('Données projet'!$B$9,Paramètres!$A$1:$I$89,5,0)</f>
        <v>73.944000000000003</v>
      </c>
      <c r="P23" s="13">
        <f t="shared" si="33"/>
        <v>20.649745460165708</v>
      </c>
      <c r="Q23" s="20">
        <f t="shared" si="2"/>
        <v>164.75077334312192</v>
      </c>
      <c r="R23" s="59">
        <f t="shared" si="0"/>
        <v>458.08410667645524</v>
      </c>
      <c r="S23" s="59">
        <f ca="1">AVERAGE(OFFSET($R$3,0,0,'Données projet'!$E$9+1,1))-AVERAGE(OFFSET($H$3,0,0,'Données projet'!$E$9+1,1))</f>
        <v>226.0452828290525</v>
      </c>
      <c r="T23" s="59">
        <f t="shared" si="34"/>
        <v>179.89696397462069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39.5</v>
      </c>
      <c r="W23" s="16">
        <f>IF(ISNA(VLOOKUP(A23,'Données projet'!$A$35:$I$55,5,0)),0%,VLOOKUP(A23,'Données projet'!$A$35:$I$55,5,0)*VLOOKUP('Données projet'!$B$9,Paramètres!$A$1:$I$89,7,0))</f>
        <v>0.11000000000000001</v>
      </c>
      <c r="X23" s="16">
        <f>IF(ISNA(VLOOKUP(A23,'Données projet'!$A$35:$I$55,6,0)),0%,VLOOKUP(A23,'Données projet'!$A$35:$I$55,6,0)*VLOOKUP('Données projet'!$B$9,Paramètres!$A$1:$I$89,7,0))</f>
        <v>0.11000000000000001</v>
      </c>
      <c r="Y23" s="16">
        <f>IF(ISNA(VLOOKUP(A23,'Données projet'!$A$35:$I$55,7,0)),0%,VLOOKUP(A23,'Données projet'!$A$35:$I$55,7,0))</f>
        <v>0.6</v>
      </c>
      <c r="Z23" s="21">
        <f>EXP(-LN(2)/35)*Z22+(1-EXP(-LN(2)/35))/(LN(2)/35)*V23*W23*VLOOKUP('Données projet'!$B$9,Paramètres!$A$1:$I$89,3,0)*0.475*44/12</f>
        <v>2.6975157575580879</v>
      </c>
      <c r="AA23" s="21">
        <f>EXP(-LN(2)/25)*AA22+(1-EXP(-LN(2)/25))/(LN(2)/25)*Calculateur!V23*Calculateur!X23*VLOOKUP('Données projet'!$B$9,Paramètres!$A$1:$I$89,3,0)*0.475*44/12</f>
        <v>2.686894610186497</v>
      </c>
      <c r="AB23" s="21">
        <f>EXP(-LN(2)/2)*AB22+(1-EXP(-LN(2)/2))/(LN(2)/2)*V23*Y23*VLOOKUP('Données projet'!$B$9,Paramètres!$A$1:$I$89,3,0)*0.475*44/12</f>
        <v>12.558267751244545</v>
      </c>
      <c r="AC23" s="22">
        <f t="shared" si="3"/>
        <v>17.942678118989129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13.4</v>
      </c>
      <c r="AI23" s="13">
        <f>IF('Données projet'!$A$62&gt;35,AI22+AH23-AQ22,IF(A23&lt;'Données projet'!$A$62,$AF$205^A23,IF(A23='Données projet'!$A$62,'Données projet'!$B$62,AI22+AH23-AQ22)))</f>
        <v>104.72149791076546</v>
      </c>
      <c r="AJ23" s="13">
        <f>AI23*VLOOKUP('Données projet'!$B$10,Paramètres!$A$1:$I$89,3,0)*VLOOKUP('Données projet'!$B$10,Paramètres!$A$1:$I$89,5,0)</f>
        <v>58.539317332117896</v>
      </c>
      <c r="AK23" s="13">
        <f t="shared" si="35"/>
        <v>16.798434546435502</v>
      </c>
      <c r="AL23" s="20">
        <f t="shared" si="4"/>
        <v>131.21325118848048</v>
      </c>
      <c r="AM23" s="59">
        <f t="shared" si="5"/>
        <v>424.54658452181377</v>
      </c>
      <c r="AN23" s="59">
        <f ca="1">AVERAGE(OFFSET($AM$3,0,0,'Données projet'!$E$10+1,1))-AVERAGE(OFFSET($H$3,0,0,'Données projet'!$E$10+1,1))</f>
        <v>365.13032894303285</v>
      </c>
      <c r="AO23" s="59">
        <f t="shared" si="36"/>
        <v>471.89239871617241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9.1999999999999993</v>
      </c>
      <c r="N24" s="13">
        <f>IF('Données projet'!$A$36&gt;35,N23+M24-V23,IF(A24&lt;'Données projet'!$A$36,$K$205^A24,IF(A24='Données projet'!$A$36,'Données projet'!$B$36,N23+M24-V23)))</f>
        <v>127.69999999999999</v>
      </c>
      <c r="O24" s="13">
        <f>N24*VLOOKUP('Données projet'!$B$9,Paramètres!$A$1:$I$89,3,0)*VLOOKUP('Données projet'!$B$9,Paramètres!$A$1:$I$89,5,0)</f>
        <v>59.763599999999997</v>
      </c>
      <c r="P24" s="13">
        <f t="shared" si="33"/>
        <v>17.108485949725164</v>
      </c>
      <c r="Q24" s="20">
        <f t="shared" si="2"/>
        <v>133.88554969577129</v>
      </c>
      <c r="R24" s="59">
        <f t="shared" si="0"/>
        <v>427.21888302910463</v>
      </c>
      <c r="S24" s="59">
        <f ca="1">AVERAGE(OFFSET($R$3,0,0,'Données projet'!$E$9+1,1))-AVERAGE(OFFSET($H$3,0,0,'Données projet'!$E$9+1,1))</f>
        <v>226.0452828290525</v>
      </c>
      <c r="T24" s="59">
        <f t="shared" si="34"/>
        <v>179.89696397462069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2.6446191188745241</v>
      </c>
      <c r="AA24" s="21">
        <f>EXP(-LN(2)/25)*AA23+(1-EXP(-LN(2)/25))/(LN(2)/25)*Calculateur!V24*Calculateur!X24*VLOOKUP('Données projet'!$B$9,Paramètres!$A$1:$I$89,3,0)*0.475*44/12</f>
        <v>2.6134213357733005</v>
      </c>
      <c r="AB24" s="21">
        <f>EXP(-LN(2)/2)*AB23+(1-EXP(-LN(2)/2))/(LN(2)/2)*V24*Y24*VLOOKUP('Données projet'!$B$9,Paramètres!$A$1:$I$89,3,0)*0.475*44/12</f>
        <v>8.8800362868613529</v>
      </c>
      <c r="AC24" s="22">
        <f t="shared" si="3"/>
        <v>14.138076741509177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13.4</v>
      </c>
      <c r="AI24" s="13">
        <f>IF('Données projet'!$A$62&gt;35,AI23+AH24-AQ23,IF(A24&lt;'Données projet'!$A$62,$AF$205^A24,IF(A24='Données projet'!$A$62,'Données projet'!$B$62,AI23+AH24-AQ23)))</f>
        <v>132.1410148564492</v>
      </c>
      <c r="AJ24" s="13">
        <f>AI24*VLOOKUP('Données projet'!$B$10,Paramètres!$A$1:$I$89,3,0)*VLOOKUP('Données projet'!$B$10,Paramètres!$A$1:$I$89,5,0)</f>
        <v>73.866827304755105</v>
      </c>
      <c r="AK24" s="13">
        <f t="shared" si="35"/>
        <v>20.630701488481218</v>
      </c>
      <c r="AL24" s="20">
        <f t="shared" si="4"/>
        <v>164.58319598155325</v>
      </c>
      <c r="AM24" s="59">
        <f t="shared" si="5"/>
        <v>457.91652931488659</v>
      </c>
      <c r="AN24" s="59">
        <f ca="1">AVERAGE(OFFSET($AM$3,0,0,'Données projet'!$E$10+1,1))-AVERAGE(OFFSET($H$3,0,0,'Données projet'!$E$10+1,1))</f>
        <v>365.13032894303285</v>
      </c>
      <c r="AO24" s="59">
        <f t="shared" si="36"/>
        <v>471.89239871617241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9.1999999999999993</v>
      </c>
      <c r="N25" s="13">
        <f>IF('Données projet'!$A$36&gt;35,N24+M25-V24,IF(A25&lt;'Données projet'!$A$36,$K$205^A25,IF(A25='Données projet'!$A$36,'Données projet'!$B$36,N24+M25-V24)))</f>
        <v>136.89999999999998</v>
      </c>
      <c r="O25" s="13">
        <f>N25*VLOOKUP('Données projet'!$B$9,Paramètres!$A$1:$I$89,3,0)*VLOOKUP('Données projet'!$B$9,Paramètres!$A$1:$I$89,5,0)</f>
        <v>64.069199999999995</v>
      </c>
      <c r="P25" s="13">
        <f t="shared" si="33"/>
        <v>18.193128517714101</v>
      </c>
      <c r="Q25" s="20">
        <f t="shared" si="2"/>
        <v>143.27355550168537</v>
      </c>
      <c r="R25" s="59">
        <f t="shared" si="0"/>
        <v>436.60688883501871</v>
      </c>
      <c r="S25" s="59">
        <f ca="1">AVERAGE(OFFSET($R$3,0,0,'Données projet'!$E$9+1,1))-AVERAGE(OFFSET($H$3,0,0,'Données projet'!$E$9+1,1))</f>
        <v>226.0452828290525</v>
      </c>
      <c r="T25" s="59">
        <f t="shared" si="34"/>
        <v>179.89696397462069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2.5927597510117808</v>
      </c>
      <c r="AA25" s="21">
        <f>EXP(-LN(2)/25)*AA24+(1-EXP(-LN(2)/25))/(LN(2)/25)*Calculateur!V25*Calculateur!X25*VLOOKUP('Données projet'!$B$9,Paramètres!$A$1:$I$89,3,0)*0.475*44/12</f>
        <v>2.5419571919127244</v>
      </c>
      <c r="AB25" s="21">
        <f>EXP(-LN(2)/2)*AB24+(1-EXP(-LN(2)/2))/(LN(2)/2)*V25*Y25*VLOOKUP('Données projet'!$B$9,Paramètres!$A$1:$I$89,3,0)*0.475*44/12</f>
        <v>6.2791338756222732</v>
      </c>
      <c r="AC25" s="22">
        <f t="shared" si="3"/>
        <v>11.413850818546779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13.4</v>
      </c>
      <c r="AI25" s="13">
        <f>IF('Données projet'!$A$62&gt;35,AI24+AH25-AQ24,IF(A25&lt;'Données projet'!$A$62,$AF$205^A25,IF(A25='Données projet'!$A$62,'Données projet'!$B$62,AI24+AH25-AQ24)))</f>
        <v>166.73985910869308</v>
      </c>
      <c r="AJ25" s="13">
        <f>AI25*VLOOKUP('Données projet'!$B$10,Paramètres!$A$1:$I$89,3,0)*VLOOKUP('Données projet'!$B$10,Paramètres!$A$1:$I$89,5,0)</f>
        <v>93.207581241759442</v>
      </c>
      <c r="AK25" s="13">
        <f t="shared" si="35"/>
        <v>25.337232629044916</v>
      </c>
      <c r="AL25" s="20">
        <f t="shared" si="4"/>
        <v>206.46555082498423</v>
      </c>
      <c r="AM25" s="59">
        <f t="shared" si="5"/>
        <v>499.79888415831755</v>
      </c>
      <c r="AN25" s="59">
        <f ca="1">AVERAGE(OFFSET($AM$3,0,0,'Données projet'!$E$10+1,1))-AVERAGE(OFFSET($H$3,0,0,'Données projet'!$E$10+1,1))</f>
        <v>365.13032894303285</v>
      </c>
      <c r="AO25" s="59">
        <f t="shared" si="36"/>
        <v>471.89239871617241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9.1999999999999993</v>
      </c>
      <c r="N26" s="13">
        <f>IF('Données projet'!$A$36&gt;35,N25+M26-V25,IF(A26&lt;'Données projet'!$A$36,$K$205^A26,IF(A26='Données projet'!$A$36,'Données projet'!$B$36,N25+M26-V25)))</f>
        <v>146.09999999999997</v>
      </c>
      <c r="O26" s="13">
        <f>N26*VLOOKUP('Données projet'!$B$9,Paramètres!$A$1:$I$89,3,0)*VLOOKUP('Données projet'!$B$9,Paramètres!$A$1:$I$89,5,0)</f>
        <v>68.374799999999979</v>
      </c>
      <c r="P26" s="13">
        <f t="shared" si="33"/>
        <v>19.269313009600907</v>
      </c>
      <c r="Q26" s="20">
        <f t="shared" si="2"/>
        <v>152.64683015838821</v>
      </c>
      <c r="R26" s="59">
        <f t="shared" si="0"/>
        <v>445.98016349172156</v>
      </c>
      <c r="S26" s="59">
        <f ca="1">AVERAGE(OFFSET($R$3,0,0,'Données projet'!$E$9+1,1))-AVERAGE(OFFSET($H$3,0,0,'Données projet'!$E$9+1,1))</f>
        <v>226.0452828290525</v>
      </c>
      <c r="T26" s="59">
        <f t="shared" si="34"/>
        <v>179.89696397462069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2.541917313721735</v>
      </c>
      <c r="AA26" s="21">
        <f>EXP(-LN(2)/25)*AA25+(1-EXP(-LN(2)/25))/(LN(2)/25)*Calculateur!V26*Calculateur!X26*VLOOKUP('Données projet'!$B$9,Paramètres!$A$1:$I$89,3,0)*0.475*44/12</f>
        <v>2.4724472388241518</v>
      </c>
      <c r="AB26" s="21">
        <f>EXP(-LN(2)/2)*AB25+(1-EXP(-LN(2)/2))/(LN(2)/2)*V26*Y26*VLOOKUP('Données projet'!$B$9,Paramètres!$A$1:$I$89,3,0)*0.475*44/12</f>
        <v>4.4400181434306774</v>
      </c>
      <c r="AC26" s="22">
        <f t="shared" si="3"/>
        <v>9.4543826959765642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13.4</v>
      </c>
      <c r="AI26" s="13">
        <f>IF('Données projet'!$A$62&gt;35,AI25+AH26-AQ25,IF(A26&lt;'Données projet'!$A$62,$AF$205^A26,IF(A26='Données projet'!$A$62,'Données projet'!$B$62,AI25+AH26-AQ25)))</f>
        <v>210.39781362198246</v>
      </c>
      <c r="AJ26" s="13">
        <f>AI26*VLOOKUP('Données projet'!$B$10,Paramètres!$A$1:$I$89,3,0)*VLOOKUP('Données projet'!$B$10,Paramètres!$A$1:$I$89,5,0)</f>
        <v>117.6123778146882</v>
      </c>
      <c r="AK26" s="13">
        <f t="shared" si="35"/>
        <v>31.11747594509929</v>
      </c>
      <c r="AL26" s="20">
        <f t="shared" si="4"/>
        <v>259.03782863162985</v>
      </c>
      <c r="AM26" s="59">
        <f t="shared" si="5"/>
        <v>552.37116196496322</v>
      </c>
      <c r="AN26" s="59">
        <f ca="1">AVERAGE(OFFSET($AM$3,0,0,'Données projet'!$E$10+1,1))-AVERAGE(OFFSET($H$3,0,0,'Données projet'!$E$10+1,1))</f>
        <v>365.13032894303285</v>
      </c>
      <c r="AO26" s="59">
        <f t="shared" si="36"/>
        <v>471.89239871617241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9.1999999999999993</v>
      </c>
      <c r="N27" s="13">
        <f>IF('Données projet'!$A$36&gt;35,N26+M27-V26,IF(A27&lt;'Données projet'!$A$36,$K$205^A27,IF(A27='Données projet'!$A$36,'Données projet'!$B$36,N26+M27-V26)))</f>
        <v>155.29999999999995</v>
      </c>
      <c r="O27" s="13">
        <f>N27*VLOOKUP('Données projet'!$B$9,Paramètres!$A$1:$I$89,3,0)*VLOOKUP('Données projet'!$B$9,Paramètres!$A$1:$I$89,5,0)</f>
        <v>72.680399999999977</v>
      </c>
      <c r="P27" s="13">
        <f t="shared" si="33"/>
        <v>20.337632665681216</v>
      </c>
      <c r="Q27" s="20">
        <f t="shared" si="2"/>
        <v>162.00640689272805</v>
      </c>
      <c r="R27" s="59">
        <f t="shared" si="0"/>
        <v>455.33974022606139</v>
      </c>
      <c r="S27" s="59">
        <f ca="1">AVERAGE(OFFSET($R$3,0,0,'Données projet'!$E$9+1,1))-AVERAGE(OFFSET($H$3,0,0,'Données projet'!$E$9+1,1))</f>
        <v>226.0452828290525</v>
      </c>
      <c r="T27" s="59">
        <f t="shared" si="34"/>
        <v>179.89696397462069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2.492071865616122</v>
      </c>
      <c r="AA27" s="21">
        <f>EXP(-LN(2)/25)*AA26+(1-EXP(-LN(2)/25))/(LN(2)/25)*Calculateur!V27*Calculateur!X27*VLOOKUP('Données projet'!$B$9,Paramètres!$A$1:$I$89,3,0)*0.475*44/12</f>
        <v>2.4048380390581561</v>
      </c>
      <c r="AB27" s="21">
        <f>EXP(-LN(2)/2)*AB26+(1-EXP(-LN(2)/2))/(LN(2)/2)*V27*Y27*VLOOKUP('Données projet'!$B$9,Paramètres!$A$1:$I$89,3,0)*0.475*44/12</f>
        <v>3.139566937811137</v>
      </c>
      <c r="AC27" s="22">
        <f t="shared" si="3"/>
        <v>8.0364768424854152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13.4</v>
      </c>
      <c r="AI27" s="13">
        <f>IF('Données projet'!$A$62&gt;35,AI26+AH27-AQ26,IF(A27&lt;'Données projet'!$A$62,$AF$205^A27,IF(A27='Données projet'!$A$62,'Données projet'!$B$62,AI26+AH27-AQ26)))</f>
        <v>265.48685007616501</v>
      </c>
      <c r="AJ27" s="13">
        <f>AI27*VLOOKUP('Données projet'!$B$10,Paramètres!$A$1:$I$89,3,0)*VLOOKUP('Données projet'!$B$10,Paramètres!$A$1:$I$89,5,0)</f>
        <v>148.40714919257624</v>
      </c>
      <c r="AK27" s="13">
        <f t="shared" si="35"/>
        <v>38.216379956343033</v>
      </c>
      <c r="AL27" s="20">
        <f t="shared" si="4"/>
        <v>325.03597993436773</v>
      </c>
      <c r="AM27" s="59">
        <f t="shared" si="5"/>
        <v>618.36931326770105</v>
      </c>
      <c r="AN27" s="59">
        <f ca="1">AVERAGE(OFFSET($AM$3,0,0,'Données projet'!$E$10+1,1))-AVERAGE(OFFSET($H$3,0,0,'Données projet'!$E$10+1,1))</f>
        <v>365.13032894303285</v>
      </c>
      <c r="AO27" s="59">
        <f t="shared" si="36"/>
        <v>471.89239871617241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9.1999999999999993</v>
      </c>
      <c r="N28" s="13">
        <f>IF('Données projet'!$A$36&gt;35,N27+M28-V27,IF(A28&lt;'Données projet'!$A$36,$K$205^A28,IF(A28='Données projet'!$A$36,'Données projet'!$B$36,N27+M28-V27)))</f>
        <v>164.49999999999994</v>
      </c>
      <c r="O28" s="13">
        <f>N28*VLOOKUP('Données projet'!$B$9,Paramètres!$A$1:$I$89,3,0)*VLOOKUP('Données projet'!$B$9,Paramètres!$A$1:$I$89,5,0)</f>
        <v>76.985999999999976</v>
      </c>
      <c r="P28" s="13">
        <f t="shared" si="33"/>
        <v>21.398606468170591</v>
      </c>
      <c r="Q28" s="20">
        <f t="shared" si="2"/>
        <v>171.35318959873041</v>
      </c>
      <c r="R28" s="59">
        <f t="shared" si="0"/>
        <v>464.68652293206372</v>
      </c>
      <c r="S28" s="59">
        <f ca="1">AVERAGE(OFFSET($R$3,0,0,'Données projet'!$E$9+1,1))-AVERAGE(OFFSET($H$3,0,0,'Données projet'!$E$9+1,1))</f>
        <v>226.0452828290525</v>
      </c>
      <c r="T28" s="59">
        <f t="shared" si="34"/>
        <v>179.89696397462069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2.4432038563451388</v>
      </c>
      <c r="AA28" s="21">
        <f>EXP(-LN(2)/25)*AA27+(1-EXP(-LN(2)/25))/(LN(2)/25)*Calculateur!V28*Calculateur!X28*VLOOKUP('Données projet'!$B$9,Paramètres!$A$1:$I$89,3,0)*0.475*44/12</f>
        <v>2.3390776164151745</v>
      </c>
      <c r="AB28" s="21">
        <f>EXP(-LN(2)/2)*AB27+(1-EXP(-LN(2)/2))/(LN(2)/2)*V28*Y28*VLOOKUP('Données projet'!$B$9,Paramètres!$A$1:$I$89,3,0)*0.475*44/12</f>
        <v>2.2200090717153387</v>
      </c>
      <c r="AC28" s="22">
        <f t="shared" si="3"/>
        <v>7.0022905444756525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335</v>
      </c>
      <c r="AG28" s="12">
        <f>VLOOKUP(A28,'Données projet'!$A$61:$I$81,9,0)</f>
        <v>13.4</v>
      </c>
      <c r="AH28" s="12">
        <f t="array" ref="AH28">INDEX(AG:AG,MIN(IF(ISNUMBER(AG28:AG224),ROW(AG28:AG224),"")))</f>
        <v>13.4</v>
      </c>
      <c r="AI28" s="13">
        <f>IF('Données projet'!$A$62&gt;35,AI27+AH28-AQ27,IF(A28&lt;'Données projet'!$A$62,$AF$205^A28,IF(A28='Données projet'!$A$62,'Données projet'!$B$62,AI27+AH28-AQ27)))</f>
        <v>335</v>
      </c>
      <c r="AJ28" s="13">
        <f>AI28*VLOOKUP('Données projet'!$B$10,Paramètres!$A$1:$I$89,3,0)*VLOOKUP('Données projet'!$B$10,Paramètres!$A$1:$I$89,5,0)</f>
        <v>187.26500000000001</v>
      </c>
      <c r="AK28" s="13">
        <f t="shared" si="35"/>
        <v>46.934773872544483</v>
      </c>
      <c r="AL28" s="20">
        <f t="shared" si="4"/>
        <v>407.89793949468162</v>
      </c>
      <c r="AM28" s="59">
        <f t="shared" si="5"/>
        <v>701.23127282801488</v>
      </c>
      <c r="AN28" s="59">
        <f ca="1">AVERAGE(OFFSET($AM$3,0,0,'Données projet'!$E$10+1,1))-AVERAGE(OFFSET($H$3,0,0,'Données projet'!$E$10+1,1))</f>
        <v>365.13032894303285</v>
      </c>
      <c r="AO28" s="59">
        <f t="shared" si="36"/>
        <v>471.89239871617241</v>
      </c>
      <c r="AP28" s="15">
        <f>IF(ISNA(VLOOKUP(A28,'Données projet'!$A$61:$I$81,3,0)),0,VLOOKUP(A28,'Données projet'!$A$61:$I$81,3,0))</f>
        <v>1</v>
      </c>
      <c r="AQ28" s="15">
        <f>IF(ISNA(VLOOKUP(A28,'Données projet'!$A$61:$I$81,4,0)),0,VLOOKUP(A28,'Données projet'!$A$61:$I$81,4,0))</f>
        <v>54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0.22000000000000003</v>
      </c>
      <c r="AT28" s="16">
        <f>IF(ISNA(VLOOKUP(A28,'Données projet'!$A$61:$I$81,7,0)),0%,VLOOKUP(A28,'Données projet'!$A$61:$I$81,7,0))</f>
        <v>0.6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8.7749216383305857</v>
      </c>
      <c r="AW28" s="21">
        <f>EXP(-LN(2)/2)*AW27+(1-EXP(-LN(2)/2))/(LN(2)/2)*AQ28*AT28*VLOOKUP('Données projet'!$B$10,Paramètres!$A$1:$I$89,3,0)*0.475*44/12</f>
        <v>20.506538479880337</v>
      </c>
      <c r="AX28" s="21">
        <f t="shared" si="6"/>
        <v>29.281460118210923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9.1999999999999993</v>
      </c>
      <c r="N29" s="13">
        <f>IF('Données projet'!$A$36&gt;35,N28+M29-V28,IF(A29&lt;'Données projet'!$A$36,$K$205^A29,IF(A29='Données projet'!$A$36,'Données projet'!$B$36,N28+M29-V28)))</f>
        <v>173.69999999999993</v>
      </c>
      <c r="O29" s="13">
        <f>N29*VLOOKUP('Données projet'!$B$9,Paramètres!$A$1:$I$89,3,0)*VLOOKUP('Données projet'!$B$9,Paramètres!$A$1:$I$89,5,0)</f>
        <v>81.291599999999974</v>
      </c>
      <c r="P29" s="13">
        <f t="shared" si="33"/>
        <v>22.452692070336486</v>
      </c>
      <c r="Q29" s="20">
        <f t="shared" si="2"/>
        <v>180.68797535583599</v>
      </c>
      <c r="R29" s="59">
        <f t="shared" si="0"/>
        <v>474.0213086891693</v>
      </c>
      <c r="S29" s="59">
        <f ca="1">AVERAGE(OFFSET($R$3,0,0,'Données projet'!$E$9+1,1))-AVERAGE(OFFSET($H$3,0,0,'Données projet'!$E$9+1,1))</f>
        <v>226.0452828290525</v>
      </c>
      <c r="T29" s="59">
        <f t="shared" si="34"/>
        <v>179.89696397462069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2.3952941189294172</v>
      </c>
      <c r="AA29" s="21">
        <f>EXP(-LN(2)/25)*AA28+(1-EXP(-LN(2)/25))/(LN(2)/25)*Calculateur!V29*Calculateur!X29*VLOOKUP('Données projet'!$B$9,Paramètres!$A$1:$I$89,3,0)*0.475*44/12</f>
        <v>2.275115415987556</v>
      </c>
      <c r="AB29" s="21">
        <f>EXP(-LN(2)/2)*AB28+(1-EXP(-LN(2)/2))/(LN(2)/2)*V29*Y29*VLOOKUP('Données projet'!$B$9,Paramètres!$A$1:$I$89,3,0)*0.475*44/12</f>
        <v>1.5697834689055685</v>
      </c>
      <c r="AC29" s="22">
        <f t="shared" si="3"/>
        <v>6.2401930038225419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28</v>
      </c>
      <c r="AI29" s="13">
        <f>IF('Données projet'!$A$62&gt;35,AI28+AH29-AQ28,IF(A29&lt;'Données projet'!$A$62,$AF$205^A29,IF(A29='Données projet'!$A$62,'Données projet'!$B$62,AI28+AH29-AQ28)))</f>
        <v>309</v>
      </c>
      <c r="AJ29" s="13">
        <f>AI29*VLOOKUP('Données projet'!$B$10,Paramètres!$A$1:$I$89,3,0)*VLOOKUP('Données projet'!$B$10,Paramètres!$A$1:$I$89,5,0)</f>
        <v>172.73100000000002</v>
      </c>
      <c r="AK29" s="13">
        <f t="shared" si="35"/>
        <v>43.701108252019125</v>
      </c>
      <c r="AL29" s="20">
        <f t="shared" si="4"/>
        <v>376.9525885389333</v>
      </c>
      <c r="AM29" s="59">
        <f t="shared" si="5"/>
        <v>670.28592187226661</v>
      </c>
      <c r="AN29" s="59">
        <f ca="1">AVERAGE(OFFSET($AM$3,0,0,'Données projet'!$E$10+1,1))-AVERAGE(OFFSET($H$3,0,0,'Données projet'!$E$10+1,1))</f>
        <v>365.13032894303285</v>
      </c>
      <c r="AO29" s="59">
        <f t="shared" si="36"/>
        <v>471.89239871617241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8.5349709446773616</v>
      </c>
      <c r="AW29" s="21">
        <f>EXP(-LN(2)/2)*AW28+(1-EXP(-LN(2)/2))/(LN(2)/2)*AQ29*AT29*VLOOKUP('Données projet'!$B$10,Paramètres!$A$1:$I$89,3,0)*0.475*44/12</f>
        <v>14.500312417786263</v>
      </c>
      <c r="AX29" s="21">
        <f t="shared" si="6"/>
        <v>23.035283362463623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9.1999999999999993</v>
      </c>
      <c r="N30" s="13">
        <f>IF('Données projet'!$A$36&gt;35,N29+M30-V29,IF(A30&lt;'Données projet'!$A$36,$K$205^A30,IF(A30='Données projet'!$A$36,'Données projet'!$B$36,N29+M30-V29)))</f>
        <v>182.89999999999992</v>
      </c>
      <c r="O30" s="13">
        <f>N30*VLOOKUP('Données projet'!$B$9,Paramètres!$A$1:$I$89,3,0)*VLOOKUP('Données projet'!$B$9,Paramètres!$A$1:$I$89,5,0)</f>
        <v>85.597199999999958</v>
      </c>
      <c r="P30" s="13">
        <f t="shared" si="33"/>
        <v>23.500295908287228</v>
      </c>
      <c r="Q30" s="20">
        <f t="shared" si="2"/>
        <v>190.01147204026685</v>
      </c>
      <c r="R30" s="59">
        <f t="shared" si="0"/>
        <v>483.34480537360014</v>
      </c>
      <c r="S30" s="59">
        <f ca="1">AVERAGE(OFFSET($R$3,0,0,'Données projet'!$E$9+1,1))-AVERAGE(OFFSET($H$3,0,0,'Données projet'!$E$9+1,1))</f>
        <v>226.0452828290525</v>
      </c>
      <c r="T30" s="59">
        <f t="shared" si="34"/>
        <v>179.89696397462069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2.3483238622423634</v>
      </c>
      <c r="AA30" s="21">
        <f>EXP(-LN(2)/25)*AA29+(1-EXP(-LN(2)/25))/(LN(2)/25)*Calculateur!V30*Calculateur!X30*VLOOKUP('Données projet'!$B$9,Paramètres!$A$1:$I$89,3,0)*0.475*44/12</f>
        <v>2.2129022652942565</v>
      </c>
      <c r="AB30" s="21">
        <f>EXP(-LN(2)/2)*AB29+(1-EXP(-LN(2)/2))/(LN(2)/2)*V30*Y30*VLOOKUP('Données projet'!$B$9,Paramètres!$A$1:$I$89,3,0)*0.475*44/12</f>
        <v>1.1100045358576693</v>
      </c>
      <c r="AC30" s="22">
        <f t="shared" si="3"/>
        <v>5.6712306633942893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28</v>
      </c>
      <c r="AI30" s="13">
        <f>IF('Données projet'!$A$62&gt;35,AI29+AH30-AQ29,IF(A30&lt;'Données projet'!$A$62,$AF$205^A30,IF(A30='Données projet'!$A$62,'Données projet'!$B$62,AI29+AH30-AQ29)))</f>
        <v>337</v>
      </c>
      <c r="AJ30" s="13">
        <f>AI30*VLOOKUP('Données projet'!$B$10,Paramètres!$A$1:$I$89,3,0)*VLOOKUP('Données projet'!$B$10,Paramètres!$A$1:$I$89,5,0)</f>
        <v>188.38300000000001</v>
      </c>
      <c r="AK30" s="13">
        <f t="shared" si="35"/>
        <v>47.182279474248382</v>
      </c>
      <c r="AL30" s="20">
        <f t="shared" si="4"/>
        <v>410.27619508431599</v>
      </c>
      <c r="AM30" s="59">
        <f t="shared" si="5"/>
        <v>703.60952841764924</v>
      </c>
      <c r="AN30" s="59">
        <f ca="1">AVERAGE(OFFSET($AM$3,0,0,'Données projet'!$E$10+1,1))-AVERAGE(OFFSET($H$3,0,0,'Données projet'!$E$10+1,1))</f>
        <v>365.13032894303285</v>
      </c>
      <c r="AO30" s="59">
        <f t="shared" si="36"/>
        <v>471.89239871617241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8.3015817153605447</v>
      </c>
      <c r="AW30" s="21">
        <f>EXP(-LN(2)/2)*AW29+(1-EXP(-LN(2)/2))/(LN(2)/2)*AQ30*AT30*VLOOKUP('Données projet'!$B$10,Paramètres!$A$1:$I$89,3,0)*0.475*44/12</f>
        <v>10.25326923994017</v>
      </c>
      <c r="AX30" s="21">
        <f t="shared" si="6"/>
        <v>18.554850955300715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9.1999999999999993</v>
      </c>
      <c r="N31" s="13">
        <f>IF('Données projet'!$A$36&gt;35,N30+M31-V30,IF(A31&lt;'Données projet'!$A$36,$K$205^A31,IF(A31='Données projet'!$A$36,'Données projet'!$B$36,N30+M31-V30)))</f>
        <v>192.09999999999991</v>
      </c>
      <c r="O31" s="13">
        <f>N31*VLOOKUP('Données projet'!$B$9,Paramètres!$A$1:$I$89,3,0)*VLOOKUP('Données projet'!$B$9,Paramètres!$A$1:$I$89,5,0)</f>
        <v>89.902799999999957</v>
      </c>
      <c r="P31" s="13">
        <f t="shared" si="33"/>
        <v>24.541781220398729</v>
      </c>
      <c r="Q31" s="20">
        <f t="shared" si="2"/>
        <v>199.32431229219435</v>
      </c>
      <c r="R31" s="59">
        <f t="shared" si="0"/>
        <v>492.65764562552766</v>
      </c>
      <c r="S31" s="59">
        <f ca="1">AVERAGE(OFFSET($R$3,0,0,'Données projet'!$E$9+1,1))-AVERAGE(OFFSET($H$3,0,0,'Données projet'!$E$9+1,1))</f>
        <v>226.0452828290525</v>
      </c>
      <c r="T31" s="59">
        <f t="shared" si="34"/>
        <v>179.89696397462069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2.3022746636399152</v>
      </c>
      <c r="AA31" s="21">
        <f>EXP(-LN(2)/25)*AA30+(1-EXP(-LN(2)/25))/(LN(2)/25)*Calculateur!V31*Calculateur!X31*VLOOKUP('Données projet'!$B$9,Paramètres!$A$1:$I$89,3,0)*0.475*44/12</f>
        <v>2.1523903364783123</v>
      </c>
      <c r="AB31" s="21">
        <f>EXP(-LN(2)/2)*AB30+(1-EXP(-LN(2)/2))/(LN(2)/2)*V31*Y31*VLOOKUP('Données projet'!$B$9,Paramètres!$A$1:$I$89,3,0)*0.475*44/12</f>
        <v>0.78489173445278426</v>
      </c>
      <c r="AC31" s="22">
        <f t="shared" si="3"/>
        <v>5.2395567345710115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28</v>
      </c>
      <c r="AI31" s="13">
        <f>IF('Données projet'!$A$62&gt;35,AI30+AH31-AQ30,IF(A31&lt;'Données projet'!$A$62,$AF$205^A31,IF(A31='Données projet'!$A$62,'Données projet'!$B$62,AI30+AH31-AQ30)))</f>
        <v>365</v>
      </c>
      <c r="AJ31" s="13">
        <f>AI31*VLOOKUP('Données projet'!$B$10,Paramètres!$A$1:$I$89,3,0)*VLOOKUP('Données projet'!$B$10,Paramètres!$A$1:$I$89,5,0)</f>
        <v>204.035</v>
      </c>
      <c r="AK31" s="13">
        <f t="shared" si="35"/>
        <v>50.629905099971396</v>
      </c>
      <c r="AL31" s="20">
        <f t="shared" si="4"/>
        <v>443.54137638245015</v>
      </c>
      <c r="AM31" s="59">
        <f t="shared" si="5"/>
        <v>736.87470971578341</v>
      </c>
      <c r="AN31" s="59">
        <f ca="1">AVERAGE(OFFSET($AM$3,0,0,'Données projet'!$E$10+1,1))-AVERAGE(OFFSET($H$3,0,0,'Données projet'!$E$10+1,1))</f>
        <v>365.13032894303285</v>
      </c>
      <c r="AO31" s="59">
        <f t="shared" si="36"/>
        <v>471.89239871617241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8.0745745267928015</v>
      </c>
      <c r="AW31" s="21">
        <f>EXP(-LN(2)/2)*AW30+(1-EXP(-LN(2)/2))/(LN(2)/2)*AQ31*AT31*VLOOKUP('Données projet'!$B$10,Paramètres!$A$1:$I$89,3,0)*0.475*44/12</f>
        <v>7.2501562088931326</v>
      </c>
      <c r="AX31" s="21">
        <f t="shared" si="6"/>
        <v>15.324730735685934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9.1999999999999993</v>
      </c>
      <c r="N32" s="13">
        <f>IF('Données projet'!$A$36&gt;35,N31+M32-V31,IF(A32&lt;'Données projet'!$A$36,$K$205^A32,IF(A32='Données projet'!$A$36,'Données projet'!$B$36,N31+M32-V31)))</f>
        <v>201.2999999999999</v>
      </c>
      <c r="O32" s="13">
        <f>N32*VLOOKUP('Données projet'!$B$9,Paramètres!$A$1:$I$89,3,0)*VLOOKUP('Données projet'!$B$9,Paramètres!$A$1:$I$89,5,0)</f>
        <v>94.208399999999955</v>
      </c>
      <c r="P32" s="13">
        <f t="shared" si="33"/>
        <v>25.577474486943441</v>
      </c>
      <c r="Q32" s="20">
        <f t="shared" si="2"/>
        <v>208.62706473142643</v>
      </c>
      <c r="R32" s="59">
        <f t="shared" si="0"/>
        <v>501.96039806475972</v>
      </c>
      <c r="S32" s="59">
        <f ca="1">AVERAGE(OFFSET($R$3,0,0,'Données projet'!$E$9+1,1))-AVERAGE(OFFSET($H$3,0,0,'Données projet'!$E$9+1,1))</f>
        <v>226.0452828290525</v>
      </c>
      <c r="T32" s="59">
        <f t="shared" si="34"/>
        <v>179.89696397462069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2.2571284617348231</v>
      </c>
      <c r="AA32" s="21">
        <f>EXP(-LN(2)/25)*AA31+(1-EXP(-LN(2)/25))/(LN(2)/25)*Calculateur!V32*Calculateur!X32*VLOOKUP('Données projet'!$B$9,Paramètres!$A$1:$I$89,3,0)*0.475*44/12</f>
        <v>2.0935331095380243</v>
      </c>
      <c r="AB32" s="21">
        <f>EXP(-LN(2)/2)*AB31+(1-EXP(-LN(2)/2))/(LN(2)/2)*V32*Y32*VLOOKUP('Données projet'!$B$9,Paramètres!$A$1:$I$89,3,0)*0.475*44/12</f>
        <v>0.55500226792883467</v>
      </c>
      <c r="AC32" s="22">
        <f t="shared" si="3"/>
        <v>4.905663839201682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28</v>
      </c>
      <c r="AI32" s="13">
        <f>IF('Données projet'!$A$62&gt;35,AI31+AH32-AQ31,IF(A32&lt;'Données projet'!$A$62,$AF$205^A32,IF(A32='Données projet'!$A$62,'Données projet'!$B$62,AI31+AH32-AQ31)))</f>
        <v>393</v>
      </c>
      <c r="AJ32" s="13">
        <f>AI32*VLOOKUP('Données projet'!$B$10,Paramètres!$A$1:$I$89,3,0)*VLOOKUP('Données projet'!$B$10,Paramètres!$A$1:$I$89,5,0)</f>
        <v>219.68700000000001</v>
      </c>
      <c r="AK32" s="13">
        <f t="shared" si="35"/>
        <v>54.046851081096591</v>
      </c>
      <c r="AL32" s="20">
        <f t="shared" si="4"/>
        <v>476.75312396624321</v>
      </c>
      <c r="AM32" s="59">
        <f t="shared" si="5"/>
        <v>770.08645729957652</v>
      </c>
      <c r="AN32" s="59">
        <f ca="1">AVERAGE(OFFSET($AM$3,0,0,'Données projet'!$E$10+1,1))-AVERAGE(OFFSET($H$3,0,0,'Données projet'!$E$10+1,1))</f>
        <v>365.13032894303285</v>
      </c>
      <c r="AO32" s="59">
        <f t="shared" si="36"/>
        <v>471.89239871617241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7.8537748617342329</v>
      </c>
      <c r="AW32" s="21">
        <f>EXP(-LN(2)/2)*AW31+(1-EXP(-LN(2)/2))/(LN(2)/2)*AQ32*AT32*VLOOKUP('Données projet'!$B$10,Paramètres!$A$1:$I$89,3,0)*0.475*44/12</f>
        <v>5.1266346199700852</v>
      </c>
      <c r="AX32" s="21">
        <f t="shared" si="6"/>
        <v>12.980409481704317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210.5</v>
      </c>
      <c r="L33" s="12">
        <f>VLOOKUP(A33,'Données projet'!$A$35:$I$55,9,0)</f>
        <v>9.1999999999999993</v>
      </c>
      <c r="M33" s="12">
        <f t="array" ref="M33">INDEX(L:L,MIN(IF(ISNUMBER(L33:L229),ROW(L33:L229),"")))</f>
        <v>9.1999999999999993</v>
      </c>
      <c r="N33" s="13">
        <f>IF('Données projet'!$A$36&gt;35,N32+M33-V32,IF(A33&lt;'Données projet'!$A$36,$K$205^A33,IF(A33='Données projet'!$A$36,'Données projet'!$B$36,N32+M33-V32)))</f>
        <v>210.49999999999989</v>
      </c>
      <c r="O33" s="13">
        <f>N33*VLOOKUP('Données projet'!$B$9,Paramètres!$A$1:$I$89,3,0)*VLOOKUP('Données projet'!$B$9,Paramètres!$A$1:$I$89,5,0)</f>
        <v>98.513999999999953</v>
      </c>
      <c r="P33" s="13">
        <f t="shared" si="33"/>
        <v>26.607670659193456</v>
      </c>
      <c r="Q33" s="20">
        <f t="shared" si="2"/>
        <v>217.92024306476185</v>
      </c>
      <c r="R33" s="59">
        <f t="shared" si="0"/>
        <v>511.25357639809516</v>
      </c>
      <c r="S33" s="59">
        <f ca="1">AVERAGE(OFFSET($R$3,0,0,'Données projet'!$E$9+1,1))-AVERAGE(OFFSET($H$3,0,0,'Données projet'!$E$9+1,1))</f>
        <v>226.0452828290525</v>
      </c>
      <c r="T33" s="59">
        <f t="shared" si="34"/>
        <v>179.89696397462069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67</v>
      </c>
      <c r="W33" s="16">
        <f>IF(ISNA(VLOOKUP(A33,'Données projet'!$A$35:$I$55,5,0)),0%,VLOOKUP(A33,'Données projet'!$A$35:$I$55,5,0)*VLOOKUP('Données projet'!$B$9,Paramètres!$A$1:$I$89,7,0))</f>
        <v>0.16500000000000001</v>
      </c>
      <c r="X33" s="16">
        <f>IF(ISNA(VLOOKUP(A33,'Données projet'!$A$35:$I$55,6,0)),0%,VLOOKUP(A33,'Données projet'!$A$35:$I$55,6,0)*VLOOKUP('Données projet'!$B$9,Paramètres!$A$1:$I$89,7,0))</f>
        <v>0.22000000000000003</v>
      </c>
      <c r="Y33" s="16">
        <f>IF(ISNA(VLOOKUP(A33,'Données projet'!$A$35:$I$55,7,0)),0%,VLOOKUP(A33,'Données projet'!$A$35:$I$55,7,0))</f>
        <v>0.3</v>
      </c>
      <c r="Z33" s="21">
        <f>EXP(-LN(2)/35)*Z32+(1-EXP(-LN(2)/35))/(LN(2)/35)*V33*W33*VLOOKUP('Données projet'!$B$9,Paramètres!$A$1:$I$89,3,0)*0.475*44/12</f>
        <v>9.0761671349983928</v>
      </c>
      <c r="AA33" s="21">
        <f>EXP(-LN(2)/25)*AA32+(1-EXP(-LN(2)/25))/(LN(2)/25)*Calculateur!V33*Calculateur!X33*VLOOKUP('Données projet'!$B$9,Paramètres!$A$1:$I$89,3,0)*0.475*44/12</f>
        <v>11.151320216689932</v>
      </c>
      <c r="AB33" s="21">
        <f>EXP(-LN(2)/2)*AB32+(1-EXP(-LN(2)/2))/(LN(2)/2)*V33*Y33*VLOOKUP('Données projet'!$B$9,Paramètres!$A$1:$I$89,3,0)*0.475*44/12</f>
        <v>11.043128643598349</v>
      </c>
      <c r="AC33" s="22">
        <f t="shared" si="3"/>
        <v>31.270615995286676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421</v>
      </c>
      <c r="AG33" s="12">
        <f>VLOOKUP(A33,'Données projet'!$A$61:$I$81,9,0)</f>
        <v>28</v>
      </c>
      <c r="AH33" s="12">
        <f t="array" ref="AH33">INDEX(AG:AG,MIN(IF(ISNUMBER(AG33:AG229),ROW(AG33:AG229),"")))</f>
        <v>28</v>
      </c>
      <c r="AI33" s="13">
        <f>IF('Données projet'!$A$62&gt;35,AI32+AH33-AQ32,IF(A33&lt;'Données projet'!$A$62,$AF$205^A33,IF(A33='Données projet'!$A$62,'Données projet'!$B$62,AI32+AH33-AQ32)))</f>
        <v>421</v>
      </c>
      <c r="AJ33" s="13">
        <f>AI33*VLOOKUP('Données projet'!$B$10,Paramètres!$A$1:$I$89,3,0)*VLOOKUP('Données projet'!$B$10,Paramètres!$A$1:$I$89,5,0)</f>
        <v>235.339</v>
      </c>
      <c r="AK33" s="13">
        <f t="shared" si="35"/>
        <v>57.43555185051494</v>
      </c>
      <c r="AL33" s="20">
        <f t="shared" si="4"/>
        <v>509.91567780631357</v>
      </c>
      <c r="AM33" s="59">
        <f t="shared" si="5"/>
        <v>803.24901113964688</v>
      </c>
      <c r="AN33" s="59">
        <f ca="1">AVERAGE(OFFSET($AM$3,0,0,'Données projet'!$E$10+1,1))-AVERAGE(OFFSET($H$3,0,0,'Données projet'!$E$10+1,1))</f>
        <v>365.13032894303285</v>
      </c>
      <c r="AO33" s="59">
        <f t="shared" si="36"/>
        <v>471.89239871617241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54</v>
      </c>
      <c r="AR33" s="16">
        <f>IF(ISNA(VLOOKUP(A33,'Données projet'!$A$61:$I$81,5,0)),0%,VLOOKUP(A33,'Données projet'!$A$61:$I$81,5,0)*VLOOKUP('Données projet'!$B$10,Paramètres!$A$1:$I$89,7,0))</f>
        <v>0.11000000000000001</v>
      </c>
      <c r="AS33" s="16">
        <f>IF(ISNA(VLOOKUP(A33,'Données projet'!$A$61:$I$81,6,0)),0%,VLOOKUP(A33,'Données projet'!$A$61:$I$81,6,0)*VLOOKUP('Données projet'!$B$10,Paramètres!$A$1:$I$89,7,0))</f>
        <v>0.33</v>
      </c>
      <c r="AT33" s="16">
        <f>IF(ISNA(VLOOKUP(A33,'Données projet'!$A$61:$I$81,7,0)),0%,VLOOKUP(A33,'Données projet'!$A$61:$I$81,7,0))</f>
        <v>0.2</v>
      </c>
      <c r="AU33" s="21">
        <f>EXP(-LN(2)/35)*AU32+(1-EXP(-LN(2)/35))/(LN(2)/35)*AQ33*AR33*VLOOKUP('Données projet'!$B$10,Paramètres!$A$1:$I$89,3,0)*0.475*44/12</f>
        <v>4.4048042117087762</v>
      </c>
      <c r="AV33" s="21">
        <f>EXP(-LN(2)/25)*AV32+(1-EXP(-LN(2)/25))/(LN(2)/25)*Calculateur!AQ33*Calculateur!AS33*VLOOKUP('Données projet'!$B$10,Paramètres!$A$1:$I$89,3,0)*0.475*44/12</f>
        <v>20.801395432623917</v>
      </c>
      <c r="AW33" s="21">
        <f>EXP(-LN(2)/2)*AW32+(1-EXP(-LN(2)/2))/(LN(2)/2)*AQ33*AT33*VLOOKUP('Données projet'!$B$10,Paramètres!$A$1:$I$89,3,0)*0.475*44/12</f>
        <v>10.460590931073346</v>
      </c>
      <c r="AX33" s="21">
        <f t="shared" si="6"/>
        <v>35.66679057540604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10</v>
      </c>
      <c r="N34" s="13">
        <f>IF('Données projet'!$A$36&gt;35,N33+M34-V33,IF(A34&lt;'Données projet'!$A$36,$K$205^A34,IF(A34='Données projet'!$A$36,'Données projet'!$B$36,N33+M34-V33)))</f>
        <v>153.49999999999989</v>
      </c>
      <c r="O34" s="13">
        <f>N34*VLOOKUP('Données projet'!$B$9,Paramètres!$A$1:$I$89,3,0)*VLOOKUP('Données projet'!$B$9,Paramètres!$A$1:$I$89,5,0)</f>
        <v>71.837999999999951</v>
      </c>
      <c r="P34" s="13">
        <f t="shared" si="33"/>
        <v>20.129206956785634</v>
      </c>
      <c r="Q34" s="20">
        <f t="shared" si="2"/>
        <v>160.17621878306821</v>
      </c>
      <c r="R34" s="59">
        <f t="shared" si="0"/>
        <v>453.50955211640155</v>
      </c>
      <c r="S34" s="59">
        <f ca="1">AVERAGE(OFFSET($R$3,0,0,'Données projet'!$E$9+1,1))-AVERAGE(OFFSET($H$3,0,0,'Données projet'!$E$9+1,1))</f>
        <v>226.0452828290525</v>
      </c>
      <c r="T34" s="59">
        <f t="shared" si="34"/>
        <v>179.89696397462069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8.8981890333964007</v>
      </c>
      <c r="AA34" s="21">
        <f>EXP(-LN(2)/25)*AA33+(1-EXP(-LN(2)/25))/(LN(2)/25)*Calculateur!V34*Calculateur!X34*VLOOKUP('Données projet'!$B$9,Paramètres!$A$1:$I$89,3,0)*0.475*44/12</f>
        <v>10.846386778942103</v>
      </c>
      <c r="AB34" s="21">
        <f>EXP(-LN(2)/2)*AB33+(1-EXP(-LN(2)/2))/(LN(2)/2)*V34*Y34*VLOOKUP('Données projet'!$B$9,Paramètres!$A$1:$I$89,3,0)*0.475*44/12</f>
        <v>7.8086711494037937</v>
      </c>
      <c r="AC34" s="22">
        <f t="shared" si="3"/>
        <v>27.553246961742296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27.6</v>
      </c>
      <c r="AI34" s="13">
        <f>IF('Données projet'!$A$62&gt;35,AI33+AH34-AQ33,IF(A34&lt;'Données projet'!$A$62,$AF$205^A34,IF(A34='Données projet'!$A$62,'Données projet'!$B$62,AI33+AH34-AQ33)))</f>
        <v>394.6</v>
      </c>
      <c r="AJ34" s="13">
        <f>AI34*VLOOKUP('Données projet'!$B$10,Paramètres!$A$1:$I$89,3,0)*VLOOKUP('Données projet'!$B$10,Paramètres!$A$1:$I$89,5,0)</f>
        <v>220.5814</v>
      </c>
      <c r="AK34" s="13">
        <f t="shared" si="35"/>
        <v>54.241230721401301</v>
      </c>
      <c r="AL34" s="20">
        <f t="shared" si="4"/>
        <v>478.64941517310723</v>
      </c>
      <c r="AM34" s="59">
        <f t="shared" si="5"/>
        <v>771.98274850644054</v>
      </c>
      <c r="AN34" s="59">
        <f ca="1">AVERAGE(OFFSET($AM$3,0,0,'Données projet'!$E$10+1,1))-AVERAGE(OFFSET($H$3,0,0,'Données projet'!$E$10+1,1))</f>
        <v>365.13032894303285</v>
      </c>
      <c r="AO34" s="59">
        <f t="shared" si="36"/>
        <v>471.89239871617241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4.3184286877824505</v>
      </c>
      <c r="AV34" s="21">
        <f>EXP(-LN(2)/25)*AV33+(1-EXP(-LN(2)/25))/(LN(2)/25)*Calculateur!AQ34*Calculateur!AS34*VLOOKUP('Données projet'!$B$10,Paramètres!$A$1:$I$89,3,0)*0.475*44/12</f>
        <v>20.232580180620971</v>
      </c>
      <c r="AW34" s="21">
        <f>EXP(-LN(2)/2)*AW33+(1-EXP(-LN(2)/2))/(LN(2)/2)*AQ34*AT34*VLOOKUP('Données projet'!$B$10,Paramètres!$A$1:$I$89,3,0)*0.475*44/12</f>
        <v>7.3967547825804649</v>
      </c>
      <c r="AX34" s="21">
        <f t="shared" si="6"/>
        <v>31.947763650983887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10</v>
      </c>
      <c r="N35" s="13">
        <f>IF('Données projet'!$A$36&gt;35,N34+M35-V34,IF(A35&lt;'Données projet'!$A$36,$K$205^A35,IF(A35='Données projet'!$A$36,'Données projet'!$B$36,N34+M35-V34)))</f>
        <v>163.49999999999989</v>
      </c>
      <c r="O35" s="13">
        <f>N35*VLOOKUP('Données projet'!$B$9,Paramètres!$A$1:$I$89,3,0)*VLOOKUP('Données projet'!$B$9,Paramètres!$A$1:$I$89,5,0)</f>
        <v>76.517999999999944</v>
      </c>
      <c r="P35" s="13">
        <f t="shared" si="33"/>
        <v>21.283624623620089</v>
      </c>
      <c r="Q35" s="20">
        <f t="shared" ref="Q35:Q66" si="53">(O35+P35)*0.475*44/12</f>
        <v>170.33782955280489</v>
      </c>
      <c r="R35" s="59">
        <f t="shared" si="0"/>
        <v>463.67116288613818</v>
      </c>
      <c r="S35" s="59">
        <f ca="1">AVERAGE(OFFSET($R$3,0,0,'Données projet'!$E$9+1,1))-AVERAGE(OFFSET($H$3,0,0,'Données projet'!$E$9+1,1))</f>
        <v>226.0452828290525</v>
      </c>
      <c r="T35" s="59">
        <f t="shared" si="34"/>
        <v>179.89696397462069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8.7237009738109013</v>
      </c>
      <c r="AA35" s="21">
        <f>EXP(-LN(2)/25)*AA34+(1-EXP(-LN(2)/25))/(LN(2)/25)*Calculateur!V35*Calculateur!X35*VLOOKUP('Données projet'!$B$9,Paramètres!$A$1:$I$89,3,0)*0.475*44/12</f>
        <v>10.54979176208524</v>
      </c>
      <c r="AB35" s="21">
        <f>EXP(-LN(2)/2)*AB34+(1-EXP(-LN(2)/2))/(LN(2)/2)*V35*Y35*VLOOKUP('Données projet'!$B$9,Paramètres!$A$1:$I$89,3,0)*0.475*44/12</f>
        <v>5.5215643217991754</v>
      </c>
      <c r="AC35" s="22">
        <f t="shared" si="3"/>
        <v>24.795057057695317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27.6</v>
      </c>
      <c r="AI35" s="13">
        <f>IF('Données projet'!$A$62&gt;35,AI34+AH35-AQ34,IF(A35&lt;'Données projet'!$A$62,$AF$205^A35,IF(A35='Données projet'!$A$62,'Données projet'!$B$62,AI34+AH35-AQ34)))</f>
        <v>422.20000000000005</v>
      </c>
      <c r="AJ35" s="13">
        <f>AI35*VLOOKUP('Données projet'!$B$10,Paramètres!$A$1:$I$89,3,0)*VLOOKUP('Données projet'!$B$10,Paramètres!$A$1:$I$89,5,0)</f>
        <v>236.00980000000004</v>
      </c>
      <c r="AK35" s="13">
        <f t="shared" si="35"/>
        <v>57.580183613654185</v>
      </c>
      <c r="AL35" s="20">
        <f t="shared" si="4"/>
        <v>511.3358881271144</v>
      </c>
      <c r="AM35" s="59">
        <f t="shared" si="5"/>
        <v>804.66922146044772</v>
      </c>
      <c r="AN35" s="59">
        <f ca="1">AVERAGE(OFFSET($AM$3,0,0,'Données projet'!$E$10+1,1))-AVERAGE(OFFSET($H$3,0,0,'Données projet'!$E$10+1,1))</f>
        <v>365.13032894303285</v>
      </c>
      <c r="AO35" s="59">
        <f t="shared" si="36"/>
        <v>471.89239871617241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4.2337469351964518</v>
      </c>
      <c r="AV35" s="21">
        <f>EXP(-LN(2)/25)*AV34+(1-EXP(-LN(2)/25))/(LN(2)/25)*Calculateur!AQ35*Calculateur!AS35*VLOOKUP('Données projet'!$B$10,Paramètres!$A$1:$I$89,3,0)*0.475*44/12</f>
        <v>19.679319211596741</v>
      </c>
      <c r="AW35" s="21">
        <f>EXP(-LN(2)/2)*AW34+(1-EXP(-LN(2)/2))/(LN(2)/2)*AQ35*AT35*VLOOKUP('Données projet'!$B$10,Paramètres!$A$1:$I$89,3,0)*0.475*44/12</f>
        <v>5.230295465536674</v>
      </c>
      <c r="AX35" s="21">
        <f t="shared" si="6"/>
        <v>29.143361612329866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10</v>
      </c>
      <c r="N36" s="13">
        <f>IF('Données projet'!$A$36&gt;35,N35+M36-V35,IF(A36&lt;'Données projet'!$A$36,$K$205^A36,IF(A36='Données projet'!$A$36,'Données projet'!$B$36,N35+M36-V35)))</f>
        <v>173.49999999999989</v>
      </c>
      <c r="O36" s="13">
        <f>N36*VLOOKUP('Données projet'!$B$9,Paramètres!$A$1:$I$89,3,0)*VLOOKUP('Données projet'!$B$9,Paramètres!$A$1:$I$89,5,0)</f>
        <v>81.197999999999951</v>
      </c>
      <c r="P36" s="13">
        <f t="shared" si="33"/>
        <v>22.429847477648512</v>
      </c>
      <c r="Q36" s="20">
        <f t="shared" si="53"/>
        <v>180.48516769023772</v>
      </c>
      <c r="R36" s="59">
        <f t="shared" si="0"/>
        <v>473.818501023571</v>
      </c>
      <c r="S36" s="59">
        <f ca="1">AVERAGE(OFFSET($R$3,0,0,'Données projet'!$E$9+1,1))-AVERAGE(OFFSET($H$3,0,0,'Données projet'!$E$9+1,1))</f>
        <v>226.0452828290525</v>
      </c>
      <c r="T36" s="59">
        <f t="shared" si="34"/>
        <v>179.89696397462069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8.5526345186466646</v>
      </c>
      <c r="AA36" s="21">
        <f>EXP(-LN(2)/25)*AA35+(1-EXP(-LN(2)/25))/(LN(2)/25)*Calculateur!V36*Calculateur!X36*VLOOKUP('Données projet'!$B$9,Paramètres!$A$1:$I$89,3,0)*0.475*44/12</f>
        <v>10.261307151561583</v>
      </c>
      <c r="AB36" s="21">
        <f>EXP(-LN(2)/2)*AB35+(1-EXP(-LN(2)/2))/(LN(2)/2)*V36*Y36*VLOOKUP('Données projet'!$B$9,Paramètres!$A$1:$I$89,3,0)*0.475*44/12</f>
        <v>3.9043355747018973</v>
      </c>
      <c r="AC36" s="22">
        <f t="shared" si="3"/>
        <v>22.718277244910144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27.6</v>
      </c>
      <c r="AI36" s="13">
        <f>IF('Données projet'!$A$62&gt;35,AI35+AH36-AQ35,IF(A36&lt;'Données projet'!$A$62,$AF$205^A36,IF(A36='Données projet'!$A$62,'Données projet'!$B$62,AI35+AH36-AQ35)))</f>
        <v>449.80000000000007</v>
      </c>
      <c r="AJ36" s="13">
        <f>AI36*VLOOKUP('Données projet'!$B$10,Paramètres!$A$1:$I$89,3,0)*VLOOKUP('Données projet'!$B$10,Paramètres!$A$1:$I$89,5,0)</f>
        <v>251.43820000000002</v>
      </c>
      <c r="AK36" s="13">
        <f t="shared" si="35"/>
        <v>60.893806844597648</v>
      </c>
      <c r="AL36" s="20">
        <f t="shared" si="4"/>
        <v>543.978245254341</v>
      </c>
      <c r="AM36" s="59">
        <f t="shared" si="5"/>
        <v>837.31157858767438</v>
      </c>
      <c r="AN36" s="59">
        <f ca="1">AVERAGE(OFFSET($AM$3,0,0,'Données projet'!$E$10+1,1))-AVERAGE(OFFSET($H$3,0,0,'Données projet'!$E$10+1,1))</f>
        <v>365.13032894303285</v>
      </c>
      <c r="AO36" s="59">
        <f t="shared" si="36"/>
        <v>471.89239871617241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4.1507257401278963</v>
      </c>
      <c r="AV36" s="21">
        <f>EXP(-LN(2)/25)*AV35+(1-EXP(-LN(2)/25))/(LN(2)/25)*Calculateur!AQ36*Calculateur!AS36*VLOOKUP('Données projet'!$B$10,Paramètres!$A$1:$I$89,3,0)*0.475*44/12</f>
        <v>19.14118719286521</v>
      </c>
      <c r="AW36" s="21">
        <f>EXP(-LN(2)/2)*AW35+(1-EXP(-LN(2)/2))/(LN(2)/2)*AQ36*AT36*VLOOKUP('Données projet'!$B$10,Paramètres!$A$1:$I$89,3,0)*0.475*44/12</f>
        <v>3.6983773912902329</v>
      </c>
      <c r="AX36" s="21">
        <f t="shared" si="6"/>
        <v>26.99029032428334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10</v>
      </c>
      <c r="N37" s="13">
        <f>IF('Données projet'!$A$36&gt;35,N36+M37-V36,IF(A37&lt;'Données projet'!$A$36,$K$205^A37,IF(A37='Données projet'!$A$36,'Données projet'!$B$36,N36+M37-V36)))</f>
        <v>183.49999999999989</v>
      </c>
      <c r="O37" s="13">
        <f>N37*VLOOKUP('Données projet'!$B$9,Paramètres!$A$1:$I$89,3,0)*VLOOKUP('Données projet'!$B$9,Paramètres!$A$1:$I$89,5,0)</f>
        <v>85.877999999999957</v>
      </c>
      <c r="P37" s="13">
        <f t="shared" si="33"/>
        <v>23.56840165498652</v>
      </c>
      <c r="Q37" s="20">
        <f t="shared" si="53"/>
        <v>190.61914954910142</v>
      </c>
      <c r="R37" s="59">
        <f t="shared" si="0"/>
        <v>483.95248288243477</v>
      </c>
      <c r="S37" s="59">
        <f ca="1">AVERAGE(OFFSET($R$3,0,0,'Données projet'!$E$9+1,1))-AVERAGE(OFFSET($H$3,0,0,'Données projet'!$E$9+1,1))</f>
        <v>226.0452828290525</v>
      </c>
      <c r="T37" s="59">
        <f t="shared" si="34"/>
        <v>179.89696397462069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8.3849225723279641</v>
      </c>
      <c r="AA37" s="21">
        <f>EXP(-LN(2)/25)*AA36+(1-EXP(-LN(2)/25))/(LN(2)/25)*Calculateur!V37*Calculateur!X37*VLOOKUP('Données projet'!$B$9,Paramètres!$A$1:$I$89,3,0)*0.475*44/12</f>
        <v>9.9807111678834417</v>
      </c>
      <c r="AB37" s="21">
        <f>EXP(-LN(2)/2)*AB36+(1-EXP(-LN(2)/2))/(LN(2)/2)*V37*Y37*VLOOKUP('Données projet'!$B$9,Paramètres!$A$1:$I$89,3,0)*0.475*44/12</f>
        <v>2.7607821608995882</v>
      </c>
      <c r="AC37" s="22">
        <f t="shared" si="3"/>
        <v>21.126415901110995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27.6</v>
      </c>
      <c r="AI37" s="13">
        <f>IF('Données projet'!$A$62&gt;35,AI36+AH37-AQ36,IF(A37&lt;'Données projet'!$A$62,$AF$205^A37,IF(A37='Données projet'!$A$62,'Données projet'!$B$62,AI36+AH37-AQ36)))</f>
        <v>477.40000000000009</v>
      </c>
      <c r="AJ37" s="13">
        <f>AI37*VLOOKUP('Données projet'!$B$10,Paramètres!$A$1:$I$89,3,0)*VLOOKUP('Données projet'!$B$10,Paramètres!$A$1:$I$89,5,0)</f>
        <v>266.86660000000006</v>
      </c>
      <c r="AK37" s="13">
        <f t="shared" si="35"/>
        <v>64.183831628008477</v>
      </c>
      <c r="AL37" s="20">
        <f t="shared" si="4"/>
        <v>576.57950175211477</v>
      </c>
      <c r="AM37" s="59">
        <f t="shared" si="5"/>
        <v>869.91283508544802</v>
      </c>
      <c r="AN37" s="59">
        <f ca="1">AVERAGE(OFFSET($AM$3,0,0,'Données projet'!$E$10+1,1))-AVERAGE(OFFSET($H$3,0,0,'Données projet'!$E$10+1,1))</f>
        <v>365.13032894303285</v>
      </c>
      <c r="AO37" s="59">
        <f t="shared" si="36"/>
        <v>471.89239871617241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4.0693325400567062</v>
      </c>
      <c r="AV37" s="21">
        <f>EXP(-LN(2)/25)*AV36+(1-EXP(-LN(2)/25))/(LN(2)/25)*Calculateur!AQ37*Calculateur!AS37*VLOOKUP('Données projet'!$B$10,Paramètres!$A$1:$I$89,3,0)*0.475*44/12</f>
        <v>18.617770422485023</v>
      </c>
      <c r="AW37" s="21">
        <f>EXP(-LN(2)/2)*AW36+(1-EXP(-LN(2)/2))/(LN(2)/2)*AQ37*AT37*VLOOKUP('Données projet'!$B$10,Paramètres!$A$1:$I$89,3,0)*0.475*44/12</f>
        <v>2.6151477327683375</v>
      </c>
      <c r="AX37" s="21">
        <f t="shared" si="6"/>
        <v>25.302250695310068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10</v>
      </c>
      <c r="N38" s="13">
        <f>IF('Données projet'!$A$36&gt;35,N37+M38-V37,IF(A38&lt;'Données projet'!$A$36,$K$205^A38,IF(A38='Données projet'!$A$36,'Données projet'!$B$36,N37+M38-V37)))</f>
        <v>193.49999999999989</v>
      </c>
      <c r="O38" s="13">
        <f>N38*VLOOKUP('Données projet'!$B$9,Paramètres!$A$1:$I$89,3,0)*VLOOKUP('Données projet'!$B$9,Paramètres!$A$1:$I$89,5,0)</f>
        <v>90.55799999999995</v>
      </c>
      <c r="P38" s="13">
        <f t="shared" si="33"/>
        <v>24.699752708509138</v>
      </c>
      <c r="Q38" s="20">
        <f t="shared" si="53"/>
        <v>200.74058596732002</v>
      </c>
      <c r="R38" s="59">
        <f t="shared" si="0"/>
        <v>494.0739193006533</v>
      </c>
      <c r="S38" s="59">
        <f ca="1">AVERAGE(OFFSET($R$3,0,0,'Données projet'!$E$9+1,1))-AVERAGE(OFFSET($H$3,0,0,'Données projet'!$E$9+1,1))</f>
        <v>226.0452828290525</v>
      </c>
      <c r="T38" s="59">
        <f t="shared" si="34"/>
        <v>179.89696397462069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8.2204993549823868</v>
      </c>
      <c r="AA38" s="21">
        <f>EXP(-LN(2)/25)*AA37+(1-EXP(-LN(2)/25))/(LN(2)/25)*Calculateur!V38*Calculateur!X38*VLOOKUP('Données projet'!$B$9,Paramètres!$A$1:$I$89,3,0)*0.475*44/12</f>
        <v>9.7077880961348804</v>
      </c>
      <c r="AB38" s="21">
        <f>EXP(-LN(2)/2)*AB37+(1-EXP(-LN(2)/2))/(LN(2)/2)*V38*Y38*VLOOKUP('Données projet'!$B$9,Paramètres!$A$1:$I$89,3,0)*0.475*44/12</f>
        <v>1.9521677873509491</v>
      </c>
      <c r="AC38" s="22">
        <f t="shared" si="3"/>
        <v>19.880455238468215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505</v>
      </c>
      <c r="AG38" s="12">
        <f>VLOOKUP(A38,'Données projet'!$A$61:$I$81,9,0)</f>
        <v>27.6</v>
      </c>
      <c r="AH38" s="12">
        <f t="array" ref="AH38">INDEX(AG:AG,MIN(IF(ISNUMBER(AG38:AG234),ROW(AG38:AG234),"")))</f>
        <v>27.6</v>
      </c>
      <c r="AI38" s="13">
        <f>IF('Données projet'!$A$62&gt;35,AI37+AH38-AQ37,IF(A38&lt;'Données projet'!$A$62,$AF$205^A38,IF(A38='Données projet'!$A$62,'Données projet'!$B$62,AI37+AH38-AQ37)))</f>
        <v>505.00000000000011</v>
      </c>
      <c r="AJ38" s="13">
        <f>AI38*VLOOKUP('Données projet'!$B$10,Paramètres!$A$1:$I$89,3,0)*VLOOKUP('Données projet'!$B$10,Paramètres!$A$1:$I$89,5,0)</f>
        <v>282.29500000000007</v>
      </c>
      <c r="AK38" s="13">
        <f t="shared" si="35"/>
        <v>67.451777696853824</v>
      </c>
      <c r="AL38" s="20">
        <f t="shared" si="4"/>
        <v>609.14230448868716</v>
      </c>
      <c r="AM38" s="59">
        <f t="shared" si="5"/>
        <v>902.47563782202042</v>
      </c>
      <c r="AN38" s="59">
        <f ca="1">AVERAGE(OFFSET($AM$3,0,0,'Données projet'!$E$10+1,1))-AVERAGE(OFFSET($H$3,0,0,'Données projet'!$E$10+1,1))</f>
        <v>365.13032894303285</v>
      </c>
      <c r="AO38" s="59">
        <f t="shared" si="36"/>
        <v>471.89239871617241</v>
      </c>
      <c r="AP38" s="15">
        <f>IF(ISNA(VLOOKUP(A38,'Données projet'!$A$61:$I$81,3,0)),0,VLOOKUP(A38,'Données projet'!$A$61:$I$81,3,0))</f>
        <v>3</v>
      </c>
      <c r="AQ38" s="15">
        <f>IF(ISNA(VLOOKUP(A38,'Données projet'!$A$61:$I$81,4,0)),0,VLOOKUP(A38,'Données projet'!$A$61:$I$81,4,0))</f>
        <v>69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3.9895354109939616</v>
      </c>
      <c r="AV38" s="21">
        <f>EXP(-LN(2)/25)*AV37+(1-EXP(-LN(2)/25))/(LN(2)/25)*Calculateur!AQ38*Calculateur!AS38*VLOOKUP('Données projet'!$B$10,Paramètres!$A$1:$I$89,3,0)*0.475*44/12</f>
        <v>18.108666511216175</v>
      </c>
      <c r="AW38" s="21">
        <f>EXP(-LN(2)/2)*AW37+(1-EXP(-LN(2)/2))/(LN(2)/2)*AQ38*AT38*VLOOKUP('Données projet'!$B$10,Paramètres!$A$1:$I$89,3,0)*0.475*44/12</f>
        <v>1.8491886956451167</v>
      </c>
      <c r="AX38" s="21">
        <f t="shared" si="6"/>
        <v>23.947390617855255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10</v>
      </c>
      <c r="N39" s="13">
        <f>IF('Données projet'!$A$36&gt;35,N38+M39-V38,IF(A39&lt;'Données projet'!$A$36,$K$205^A39,IF(A39='Données projet'!$A$36,'Données projet'!$B$36,N38+M39-V38)))</f>
        <v>203.49999999999989</v>
      </c>
      <c r="O39" s="13">
        <f>N39*VLOOKUP('Données projet'!$B$9,Paramètres!$A$1:$I$89,3,0)*VLOOKUP('Données projet'!$B$9,Paramètres!$A$1:$I$89,5,0)</f>
        <v>95.237999999999957</v>
      </c>
      <c r="P39" s="13">
        <f t="shared" si="33"/>
        <v>25.824315354051119</v>
      </c>
      <c r="Q39" s="20">
        <f t="shared" si="53"/>
        <v>210.85019924163896</v>
      </c>
      <c r="R39" s="59">
        <f t="shared" si="0"/>
        <v>504.18353257497228</v>
      </c>
      <c r="S39" s="59">
        <f ca="1">AVERAGE(OFFSET($R$3,0,0,'Données projet'!$E$9+1,1))-AVERAGE(OFFSET($H$3,0,0,'Données projet'!$E$9+1,1))</f>
        <v>226.0452828290525</v>
      </c>
      <c r="T39" s="59">
        <f t="shared" si="34"/>
        <v>179.89696397462069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8.0593003766406959</v>
      </c>
      <c r="AA39" s="21">
        <f>EXP(-LN(2)/25)*AA38+(1-EXP(-LN(2)/25))/(LN(2)/25)*Calculateur!V39*Calculateur!X39*VLOOKUP('Données projet'!$B$9,Paramètres!$A$1:$I$89,3,0)*0.475*44/12</f>
        <v>9.4423281201356843</v>
      </c>
      <c r="AB39" s="21">
        <f>EXP(-LN(2)/2)*AB38+(1-EXP(-LN(2)/2))/(LN(2)/2)*V39*Y39*VLOOKUP('Données projet'!$B$9,Paramètres!$A$1:$I$89,3,0)*0.475*44/12</f>
        <v>1.3803910804497943</v>
      </c>
      <c r="AC39" s="22">
        <f t="shared" si="3"/>
        <v>18.882019577226174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25.6</v>
      </c>
      <c r="AI39" s="13">
        <f>IF('Données projet'!$A$62&gt;35,AI38+AH39-AQ38,IF(A39&lt;'Données projet'!$A$62,$AF$205^A39,IF(A39='Données projet'!$A$62,'Données projet'!$B$62,AI38+AH39-AQ38)))</f>
        <v>461.60000000000014</v>
      </c>
      <c r="AJ39" s="13">
        <f>AI39*VLOOKUP('Données projet'!$B$10,Paramètres!$A$1:$I$89,3,0)*VLOOKUP('Données projet'!$B$10,Paramètres!$A$1:$I$89,5,0)</f>
        <v>258.03440000000006</v>
      </c>
      <c r="AK39" s="13">
        <f t="shared" si="35"/>
        <v>62.303206596431174</v>
      </c>
      <c r="AL39" s="20">
        <f t="shared" si="4"/>
        <v>557.9213314887844</v>
      </c>
      <c r="AM39" s="59">
        <f t="shared" si="5"/>
        <v>851.25466482211777</v>
      </c>
      <c r="AN39" s="59">
        <f ca="1">AVERAGE(OFFSET($AM$3,0,0,'Données projet'!$E$10+1,1))-AVERAGE(OFFSET($H$3,0,0,'Données projet'!$E$10+1,1))</f>
        <v>365.13032894303285</v>
      </c>
      <c r="AO39" s="59">
        <f t="shared" si="36"/>
        <v>471.89239871617241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3.9113030549606949</v>
      </c>
      <c r="AV39" s="21">
        <f>EXP(-LN(2)/25)*AV38+(1-EXP(-LN(2)/25))/(LN(2)/25)*Calculateur!AQ39*Calculateur!AS39*VLOOKUP('Données projet'!$B$10,Paramètres!$A$1:$I$89,3,0)*0.475*44/12</f>
        <v>17.613484073173584</v>
      </c>
      <c r="AW39" s="21">
        <f>EXP(-LN(2)/2)*AW38+(1-EXP(-LN(2)/2))/(LN(2)/2)*AQ39*AT39*VLOOKUP('Données projet'!$B$10,Paramètres!$A$1:$I$89,3,0)*0.475*44/12</f>
        <v>1.3075738663841687</v>
      </c>
      <c r="AX39" s="21">
        <f t="shared" si="6"/>
        <v>22.832360994518446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10</v>
      </c>
      <c r="N40" s="13">
        <f>IF('Données projet'!$A$36&gt;35,N39+M40-V39,IF(A40&lt;'Données projet'!$A$36,$K$205^A40,IF(A40='Données projet'!$A$36,'Données projet'!$B$36,N39+M40-V39)))</f>
        <v>213.49999999999989</v>
      </c>
      <c r="O40" s="13">
        <f>N40*VLOOKUP('Données projet'!$B$9,Paramètres!$A$1:$I$89,3,0)*VLOOKUP('Données projet'!$B$9,Paramètres!$A$1:$I$89,5,0)</f>
        <v>99.91799999999995</v>
      </c>
      <c r="P40" s="13">
        <f t="shared" si="33"/>
        <v>26.942461246512746</v>
      </c>
      <c r="Q40" s="20">
        <f t="shared" si="53"/>
        <v>220.94863667100961</v>
      </c>
      <c r="R40" s="59">
        <f t="shared" si="0"/>
        <v>514.28197000434295</v>
      </c>
      <c r="S40" s="59">
        <f ca="1">AVERAGE(OFFSET($R$3,0,0,'Données projet'!$E$9+1,1))-AVERAGE(OFFSET($H$3,0,0,'Données projet'!$E$9+1,1))</f>
        <v>226.0452828290525</v>
      </c>
      <c r="T40" s="59">
        <f t="shared" si="34"/>
        <v>179.89696397462069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7.9012624119426178</v>
      </c>
      <c r="AA40" s="21">
        <f>EXP(-LN(2)/25)*AA39+(1-EXP(-LN(2)/25))/(LN(2)/25)*Calculateur!V40*Calculateur!X40*VLOOKUP('Données projet'!$B$9,Paramètres!$A$1:$I$89,3,0)*0.475*44/12</f>
        <v>9.1841271611401183</v>
      </c>
      <c r="AB40" s="21">
        <f>EXP(-LN(2)/2)*AB39+(1-EXP(-LN(2)/2))/(LN(2)/2)*V40*Y40*VLOOKUP('Données projet'!$B$9,Paramètres!$A$1:$I$89,3,0)*0.475*44/12</f>
        <v>0.97608389367547466</v>
      </c>
      <c r="AC40" s="22">
        <f t="shared" si="3"/>
        <v>18.061473466758212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25.6</v>
      </c>
      <c r="AI40" s="13">
        <f>IF('Données projet'!$A$62&gt;35,AI39+AH40-AQ39,IF(A40&lt;'Données projet'!$A$62,$AF$205^A40,IF(A40='Données projet'!$A$62,'Données projet'!$B$62,AI39+AH40-AQ39)))</f>
        <v>487.20000000000016</v>
      </c>
      <c r="AJ40" s="13">
        <f>AI40*VLOOKUP('Données projet'!$B$10,Paramètres!$A$1:$I$89,3,0)*VLOOKUP('Données projet'!$B$10,Paramètres!$A$1:$I$89,5,0)</f>
        <v>272.34480000000008</v>
      </c>
      <c r="AK40" s="13">
        <f t="shared" si="35"/>
        <v>65.346644318451709</v>
      </c>
      <c r="AL40" s="20">
        <f t="shared" si="4"/>
        <v>588.14593218797006</v>
      </c>
      <c r="AM40" s="59">
        <f t="shared" si="5"/>
        <v>881.47926552130343</v>
      </c>
      <c r="AN40" s="59">
        <f ca="1">AVERAGE(OFFSET($AM$3,0,0,'Données projet'!$E$10+1,1))-AVERAGE(OFFSET($H$3,0,0,'Données projet'!$E$10+1,1))</f>
        <v>365.13032894303285</v>
      </c>
      <c r="AO40" s="59">
        <f t="shared" si="36"/>
        <v>471.89239871617241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3.8346047877122147</v>
      </c>
      <c r="AV40" s="21">
        <f>EXP(-LN(2)/25)*AV39+(1-EXP(-LN(2)/25))/(LN(2)/25)*Calculateur!AQ40*Calculateur!AS40*VLOOKUP('Données projet'!$B$10,Paramètres!$A$1:$I$89,3,0)*0.475*44/12</f>
        <v>17.13184242493978</v>
      </c>
      <c r="AW40" s="21">
        <f>EXP(-LN(2)/2)*AW39+(1-EXP(-LN(2)/2))/(LN(2)/2)*AQ40*AT40*VLOOKUP('Données projet'!$B$10,Paramètres!$A$1:$I$89,3,0)*0.475*44/12</f>
        <v>0.92459434782255834</v>
      </c>
      <c r="AX40" s="21">
        <f t="shared" si="6"/>
        <v>21.891041560474555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10</v>
      </c>
      <c r="N41" s="13">
        <f>IF('Données projet'!$A$36&gt;35,N40+M41-V40,IF(A41&lt;'Données projet'!$A$36,$K$205^A41,IF(A41='Données projet'!$A$36,'Données projet'!$B$36,N40+M41-V40)))</f>
        <v>223.49999999999989</v>
      </c>
      <c r="O41" s="13">
        <f>N41*VLOOKUP('Données projet'!$B$9,Paramètres!$A$1:$I$89,3,0)*VLOOKUP('Données projet'!$B$9,Paramètres!$A$1:$I$89,5,0)</f>
        <v>104.59799999999994</v>
      </c>
      <c r="P41" s="13">
        <f t="shared" si="33"/>
        <v>28.054525257841597</v>
      </c>
      <c r="Q41" s="20">
        <f t="shared" si="53"/>
        <v>231.03648149074067</v>
      </c>
      <c r="R41" s="59">
        <f t="shared" si="0"/>
        <v>524.36981482407396</v>
      </c>
      <c r="S41" s="59">
        <f ca="1">AVERAGE(OFFSET($R$3,0,0,'Données projet'!$E$9+1,1))-AVERAGE(OFFSET($H$3,0,0,'Données projet'!$E$9+1,1))</f>
        <v>226.0452828290525</v>
      </c>
      <c r="T41" s="59">
        <f t="shared" si="34"/>
        <v>179.89696397462069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7.7463234753386283</v>
      </c>
      <c r="AA41" s="21">
        <f>EXP(-LN(2)/25)*AA40+(1-EXP(-LN(2)/25))/(LN(2)/25)*Calculateur!V41*Calculateur!X41*VLOOKUP('Données projet'!$B$9,Paramètres!$A$1:$I$89,3,0)*0.475*44/12</f>
        <v>8.9329867209464844</v>
      </c>
      <c r="AB41" s="21">
        <f>EXP(-LN(2)/2)*AB40+(1-EXP(-LN(2)/2))/(LN(2)/2)*V41*Y41*VLOOKUP('Données projet'!$B$9,Paramètres!$A$1:$I$89,3,0)*0.475*44/12</f>
        <v>0.69019554022489726</v>
      </c>
      <c r="AC41" s="22">
        <f t="shared" si="3"/>
        <v>17.369505736510011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25.6</v>
      </c>
      <c r="AI41" s="13">
        <f>IF('Données projet'!$A$62&gt;35,AI40+AH41-AQ40,IF(A41&lt;'Données projet'!$A$62,$AF$205^A41,IF(A41='Données projet'!$A$62,'Données projet'!$B$62,AI40+AH41-AQ40)))</f>
        <v>512.80000000000018</v>
      </c>
      <c r="AJ41" s="13">
        <f>AI41*VLOOKUP('Données projet'!$B$10,Paramètres!$A$1:$I$89,3,0)*VLOOKUP('Données projet'!$B$10,Paramètres!$A$1:$I$89,5,0)</f>
        <v>286.65520000000009</v>
      </c>
      <c r="AK41" s="13">
        <f t="shared" si="35"/>
        <v>68.37151538584105</v>
      </c>
      <c r="AL41" s="20">
        <f t="shared" si="4"/>
        <v>618.33819596367323</v>
      </c>
      <c r="AM41" s="59">
        <f t="shared" si="5"/>
        <v>911.6715292970066</v>
      </c>
      <c r="AN41" s="59">
        <f ca="1">AVERAGE(OFFSET($AM$3,0,0,'Données projet'!$E$10+1,1))-AVERAGE(OFFSET($H$3,0,0,'Données projet'!$E$10+1,1))</f>
        <v>365.13032894303285</v>
      </c>
      <c r="AO41" s="59">
        <f t="shared" si="36"/>
        <v>471.89239871617241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3.7594105267031535</v>
      </c>
      <c r="AV41" s="21">
        <f>EXP(-LN(2)/25)*AV40+(1-EXP(-LN(2)/25))/(LN(2)/25)*Calculateur!AQ41*Calculateur!AS41*VLOOKUP('Données projet'!$B$10,Paramètres!$A$1:$I$89,3,0)*0.475*44/12</f>
        <v>16.663371292905364</v>
      </c>
      <c r="AW41" s="21">
        <f>EXP(-LN(2)/2)*AW40+(1-EXP(-LN(2)/2))/(LN(2)/2)*AQ41*AT41*VLOOKUP('Données projet'!$B$10,Paramètres!$A$1:$I$89,3,0)*0.475*44/12</f>
        <v>0.65378693319208436</v>
      </c>
      <c r="AX41" s="21">
        <f t="shared" si="6"/>
        <v>21.0765687528006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10</v>
      </c>
      <c r="N42" s="13">
        <f>IF('Données projet'!$A$36&gt;35,N41+M42-V41,IF(A42&lt;'Données projet'!$A$36,$K$205^A42,IF(A42='Données projet'!$A$36,'Données projet'!$B$36,N41+M42-V41)))</f>
        <v>233.49999999999989</v>
      </c>
      <c r="O42" s="13">
        <f>N42*VLOOKUP('Données projet'!$B$9,Paramètres!$A$1:$I$89,3,0)*VLOOKUP('Données projet'!$B$9,Paramètres!$A$1:$I$89,5,0)</f>
        <v>109.27799999999995</v>
      </c>
      <c r="P42" s="13">
        <f t="shared" si="33"/>
        <v>29.160810599699261</v>
      </c>
      <c r="Q42" s="20">
        <f t="shared" si="53"/>
        <v>241.11426179447608</v>
      </c>
      <c r="R42" s="59">
        <f t="shared" si="0"/>
        <v>534.44759512780934</v>
      </c>
      <c r="S42" s="59">
        <f ca="1">AVERAGE(OFFSET($R$3,0,0,'Données projet'!$E$9+1,1))-AVERAGE(OFFSET($H$3,0,0,'Données projet'!$E$9+1,1))</f>
        <v>226.0452828290525</v>
      </c>
      <c r="T42" s="59">
        <f t="shared" si="34"/>
        <v>179.89696397462069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7.5944227967780238</v>
      </c>
      <c r="AA42" s="21">
        <f>EXP(-LN(2)/25)*AA41+(1-EXP(-LN(2)/25))/(LN(2)/25)*Calculateur!V42*Calculateur!X42*VLOOKUP('Données projet'!$B$9,Paramètres!$A$1:$I$89,3,0)*0.475*44/12</f>
        <v>8.6887137292968486</v>
      </c>
      <c r="AB42" s="21">
        <f>EXP(-LN(2)/2)*AB41+(1-EXP(-LN(2)/2))/(LN(2)/2)*V42*Y42*VLOOKUP('Données projet'!$B$9,Paramètres!$A$1:$I$89,3,0)*0.475*44/12</f>
        <v>0.48804194683773744</v>
      </c>
      <c r="AC42" s="22">
        <f t="shared" si="3"/>
        <v>16.771178472912609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25.6</v>
      </c>
      <c r="AI42" s="13">
        <f>IF('Données projet'!$A$62&gt;35,AI41+AH42-AQ41,IF(A42&lt;'Données projet'!$A$62,$AF$205^A42,IF(A42='Données projet'!$A$62,'Données projet'!$B$62,AI41+AH42-AQ41)))</f>
        <v>538.4000000000002</v>
      </c>
      <c r="AJ42" s="13">
        <f>AI42*VLOOKUP('Données projet'!$B$10,Paramètres!$A$1:$I$89,3,0)*VLOOKUP('Données projet'!$B$10,Paramètres!$A$1:$I$89,5,0)</f>
        <v>300.96560000000011</v>
      </c>
      <c r="AK42" s="13">
        <f t="shared" si="35"/>
        <v>71.378852450242803</v>
      </c>
      <c r="AL42" s="20">
        <f t="shared" si="4"/>
        <v>648.49992135083971</v>
      </c>
      <c r="AM42" s="59">
        <f t="shared" si="5"/>
        <v>941.83325468417297</v>
      </c>
      <c r="AN42" s="59">
        <f ca="1">AVERAGE(OFFSET($AM$3,0,0,'Données projet'!$E$10+1,1))-AVERAGE(OFFSET($H$3,0,0,'Données projet'!$E$10+1,1))</f>
        <v>365.13032894303285</v>
      </c>
      <c r="AO42" s="59">
        <f t="shared" si="36"/>
        <v>471.89239871617241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3.6856907792885094</v>
      </c>
      <c r="AV42" s="21">
        <f>EXP(-LN(2)/25)*AV41+(1-EXP(-LN(2)/25))/(LN(2)/25)*Calculateur!AQ42*Calculateur!AS42*VLOOKUP('Données projet'!$B$10,Paramètres!$A$1:$I$89,3,0)*0.475*44/12</f>
        <v>16.207710528612253</v>
      </c>
      <c r="AW42" s="21">
        <f>EXP(-LN(2)/2)*AW41+(1-EXP(-LN(2)/2))/(LN(2)/2)*AQ42*AT42*VLOOKUP('Données projet'!$B$10,Paramètres!$A$1:$I$89,3,0)*0.475*44/12</f>
        <v>0.46229717391127917</v>
      </c>
      <c r="AX42" s="21">
        <f t="shared" si="6"/>
        <v>20.355698481812041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243.5</v>
      </c>
      <c r="L43" s="12">
        <f>VLOOKUP(A43,'Données projet'!$A$35:$I$55,9,0)</f>
        <v>10</v>
      </c>
      <c r="M43" s="12">
        <f t="array" ref="M43">INDEX(L:L,MIN(IF(ISNUMBER(L43:L239),ROW(L43:L239),"")))</f>
        <v>10</v>
      </c>
      <c r="N43" s="13">
        <f>IF('Données projet'!$A$36&gt;35,N42+M43-V42,IF(A43&lt;'Données projet'!$A$36,$K$205^A43,IF(A43='Données projet'!$A$36,'Données projet'!$B$36,N42+M43-V42)))</f>
        <v>243.49999999999989</v>
      </c>
      <c r="O43" s="13">
        <f>N43*VLOOKUP('Données projet'!$B$9,Paramètres!$A$1:$I$89,3,0)*VLOOKUP('Données projet'!$B$9,Paramètres!$A$1:$I$89,5,0)</f>
        <v>113.95799999999994</v>
      </c>
      <c r="P43" s="13">
        <f t="shared" si="33"/>
        <v>30.261593043834445</v>
      </c>
      <c r="Q43" s="20">
        <f t="shared" si="53"/>
        <v>251.1824578846782</v>
      </c>
      <c r="R43" s="59">
        <f t="shared" si="0"/>
        <v>544.51579121801149</v>
      </c>
      <c r="S43" s="59">
        <f ca="1">AVERAGE(OFFSET($R$3,0,0,'Données projet'!$E$9+1,1))-AVERAGE(OFFSET($H$3,0,0,'Données projet'!$E$9+1,1))</f>
        <v>226.0452828290525</v>
      </c>
      <c r="T43" s="59">
        <f t="shared" si="34"/>
        <v>179.89696397462069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70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7.4455007978737271</v>
      </c>
      <c r="AA43" s="21">
        <f>EXP(-LN(2)/25)*AA42+(1-EXP(-LN(2)/25))/(LN(2)/25)*Calculateur!V43*Calculateur!X43*VLOOKUP('Données projet'!$B$9,Paramètres!$A$1:$I$89,3,0)*0.475*44/12</f>
        <v>8.4511203954496299</v>
      </c>
      <c r="AB43" s="21">
        <f>EXP(-LN(2)/2)*AB42+(1-EXP(-LN(2)/2))/(LN(2)/2)*V43*Y43*VLOOKUP('Données projet'!$B$9,Paramètres!$A$1:$I$89,3,0)*0.475*44/12</f>
        <v>0.34509777011244869</v>
      </c>
      <c r="AC43" s="22">
        <f t="shared" si="3"/>
        <v>16.241718963435805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564</v>
      </c>
      <c r="AG43" s="12">
        <f>VLOOKUP(A43,'Données projet'!$A$61:$I$81,9,0)</f>
        <v>25.6</v>
      </c>
      <c r="AH43" s="12">
        <f t="array" ref="AH43">INDEX(AG:AG,MIN(IF(ISNUMBER(AG43:AG239),ROW(AG43:AG239),"")))</f>
        <v>25.6</v>
      </c>
      <c r="AI43" s="13">
        <f>IF('Données projet'!$A$62&gt;35,AI42+AH43-AQ42,IF(A43&lt;'Données projet'!$A$62,$AF$205^A43,IF(A43='Données projet'!$A$62,'Données projet'!$B$62,AI42+AH43-AQ42)))</f>
        <v>564.00000000000023</v>
      </c>
      <c r="AJ43" s="13">
        <f>AI43*VLOOKUP('Données projet'!$B$10,Paramètres!$A$1:$I$89,3,0)*VLOOKUP('Données projet'!$B$10,Paramètres!$A$1:$I$89,5,0)</f>
        <v>315.27600000000012</v>
      </c>
      <c r="AK43" s="13">
        <f t="shared" si="35"/>
        <v>74.36958441265493</v>
      </c>
      <c r="AL43" s="20">
        <f t="shared" si="4"/>
        <v>678.63272618537417</v>
      </c>
      <c r="AM43" s="59">
        <f t="shared" si="5"/>
        <v>971.96605951870743</v>
      </c>
      <c r="AN43" s="59">
        <f ca="1">AVERAGE(OFFSET($AM$3,0,0,'Données projet'!$E$10+1,1))-AVERAGE(OFFSET($H$3,0,0,'Données projet'!$E$10+1,1))</f>
        <v>365.13032894303285</v>
      </c>
      <c r="AO43" s="59">
        <f t="shared" si="36"/>
        <v>471.89239871617241</v>
      </c>
      <c r="AP43" s="15">
        <f>IF(ISNA(VLOOKUP(A43,'Données projet'!$A$61:$I$81,3,0)),0,VLOOKUP(A43,'Données projet'!$A$61:$I$81,3,0))</f>
        <v>4</v>
      </c>
      <c r="AQ43" s="15">
        <f>IF(ISNA(VLOOKUP(A43,'Données projet'!$A$61:$I$81,4,0)),0,VLOOKUP(A43,'Données projet'!$A$61:$I$81,4,0))</f>
        <v>72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3.6134166311560607</v>
      </c>
      <c r="AV43" s="21">
        <f>EXP(-LN(2)/25)*AV42+(1-EXP(-LN(2)/25))/(LN(2)/25)*Calculateur!AQ43*Calculateur!AS43*VLOOKUP('Données projet'!$B$10,Paramètres!$A$1:$I$89,3,0)*0.475*44/12</f>
        <v>15.764509831880897</v>
      </c>
      <c r="AW43" s="21">
        <f>EXP(-LN(2)/2)*AW42+(1-EXP(-LN(2)/2))/(LN(2)/2)*AQ43*AT43*VLOOKUP('Données projet'!$B$10,Paramètres!$A$1:$I$89,3,0)*0.475*44/12</f>
        <v>0.32689346659604218</v>
      </c>
      <c r="AX43" s="21">
        <f t="shared" si="6"/>
        <v>19.704819929633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11.5</v>
      </c>
      <c r="N44" s="13">
        <f>IF('Données projet'!$A$36&gt;35,N43+M44-V43,IF(A44&lt;'Données projet'!$A$36,$K$205^A44,IF(A44='Données projet'!$A$36,'Données projet'!$B$36,N43+M44-V43)))</f>
        <v>184.99999999999989</v>
      </c>
      <c r="O44" s="13">
        <f>N44*VLOOKUP('Données projet'!$B$9,Paramètres!$A$1:$I$89,3,0)*VLOOKUP('Données projet'!$B$9,Paramètres!$A$1:$I$89,5,0)</f>
        <v>86.579999999999941</v>
      </c>
      <c r="P44" s="13">
        <f t="shared" si="33"/>
        <v>23.738552844733956</v>
      </c>
      <c r="Q44" s="20">
        <f t="shared" si="53"/>
        <v>192.13814620457819</v>
      </c>
      <c r="R44" s="59">
        <f t="shared" si="0"/>
        <v>485.47147953791148</v>
      </c>
      <c r="S44" s="59">
        <f ca="1">AVERAGE(OFFSET($R$3,0,0,'Données projet'!$E$9+1,1))-AVERAGE(OFFSET($H$3,0,0,'Données projet'!$E$9+1,1))</f>
        <v>226.0452828290525</v>
      </c>
      <c r="T44" s="59">
        <f t="shared" si="34"/>
        <v>179.89696397462069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7.2994990685344936</v>
      </c>
      <c r="AA44" s="21">
        <f>EXP(-LN(2)/25)*AA43+(1-EXP(-LN(2)/25))/(LN(2)/25)*Calculateur!V44*Calculateur!X44*VLOOKUP('Données projet'!$B$9,Paramètres!$A$1:$I$89,3,0)*0.475*44/12</f>
        <v>8.2200240638109534</v>
      </c>
      <c r="AB44" s="21">
        <f>EXP(-LN(2)/2)*AB43+(1-EXP(-LN(2)/2))/(LN(2)/2)*V44*Y44*VLOOKUP('Données projet'!$B$9,Paramètres!$A$1:$I$89,3,0)*0.475*44/12</f>
        <v>0.24402097341886875</v>
      </c>
      <c r="AC44" s="22">
        <f t="shared" si="3"/>
        <v>15.763544105764316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22.8</v>
      </c>
      <c r="AI44" s="13">
        <f>IF('Données projet'!$A$62&gt;35,AI43+AH44-AQ43,IF(A44&lt;'Données projet'!$A$62,$AF$205^A44,IF(A44='Données projet'!$A$62,'Données projet'!$B$62,AI43+AH44-AQ43)))</f>
        <v>514.80000000000018</v>
      </c>
      <c r="AJ44" s="13">
        <f>AI44*VLOOKUP('Données projet'!$B$10,Paramètres!$A$1:$I$89,3,0)*VLOOKUP('Données projet'!$B$10,Paramètres!$A$1:$I$89,5,0)</f>
        <v>287.77320000000009</v>
      </c>
      <c r="AK44" s="13">
        <f t="shared" si="35"/>
        <v>68.607082381743922</v>
      </c>
      <c r="AL44" s="20">
        <f t="shared" si="4"/>
        <v>620.69565848153741</v>
      </c>
      <c r="AM44" s="59">
        <f t="shared" si="5"/>
        <v>914.02899181487078</v>
      </c>
      <c r="AN44" s="59">
        <f ca="1">AVERAGE(OFFSET($AM$3,0,0,'Données projet'!$E$10+1,1))-AVERAGE(OFFSET($H$3,0,0,'Données projet'!$E$10+1,1))</f>
        <v>365.13032894303285</v>
      </c>
      <c r="AO44" s="59">
        <f t="shared" si="36"/>
        <v>471.89239871617241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3.5425597349856117</v>
      </c>
      <c r="AV44" s="21">
        <f>EXP(-LN(2)/25)*AV43+(1-EXP(-LN(2)/25))/(LN(2)/25)*Calculateur!AQ44*Calculateur!AS44*VLOOKUP('Données projet'!$B$10,Paramètres!$A$1:$I$89,3,0)*0.475*44/12</f>
        <v>15.333428481508571</v>
      </c>
      <c r="AW44" s="21">
        <f>EXP(-LN(2)/2)*AW43+(1-EXP(-LN(2)/2))/(LN(2)/2)*AQ44*AT44*VLOOKUP('Données projet'!$B$10,Paramètres!$A$1:$I$89,3,0)*0.475*44/12</f>
        <v>0.23114858695563958</v>
      </c>
      <c r="AX44" s="21">
        <f t="shared" si="6"/>
        <v>19.107136803449823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11.5</v>
      </c>
      <c r="N45" s="13">
        <f>IF('Données projet'!$A$36&gt;35,N44+M45-V44,IF(A45&lt;'Données projet'!$A$36,$K$205^A45,IF(A45='Données projet'!$A$36,'Données projet'!$B$36,N44+M45-V44)))</f>
        <v>196.49999999999989</v>
      </c>
      <c r="O45" s="13">
        <f>N45*VLOOKUP('Données projet'!$B$9,Paramètres!$A$1:$I$89,3,0)*VLOOKUP('Données projet'!$B$9,Paramètres!$A$1:$I$89,5,0)</f>
        <v>91.961999999999946</v>
      </c>
      <c r="P45" s="13">
        <f t="shared" si="33"/>
        <v>25.037816603121904</v>
      </c>
      <c r="Q45" s="20">
        <f t="shared" si="53"/>
        <v>203.77468058377053</v>
      </c>
      <c r="R45" s="59">
        <f t="shared" si="0"/>
        <v>497.10801391710385</v>
      </c>
      <c r="S45" s="59">
        <f ca="1">AVERAGE(OFFSET($R$3,0,0,'Données projet'!$E$9+1,1))-AVERAGE(OFFSET($H$3,0,0,'Données projet'!$E$9+1,1))</f>
        <v>226.0452828290525</v>
      </c>
      <c r="T45" s="59">
        <f t="shared" si="34"/>
        <v>179.89696397462069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7.1563603440553401</v>
      </c>
      <c r="AA45" s="21">
        <f>EXP(-LN(2)/25)*AA44+(1-EXP(-LN(2)/25))/(LN(2)/25)*Calculateur!V45*Calculateur!X45*VLOOKUP('Données projet'!$B$9,Paramètres!$A$1:$I$89,3,0)*0.475*44/12</f>
        <v>7.9952470735137648</v>
      </c>
      <c r="AB45" s="21">
        <f>EXP(-LN(2)/2)*AB44+(1-EXP(-LN(2)/2))/(LN(2)/2)*V45*Y45*VLOOKUP('Données projet'!$B$9,Paramètres!$A$1:$I$89,3,0)*0.475*44/12</f>
        <v>0.17254888505622437</v>
      </c>
      <c r="AC45" s="22">
        <f t="shared" si="3"/>
        <v>15.32415630262533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22.8</v>
      </c>
      <c r="AI45" s="13">
        <f>IF('Données projet'!$A$62&gt;35,AI44+AH45-AQ44,IF(A45&lt;'Données projet'!$A$62,$AF$205^A45,IF(A45='Données projet'!$A$62,'Données projet'!$B$62,AI44+AH45-AQ44)))</f>
        <v>537.60000000000014</v>
      </c>
      <c r="AJ45" s="13">
        <f>AI45*VLOOKUP('Données projet'!$B$10,Paramètres!$A$1:$I$89,3,0)*VLOOKUP('Données projet'!$B$10,Paramètres!$A$1:$I$89,5,0)</f>
        <v>300.5184000000001</v>
      </c>
      <c r="AK45" s="13">
        <f t="shared" si="35"/>
        <v>71.285129105116411</v>
      </c>
      <c r="AL45" s="20">
        <f t="shared" si="4"/>
        <v>647.55781319141124</v>
      </c>
      <c r="AM45" s="59">
        <f t="shared" si="5"/>
        <v>940.8911465247445</v>
      </c>
      <c r="AN45" s="59">
        <f ca="1">AVERAGE(OFFSET($AM$3,0,0,'Données projet'!$E$10+1,1))-AVERAGE(OFFSET($H$3,0,0,'Données projet'!$E$10+1,1))</f>
        <v>365.13032894303285</v>
      </c>
      <c r="AO45" s="59">
        <f t="shared" si="36"/>
        <v>471.89239871617241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3.4730922993306259</v>
      </c>
      <c r="AV45" s="21">
        <f>EXP(-LN(2)/25)*AV44+(1-EXP(-LN(2)/25))/(LN(2)/25)*Calculateur!AQ45*Calculateur!AS45*VLOOKUP('Données projet'!$B$10,Paramètres!$A$1:$I$89,3,0)*0.475*44/12</f>
        <v>14.91413507333176</v>
      </c>
      <c r="AW45" s="21">
        <f>EXP(-LN(2)/2)*AW44+(1-EXP(-LN(2)/2))/(LN(2)/2)*AQ45*AT45*VLOOKUP('Données projet'!$B$10,Paramètres!$A$1:$I$89,3,0)*0.475*44/12</f>
        <v>0.16344673329802109</v>
      </c>
      <c r="AX45" s="21">
        <f t="shared" si="6"/>
        <v>18.550674105960407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11.5</v>
      </c>
      <c r="N46" s="13">
        <f>IF('Données projet'!$A$36&gt;35,N45+M46-V45,IF(A46&lt;'Données projet'!$A$36,$K$205^A46,IF(A46='Données projet'!$A$36,'Données projet'!$B$36,N45+M46-V45)))</f>
        <v>207.99999999999989</v>
      </c>
      <c r="O46" s="13">
        <f>N46*VLOOKUP('Données projet'!$B$9,Paramètres!$A$1:$I$89,3,0)*VLOOKUP('Données projet'!$B$9,Paramètres!$A$1:$I$89,5,0)</f>
        <v>97.343999999999937</v>
      </c>
      <c r="P46" s="13">
        <f t="shared" si="33"/>
        <v>26.328254259866451</v>
      </c>
      <c r="Q46" s="20">
        <f t="shared" si="53"/>
        <v>215.39584283593396</v>
      </c>
      <c r="R46" s="59">
        <f t="shared" si="0"/>
        <v>508.72917616926725</v>
      </c>
      <c r="S46" s="59">
        <f ca="1">AVERAGE(OFFSET($R$3,0,0,'Données projet'!$E$9+1,1))-AVERAGE(OFFSET($H$3,0,0,'Données projet'!$E$9+1,1))</f>
        <v>226.0452828290525</v>
      </c>
      <c r="T46" s="59">
        <f t="shared" si="34"/>
        <v>179.89696397462069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7.0160284826572221</v>
      </c>
      <c r="AA46" s="21">
        <f>EXP(-LN(2)/25)*AA45+(1-EXP(-LN(2)/25))/(LN(2)/25)*Calculateur!V46*Calculateur!X46*VLOOKUP('Données projet'!$B$9,Paramètres!$A$1:$I$89,3,0)*0.475*44/12</f>
        <v>7.7766166218367605</v>
      </c>
      <c r="AB46" s="21">
        <f>EXP(-LN(2)/2)*AB45+(1-EXP(-LN(2)/2))/(LN(2)/2)*V46*Y46*VLOOKUP('Données projet'!$B$9,Paramètres!$A$1:$I$89,3,0)*0.475*44/12</f>
        <v>0.1220104867094344</v>
      </c>
      <c r="AC46" s="22">
        <f t="shared" si="3"/>
        <v>14.914655591203417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22.8</v>
      </c>
      <c r="AI46" s="13">
        <f>IF('Données projet'!$A$62&gt;35,AI45+AH46-AQ45,IF(A46&lt;'Données projet'!$A$62,$AF$205^A46,IF(A46='Données projet'!$A$62,'Données projet'!$B$62,AI45+AH46-AQ45)))</f>
        <v>560.40000000000009</v>
      </c>
      <c r="AJ46" s="13">
        <f>AI46*VLOOKUP('Données projet'!$B$10,Paramètres!$A$1:$I$89,3,0)*VLOOKUP('Données projet'!$B$10,Paramètres!$A$1:$I$89,5,0)</f>
        <v>313.26360000000005</v>
      </c>
      <c r="AK46" s="13">
        <f t="shared" si="35"/>
        <v>73.949983766039026</v>
      </c>
      <c r="AL46" s="20">
        <f t="shared" si="4"/>
        <v>674.39699172585131</v>
      </c>
      <c r="AM46" s="59">
        <f t="shared" si="5"/>
        <v>967.73032505918468</v>
      </c>
      <c r="AN46" s="59">
        <f ca="1">AVERAGE(OFFSET($AM$3,0,0,'Données projet'!$E$10+1,1))-AVERAGE(OFFSET($H$3,0,0,'Données projet'!$E$10+1,1))</f>
        <v>365.13032894303285</v>
      </c>
      <c r="AO46" s="59">
        <f t="shared" si="36"/>
        <v>471.89239871617241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3.4049870777178826</v>
      </c>
      <c r="AV46" s="21">
        <f>EXP(-LN(2)/25)*AV45+(1-EXP(-LN(2)/25))/(LN(2)/25)*Calculateur!AQ46*Calculateur!AS46*VLOOKUP('Données projet'!$B$10,Paramètres!$A$1:$I$89,3,0)*0.475*44/12</f>
        <v>14.506307265451227</v>
      </c>
      <c r="AW46" s="21">
        <f>EXP(-LN(2)/2)*AW45+(1-EXP(-LN(2)/2))/(LN(2)/2)*AQ46*AT46*VLOOKUP('Données projet'!$B$10,Paramètres!$A$1:$I$89,3,0)*0.475*44/12</f>
        <v>0.11557429347781979</v>
      </c>
      <c r="AX46" s="21">
        <f t="shared" si="6"/>
        <v>18.026868636646931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11.5</v>
      </c>
      <c r="N47" s="13">
        <f>IF('Données projet'!$A$36&gt;35,N46+M47-V46,IF(A47&lt;'Données projet'!$A$36,$K$205^A47,IF(A47='Données projet'!$A$36,'Données projet'!$B$36,N46+M47-V46)))</f>
        <v>219.49999999999989</v>
      </c>
      <c r="O47" s="13">
        <f>N47*VLOOKUP('Données projet'!$B$9,Paramètres!$A$1:$I$89,3,0)*VLOOKUP('Données projet'!$B$9,Paramètres!$A$1:$I$89,5,0)</f>
        <v>102.72599999999994</v>
      </c>
      <c r="P47" s="13">
        <f t="shared" si="33"/>
        <v>27.610409417164195</v>
      </c>
      <c r="Q47" s="20">
        <f t="shared" si="53"/>
        <v>227.0025797348942</v>
      </c>
      <c r="R47" s="59">
        <f t="shared" si="0"/>
        <v>520.33591306822746</v>
      </c>
      <c r="S47" s="59">
        <f ca="1">AVERAGE(OFFSET($R$3,0,0,'Données projet'!$E$9+1,1))-AVERAGE(OFFSET($H$3,0,0,'Données projet'!$E$9+1,1))</f>
        <v>226.0452828290525</v>
      </c>
      <c r="T47" s="59">
        <f t="shared" si="34"/>
        <v>179.89696397462069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6.8784484434671374</v>
      </c>
      <c r="AA47" s="21">
        <f>EXP(-LN(2)/25)*AA46+(1-EXP(-LN(2)/25))/(LN(2)/25)*Calculateur!V47*Calculateur!X47*VLOOKUP('Données projet'!$B$9,Paramètres!$A$1:$I$89,3,0)*0.475*44/12</f>
        <v>7.5639646313581395</v>
      </c>
      <c r="AB47" s="21">
        <f>EXP(-LN(2)/2)*AB46+(1-EXP(-LN(2)/2))/(LN(2)/2)*V47*Y47*VLOOKUP('Données projet'!$B$9,Paramètres!$A$1:$I$89,3,0)*0.475*44/12</f>
        <v>8.62744425281122E-2</v>
      </c>
      <c r="AC47" s="22">
        <f t="shared" si="3"/>
        <v>14.528687517353388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22.8</v>
      </c>
      <c r="AI47" s="13">
        <f>IF('Données projet'!$A$62&gt;35,AI46+AH47-AQ46,IF(A47&lt;'Données projet'!$A$62,$AF$205^A47,IF(A47='Données projet'!$A$62,'Données projet'!$B$62,AI46+AH47-AQ46)))</f>
        <v>583.20000000000005</v>
      </c>
      <c r="AJ47" s="13">
        <f>AI47*VLOOKUP('Données projet'!$B$10,Paramètres!$A$1:$I$89,3,0)*VLOOKUP('Données projet'!$B$10,Paramètres!$A$1:$I$89,5,0)</f>
        <v>326.00880000000001</v>
      </c>
      <c r="AK47" s="13">
        <f t="shared" si="35"/>
        <v>76.602244480772981</v>
      </c>
      <c r="AL47" s="20">
        <f t="shared" si="4"/>
        <v>701.2142358040129</v>
      </c>
      <c r="AM47" s="59">
        <f t="shared" si="5"/>
        <v>994.54756913734627</v>
      </c>
      <c r="AN47" s="59">
        <f ca="1">AVERAGE(OFFSET($AM$3,0,0,'Données projet'!$E$10+1,1))-AVERAGE(OFFSET($H$3,0,0,'Données projet'!$E$10+1,1))</f>
        <v>365.13032894303285</v>
      </c>
      <c r="AO47" s="59">
        <f t="shared" si="36"/>
        <v>471.89239871617241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3.3382173579608816</v>
      </c>
      <c r="AV47" s="21">
        <f>EXP(-LN(2)/25)*AV46+(1-EXP(-LN(2)/25))/(LN(2)/25)*Calculateur!AQ47*Calculateur!AS47*VLOOKUP('Données projet'!$B$10,Paramètres!$A$1:$I$89,3,0)*0.475*44/12</f>
        <v>14.109631530423918</v>
      </c>
      <c r="AW47" s="21">
        <f>EXP(-LN(2)/2)*AW46+(1-EXP(-LN(2)/2))/(LN(2)/2)*AQ47*AT47*VLOOKUP('Données projet'!$B$10,Paramètres!$A$1:$I$89,3,0)*0.475*44/12</f>
        <v>8.1723366649010545E-2</v>
      </c>
      <c r="AX47" s="21">
        <f t="shared" si="6"/>
        <v>17.529572255033813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11.5</v>
      </c>
      <c r="N48" s="13">
        <f>IF('Données projet'!$A$36&gt;35,N47+M48-V47,IF(A48&lt;'Données projet'!$A$36,$K$205^A48,IF(A48='Données projet'!$A$36,'Données projet'!$B$36,N47+M48-V47)))</f>
        <v>230.99999999999989</v>
      </c>
      <c r="O48" s="13">
        <f>N48*VLOOKUP('Données projet'!$B$9,Paramètres!$A$1:$I$89,3,0)*VLOOKUP('Données projet'!$B$9,Paramètres!$A$1:$I$89,5,0)</f>
        <v>108.10799999999995</v>
      </c>
      <c r="P48" s="13">
        <f t="shared" si="33"/>
        <v>28.884765499467136</v>
      </c>
      <c r="Q48" s="20">
        <f t="shared" si="53"/>
        <v>238.59573324490518</v>
      </c>
      <c r="R48" s="59">
        <f t="shared" si="0"/>
        <v>531.92906657823846</v>
      </c>
      <c r="S48" s="59">
        <f ca="1">AVERAGE(OFFSET($R$3,0,0,'Données projet'!$E$9+1,1))-AVERAGE(OFFSET($H$3,0,0,'Données projet'!$E$9+1,1))</f>
        <v>226.0452828290525</v>
      </c>
      <c r="T48" s="59">
        <f t="shared" si="34"/>
        <v>179.89696397462069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6.7435662649300321</v>
      </c>
      <c r="AA48" s="21">
        <f>EXP(-LN(2)/25)*AA47+(1-EXP(-LN(2)/25))/(LN(2)/25)*Calculateur!V48*Calculateur!X48*VLOOKUP('Données projet'!$B$9,Paramètres!$A$1:$I$89,3,0)*0.475*44/12</f>
        <v>7.3571276207420384</v>
      </c>
      <c r="AB48" s="21">
        <f>EXP(-LN(2)/2)*AB47+(1-EXP(-LN(2)/2))/(LN(2)/2)*V48*Y48*VLOOKUP('Données projet'!$B$9,Paramètres!$A$1:$I$89,3,0)*0.475*44/12</f>
        <v>6.1005243354717208E-2</v>
      </c>
      <c r="AC48" s="22">
        <f t="shared" si="3"/>
        <v>14.161699129026788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606</v>
      </c>
      <c r="AG48" s="12">
        <f>VLOOKUP(A48,'Données projet'!$A$61:$I$81,9,0)</f>
        <v>22.8</v>
      </c>
      <c r="AH48" s="12">
        <f t="array" ref="AH48">INDEX(AG:AG,MIN(IF(ISNUMBER(AG48:AG244),ROW(AG48:AG244),"")))</f>
        <v>22.8</v>
      </c>
      <c r="AI48" s="13">
        <f>IF('Données projet'!$A$62&gt;35,AI47+AH48-AQ47,IF(A48&lt;'Données projet'!$A$62,$AF$205^A48,IF(A48='Données projet'!$A$62,'Données projet'!$B$62,AI47+AH48-AQ47)))</f>
        <v>606</v>
      </c>
      <c r="AJ48" s="13">
        <f>AI48*VLOOKUP('Données projet'!$B$10,Paramètres!$A$1:$I$89,3,0)*VLOOKUP('Données projet'!$B$10,Paramètres!$A$1:$I$89,5,0)</f>
        <v>338.75400000000002</v>
      </c>
      <c r="AK48" s="13">
        <f t="shared" si="35"/>
        <v>79.242459951408904</v>
      </c>
      <c r="AL48" s="20">
        <f t="shared" si="4"/>
        <v>728.01050108203719</v>
      </c>
      <c r="AM48" s="59">
        <f t="shared" si="5"/>
        <v>1021.3438344153706</v>
      </c>
      <c r="AN48" s="59">
        <f ca="1">AVERAGE(OFFSET($AM$3,0,0,'Données projet'!$E$10+1,1))-AVERAGE(OFFSET($H$3,0,0,'Données projet'!$E$10+1,1))</f>
        <v>365.13032894303285</v>
      </c>
      <c r="AO48" s="59">
        <f t="shared" si="36"/>
        <v>471.89239871617241</v>
      </c>
      <c r="AP48" s="15">
        <f>IF(ISNA(VLOOKUP(A48,'Données projet'!$A$61:$I$81,3,0)),0,VLOOKUP(A48,'Données projet'!$A$61:$I$81,3,0))</f>
        <v>5</v>
      </c>
      <c r="AQ48" s="15">
        <f>IF(ISNA(VLOOKUP(A48,'Données projet'!$A$61:$I$81,4,0)),0,VLOOKUP(A48,'Données projet'!$A$61:$I$81,4,0))</f>
        <v>66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3.2727569516828079</v>
      </c>
      <c r="AV48" s="21">
        <f>EXP(-LN(2)/25)*AV47+(1-EXP(-LN(2)/25))/(LN(2)/25)*Calculateur!AQ48*Calculateur!AS48*VLOOKUP('Données projet'!$B$10,Paramètres!$A$1:$I$89,3,0)*0.475*44/12</f>
        <v>13.723802914231202</v>
      </c>
      <c r="AW48" s="21">
        <f>EXP(-LN(2)/2)*AW47+(1-EXP(-LN(2)/2))/(LN(2)/2)*AQ48*AT48*VLOOKUP('Données projet'!$B$10,Paramètres!$A$1:$I$89,3,0)*0.475*44/12</f>
        <v>5.7787146738909896E-2</v>
      </c>
      <c r="AX48" s="21">
        <f t="shared" si="6"/>
        <v>17.054347012652919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11.5</v>
      </c>
      <c r="N49" s="13">
        <f>IF('Données projet'!$A$36&gt;35,N48+M49-V48,IF(A49&lt;'Données projet'!$A$36,$K$205^A49,IF(A49='Données projet'!$A$36,'Données projet'!$B$36,N48+M49-V48)))</f>
        <v>242.49999999999989</v>
      </c>
      <c r="O49" s="13">
        <f>N49*VLOOKUP('Données projet'!$B$9,Paramètres!$A$1:$I$89,3,0)*VLOOKUP('Données projet'!$B$9,Paramètres!$A$1:$I$89,5,0)</f>
        <v>113.48999999999994</v>
      </c>
      <c r="P49" s="13">
        <f t="shared" si="33"/>
        <v>30.151755078981495</v>
      </c>
      <c r="Q49" s="20">
        <f t="shared" si="53"/>
        <v>250.17605676255928</v>
      </c>
      <c r="R49" s="59">
        <f t="shared" si="0"/>
        <v>543.50939009589263</v>
      </c>
      <c r="S49" s="59">
        <f ca="1">AVERAGE(OFFSET($R$3,0,0,'Données projet'!$E$9+1,1))-AVERAGE(OFFSET($H$3,0,0,'Données projet'!$E$9+1,1))</f>
        <v>226.0452828290525</v>
      </c>
      <c r="T49" s="59">
        <f t="shared" si="34"/>
        <v>179.89696397462069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6.6113290436440337</v>
      </c>
      <c r="AA49" s="21">
        <f>EXP(-LN(2)/25)*AA48+(1-EXP(-LN(2)/25))/(LN(2)/25)*Calculateur!V49*Calculateur!X49*VLOOKUP('Données projet'!$B$9,Paramètres!$A$1:$I$89,3,0)*0.475*44/12</f>
        <v>7.1559465790583205</v>
      </c>
      <c r="AB49" s="21">
        <f>EXP(-LN(2)/2)*AB48+(1-EXP(-LN(2)/2))/(LN(2)/2)*V49*Y49*VLOOKUP('Données projet'!$B$9,Paramètres!$A$1:$I$89,3,0)*0.475*44/12</f>
        <v>4.3137221264056107E-2</v>
      </c>
      <c r="AC49" s="22">
        <f t="shared" si="3"/>
        <v>13.810412843966409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17.8</v>
      </c>
      <c r="AI49" s="13">
        <f>IF('Données projet'!$A$62&gt;35,AI48+AH49-AQ48,IF(A49&lt;'Données projet'!$A$62,$AF$205^A49,IF(A49='Données projet'!$A$62,'Données projet'!$B$62,AI48+AH49-AQ48)))</f>
        <v>557.79999999999995</v>
      </c>
      <c r="AJ49" s="13">
        <f>AI49*VLOOKUP('Données projet'!$B$10,Paramètres!$A$1:$I$89,3,0)*VLOOKUP('Données projet'!$B$10,Paramètres!$A$1:$I$89,5,0)</f>
        <v>311.81020000000001</v>
      </c>
      <c r="AK49" s="13">
        <f t="shared" si="35"/>
        <v>73.646743780370684</v>
      </c>
      <c r="AL49" s="20">
        <f t="shared" si="4"/>
        <v>671.33751041747894</v>
      </c>
      <c r="AM49" s="59">
        <f t="shared" si="5"/>
        <v>964.67084375081231</v>
      </c>
      <c r="AN49" s="59">
        <f ca="1">AVERAGE(OFFSET($AM$3,0,0,'Données projet'!$E$10+1,1))-AVERAGE(OFFSET($H$3,0,0,'Données projet'!$E$10+1,1))</f>
        <v>365.13032894303285</v>
      </c>
      <c r="AO49" s="59">
        <f t="shared" si="36"/>
        <v>471.89239871617241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3.2085801840449415</v>
      </c>
      <c r="AV49" s="21">
        <f>EXP(-LN(2)/25)*AV48+(1-EXP(-LN(2)/25))/(LN(2)/25)*Calculateur!AQ49*Calculateur!AS49*VLOOKUP('Données projet'!$B$10,Paramètres!$A$1:$I$89,3,0)*0.475*44/12</f>
        <v>13.348524801838121</v>
      </c>
      <c r="AW49" s="21">
        <f>EXP(-LN(2)/2)*AW48+(1-EXP(-LN(2)/2))/(LN(2)/2)*AQ49*AT49*VLOOKUP('Données projet'!$B$10,Paramètres!$A$1:$I$89,3,0)*0.475*44/12</f>
        <v>4.0861683324505273E-2</v>
      </c>
      <c r="AX49" s="21">
        <f t="shared" si="6"/>
        <v>16.597966669207565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11.5</v>
      </c>
      <c r="N50" s="13">
        <f>IF('Données projet'!$A$36&gt;35,N49+M50-V49,IF(A50&lt;'Données projet'!$A$36,$K$205^A50,IF(A50='Données projet'!$A$36,'Données projet'!$B$36,N49+M50-V49)))</f>
        <v>253.99999999999989</v>
      </c>
      <c r="O50" s="13">
        <f>N50*VLOOKUP('Données projet'!$B$9,Paramètres!$A$1:$I$89,3,0)*VLOOKUP('Données projet'!$B$9,Paramètres!$A$1:$I$89,5,0)</f>
        <v>118.87199999999994</v>
      </c>
      <c r="P50" s="13">
        <f t="shared" si="33"/>
        <v>31.411767382096219</v>
      </c>
      <c r="Q50" s="20">
        <f t="shared" si="53"/>
        <v>261.74422819048414</v>
      </c>
      <c r="R50" s="59">
        <f t="shared" si="0"/>
        <v>555.07756152381739</v>
      </c>
      <c r="S50" s="59">
        <f ca="1">AVERAGE(OFFSET($R$3,0,0,'Données projet'!$E$9+1,1))-AVERAGE(OFFSET($H$3,0,0,'Données projet'!$E$9+1,1))</f>
        <v>226.0452828290525</v>
      </c>
      <c r="T50" s="59">
        <f t="shared" si="34"/>
        <v>179.89696397462069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6.4816849136107137</v>
      </c>
      <c r="AA50" s="21">
        <f>EXP(-LN(2)/25)*AA49+(1-EXP(-LN(2)/25))/(LN(2)/25)*Calculateur!V50*Calculateur!X50*VLOOKUP('Données projet'!$B$9,Paramètres!$A$1:$I$89,3,0)*0.475*44/12</f>
        <v>6.9602668435390953</v>
      </c>
      <c r="AB50" s="21">
        <f>EXP(-LN(2)/2)*AB49+(1-EXP(-LN(2)/2))/(LN(2)/2)*V50*Y50*VLOOKUP('Données projet'!$B$9,Paramètres!$A$1:$I$89,3,0)*0.475*44/12</f>
        <v>3.0502621677358607E-2</v>
      </c>
      <c r="AC50" s="22">
        <f t="shared" si="3"/>
        <v>13.472454378827168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17.8</v>
      </c>
      <c r="AI50" s="13">
        <f>IF('Données projet'!$A$62&gt;35,AI49+AH50-AQ49,IF(A50&lt;'Données projet'!$A$62,$AF$205^A50,IF(A50='Données projet'!$A$62,'Données projet'!$B$62,AI49+AH50-AQ49)))</f>
        <v>575.59999999999991</v>
      </c>
      <c r="AJ50" s="13">
        <f>AI50*VLOOKUP('Données projet'!$B$10,Paramètres!$A$1:$I$89,3,0)*VLOOKUP('Données projet'!$B$10,Paramètres!$A$1:$I$89,5,0)</f>
        <v>321.76039999999995</v>
      </c>
      <c r="AK50" s="13">
        <f t="shared" si="35"/>
        <v>75.719522083505169</v>
      </c>
      <c r="AL50" s="20">
        <f t="shared" si="4"/>
        <v>692.27753096210472</v>
      </c>
      <c r="AM50" s="59">
        <f t="shared" si="5"/>
        <v>985.61086429543798</v>
      </c>
      <c r="AN50" s="59">
        <f ca="1">AVERAGE(OFFSET($AM$3,0,0,'Données projet'!$E$10+1,1))-AVERAGE(OFFSET($H$3,0,0,'Données projet'!$E$10+1,1))</f>
        <v>365.13032894303285</v>
      </c>
      <c r="AO50" s="59">
        <f t="shared" si="36"/>
        <v>471.89239871617241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3.1456618836764907</v>
      </c>
      <c r="AV50" s="21">
        <f>EXP(-LN(2)/25)*AV49+(1-EXP(-LN(2)/25))/(LN(2)/25)*Calculateur!AQ50*Calculateur!AS50*VLOOKUP('Données projet'!$B$10,Paramètres!$A$1:$I$89,3,0)*0.475*44/12</f>
        <v>12.983508689163447</v>
      </c>
      <c r="AW50" s="21">
        <f>EXP(-LN(2)/2)*AW49+(1-EXP(-LN(2)/2))/(LN(2)/2)*AQ50*AT50*VLOOKUP('Données projet'!$B$10,Paramètres!$A$1:$I$89,3,0)*0.475*44/12</f>
        <v>2.8893573369454948E-2</v>
      </c>
      <c r="AX50" s="21">
        <f t="shared" si="6"/>
        <v>16.158064146209394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11.5</v>
      </c>
      <c r="N51" s="13">
        <f>IF('Données projet'!$A$36&gt;35,N50+M51-V50,IF(A51&lt;'Données projet'!$A$36,$K$205^A51,IF(A51='Données projet'!$A$36,'Données projet'!$B$36,N50+M51-V50)))</f>
        <v>265.49999999999989</v>
      </c>
      <c r="O51" s="13">
        <f>N51*VLOOKUP('Données projet'!$B$9,Paramètres!$A$1:$I$89,3,0)*VLOOKUP('Données projet'!$B$9,Paramètres!$A$1:$I$89,5,0)</f>
        <v>124.25399999999995</v>
      </c>
      <c r="P51" s="13">
        <f t="shared" si="33"/>
        <v>32.665154397958723</v>
      </c>
      <c r="Q51" s="20">
        <f t="shared" si="53"/>
        <v>273.30086057644468</v>
      </c>
      <c r="R51" s="59">
        <f t="shared" si="0"/>
        <v>566.63419390977799</v>
      </c>
      <c r="S51" s="59">
        <f ca="1">AVERAGE(OFFSET($R$3,0,0,'Données projet'!$E$9+1,1))-AVERAGE(OFFSET($H$3,0,0,'Données projet'!$E$9+1,1))</f>
        <v>226.0452828290525</v>
      </c>
      <c r="T51" s="59">
        <f t="shared" si="34"/>
        <v>179.89696397462069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6.3545830258922358</v>
      </c>
      <c r="AA51" s="21">
        <f>EXP(-LN(2)/25)*AA50+(1-EXP(-LN(2)/25))/(LN(2)/25)*Calculateur!V51*Calculateur!X51*VLOOKUP('Données projet'!$B$9,Paramètres!$A$1:$I$89,3,0)*0.475*44/12</f>
        <v>6.7699379806779936</v>
      </c>
      <c r="AB51" s="21">
        <f>EXP(-LN(2)/2)*AB50+(1-EXP(-LN(2)/2))/(LN(2)/2)*V51*Y51*VLOOKUP('Données projet'!$B$9,Paramètres!$A$1:$I$89,3,0)*0.475*44/12</f>
        <v>2.1568610632028057E-2</v>
      </c>
      <c r="AC51" s="22">
        <f t="shared" si="3"/>
        <v>13.146089617202259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17.8</v>
      </c>
      <c r="AI51" s="13">
        <f>IF('Données projet'!$A$62&gt;35,AI50+AH51-AQ50,IF(A51&lt;'Données projet'!$A$62,$AF$205^A51,IF(A51='Données projet'!$A$62,'Données projet'!$B$62,AI50+AH51-AQ50)))</f>
        <v>593.39999999999986</v>
      </c>
      <c r="AJ51" s="13">
        <f>AI51*VLOOKUP('Données projet'!$B$10,Paramètres!$A$1:$I$89,3,0)*VLOOKUP('Données projet'!$B$10,Paramètres!$A$1:$I$89,5,0)</f>
        <v>331.71059999999994</v>
      </c>
      <c r="AK51" s="13">
        <f t="shared" si="35"/>
        <v>77.784851407016433</v>
      </c>
      <c r="AL51" s="20">
        <f t="shared" si="4"/>
        <v>713.20457786722011</v>
      </c>
      <c r="AM51" s="59">
        <f t="shared" si="5"/>
        <v>1006.5379112005535</v>
      </c>
      <c r="AN51" s="59">
        <f ca="1">AVERAGE(OFFSET($AM$3,0,0,'Données projet'!$E$10+1,1))-AVERAGE(OFFSET($H$3,0,0,'Données projet'!$E$10+1,1))</f>
        <v>365.13032894303285</v>
      </c>
      <c r="AO51" s="59">
        <f t="shared" si="36"/>
        <v>471.89239871617241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3.0839773728018915</v>
      </c>
      <c r="AV51" s="21">
        <f>EXP(-LN(2)/25)*AV50+(1-EXP(-LN(2)/25))/(LN(2)/25)*Calculateur!AQ51*Calculateur!AS51*VLOOKUP('Données projet'!$B$10,Paramètres!$A$1:$I$89,3,0)*0.475*44/12</f>
        <v>12.628473961285225</v>
      </c>
      <c r="AW51" s="21">
        <f>EXP(-LN(2)/2)*AW50+(1-EXP(-LN(2)/2))/(LN(2)/2)*AQ51*AT51*VLOOKUP('Données projet'!$B$10,Paramètres!$A$1:$I$89,3,0)*0.475*44/12</f>
        <v>2.0430841662252636E-2</v>
      </c>
      <c r="AX51" s="21">
        <f t="shared" si="6"/>
        <v>15.732882175749369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11.5</v>
      </c>
      <c r="N52" s="13">
        <f>IF('Données projet'!$A$36&gt;35,N51+M52-V51,IF(A52&lt;'Données projet'!$A$36,$K$205^A52,IF(A52='Données projet'!$A$36,'Données projet'!$B$36,N51+M52-V51)))</f>
        <v>276.99999999999989</v>
      </c>
      <c r="O52" s="13">
        <f>N52*VLOOKUP('Données projet'!$B$9,Paramètres!$A$1:$I$89,3,0)*VLOOKUP('Données projet'!$B$9,Paramètres!$A$1:$I$89,5,0)</f>
        <v>129.63599999999994</v>
      </c>
      <c r="P52" s="13">
        <f t="shared" si="33"/>
        <v>33.912235898830978</v>
      </c>
      <c r="Q52" s="20">
        <f t="shared" si="53"/>
        <v>284.84651085713051</v>
      </c>
      <c r="R52" s="59">
        <f t="shared" si="0"/>
        <v>578.17984419046388</v>
      </c>
      <c r="S52" s="59">
        <f ca="1">AVERAGE(OFFSET($R$3,0,0,'Données projet'!$E$9+1,1))-AVERAGE(OFFSET($H$3,0,0,'Données projet'!$E$9+1,1))</f>
        <v>226.0452828290525</v>
      </c>
      <c r="T52" s="59">
        <f t="shared" si="34"/>
        <v>179.89696397462069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6.2299735286674203</v>
      </c>
      <c r="AA52" s="21">
        <f>EXP(-LN(2)/25)*AA51+(1-EXP(-LN(2)/25))/(LN(2)/25)*Calculateur!V52*Calculateur!X52*VLOOKUP('Données projet'!$B$9,Paramètres!$A$1:$I$89,3,0)*0.475*44/12</f>
        <v>6.5848136705807887</v>
      </c>
      <c r="AB52" s="21">
        <f>EXP(-LN(2)/2)*AB51+(1-EXP(-LN(2)/2))/(LN(2)/2)*V52*Y52*VLOOKUP('Données projet'!$B$9,Paramètres!$A$1:$I$89,3,0)*0.475*44/12</f>
        <v>1.5251310838679307E-2</v>
      </c>
      <c r="AC52" s="22">
        <f t="shared" si="3"/>
        <v>12.830038510086887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17.8</v>
      </c>
      <c r="AI52" s="13">
        <f>IF('Données projet'!$A$62&gt;35,AI51+AH52-AQ51,IF(A52&lt;'Données projet'!$A$62,$AF$205^A52,IF(A52='Données projet'!$A$62,'Données projet'!$B$62,AI51+AH52-AQ51)))</f>
        <v>611.19999999999982</v>
      </c>
      <c r="AJ52" s="13">
        <f>AI52*VLOOKUP('Données projet'!$B$10,Paramètres!$A$1:$I$89,3,0)*VLOOKUP('Données projet'!$B$10,Paramètres!$A$1:$I$89,5,0)</f>
        <v>341.66079999999988</v>
      </c>
      <c r="AK52" s="13">
        <f t="shared" si="35"/>
        <v>79.842980844864144</v>
      </c>
      <c r="AL52" s="20">
        <f t="shared" si="4"/>
        <v>734.11908497147158</v>
      </c>
      <c r="AM52" s="59">
        <f t="shared" si="5"/>
        <v>1027.452418304805</v>
      </c>
      <c r="AN52" s="59">
        <f ca="1">AVERAGE(OFFSET($AM$3,0,0,'Données projet'!$E$10+1,1))-AVERAGE(OFFSET($H$3,0,0,'Données projet'!$E$10+1,1))</f>
        <v>365.13032894303285</v>
      </c>
      <c r="AO52" s="59">
        <f t="shared" si="36"/>
        <v>471.89239871617241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3.0235024575617064</v>
      </c>
      <c r="AV52" s="21">
        <f>EXP(-LN(2)/25)*AV51+(1-EXP(-LN(2)/25))/(LN(2)/25)*Calculateur!AQ52*Calculateur!AS52*VLOOKUP('Données projet'!$B$10,Paramètres!$A$1:$I$89,3,0)*0.475*44/12</f>
        <v>12.283147676711298</v>
      </c>
      <c r="AW52" s="21">
        <f>EXP(-LN(2)/2)*AW51+(1-EXP(-LN(2)/2))/(LN(2)/2)*AQ52*AT52*VLOOKUP('Données projet'!$B$10,Paramètres!$A$1:$I$89,3,0)*0.475*44/12</f>
        <v>1.4446786684727474E-2</v>
      </c>
      <c r="AX52" s="21">
        <f t="shared" si="6"/>
        <v>15.321096920957732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288.5</v>
      </c>
      <c r="L53" s="12">
        <f>VLOOKUP(A53,'Données projet'!$A$35:$I$55,9,0)</f>
        <v>11.5</v>
      </c>
      <c r="M53" s="12">
        <f t="array" ref="M53">INDEX(L:L,MIN(IF(ISNUMBER(L53:L249),ROW(L53:L249),"")))</f>
        <v>11.5</v>
      </c>
      <c r="N53" s="13">
        <f>IF('Données projet'!$A$36&gt;35,N52+M53-V52,IF(A53&lt;'Données projet'!$A$36,$K$205^A53,IF(A53='Données projet'!$A$36,'Données projet'!$B$36,N52+M53-V52)))</f>
        <v>288.49999999999989</v>
      </c>
      <c r="O53" s="13">
        <f>N53*VLOOKUP('Données projet'!$B$9,Paramètres!$A$1:$I$89,3,0)*VLOOKUP('Données projet'!$B$9,Paramètres!$A$1:$I$89,5,0)</f>
        <v>135.01799999999994</v>
      </c>
      <c r="P53" s="13">
        <f t="shared" si="33"/>
        <v>35.153303603250578</v>
      </c>
      <c r="Q53" s="20">
        <f t="shared" si="53"/>
        <v>296.38168710899464</v>
      </c>
      <c r="R53" s="59">
        <f t="shared" si="0"/>
        <v>589.71502044232795</v>
      </c>
      <c r="S53" s="59">
        <f ca="1">AVERAGE(OFFSET($R$3,0,0,'Données projet'!$E$9+1,1))-AVERAGE(OFFSET($H$3,0,0,'Données projet'!$E$9+1,1))</f>
        <v>226.0452828290525</v>
      </c>
      <c r="T53" s="59">
        <f t="shared" si="34"/>
        <v>179.89696397462069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75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6.1078075476788944</v>
      </c>
      <c r="AA53" s="21">
        <f>EXP(-LN(2)/25)*AA52+(1-EXP(-LN(2)/25))/(LN(2)/25)*Calculateur!V53*Calculateur!X53*VLOOKUP('Données projet'!$B$9,Paramètres!$A$1:$I$89,3,0)*0.475*44/12</f>
        <v>6.4047515944784559</v>
      </c>
      <c r="AB53" s="21">
        <f>EXP(-LN(2)/2)*AB52+(1-EXP(-LN(2)/2))/(LN(2)/2)*V53*Y53*VLOOKUP('Données projet'!$B$9,Paramètres!$A$1:$I$89,3,0)*0.475*44/12</f>
        <v>1.078430531601403E-2</v>
      </c>
      <c r="AC53" s="22">
        <f t="shared" si="3"/>
        <v>12.523343447473364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629</v>
      </c>
      <c r="AG53" s="12">
        <f>VLOOKUP(A53,'Données projet'!$A$61:$I$81,9,0)</f>
        <v>17.8</v>
      </c>
      <c r="AH53" s="12">
        <f t="array" ref="AH53">INDEX(AG:AG,MIN(IF(ISNUMBER(AG53:AG249),ROW(AG53:AG249),"")))</f>
        <v>17.8</v>
      </c>
      <c r="AI53" s="13">
        <f>IF('Données projet'!$A$62&gt;35,AI52+AH53-AQ52,IF(A53&lt;'Données projet'!$A$62,$AF$205^A53,IF(A53='Données projet'!$A$62,'Données projet'!$B$62,AI52+AH53-AQ52)))</f>
        <v>628.99999999999977</v>
      </c>
      <c r="AJ53" s="13">
        <f>AI53*VLOOKUP('Données projet'!$B$10,Paramètres!$A$1:$I$89,3,0)*VLOOKUP('Données projet'!$B$10,Paramètres!$A$1:$I$89,5,0)</f>
        <v>351.61099999999988</v>
      </c>
      <c r="AK53" s="13">
        <f t="shared" si="35"/>
        <v>81.89414415728541</v>
      </c>
      <c r="AL53" s="20">
        <f t="shared" si="4"/>
        <v>755.02145940727178</v>
      </c>
      <c r="AM53" s="59">
        <f t="shared" si="5"/>
        <v>1048.354792740605</v>
      </c>
      <c r="AN53" s="59">
        <f ca="1">AVERAGE(OFFSET($AM$3,0,0,'Données projet'!$E$10+1,1))-AVERAGE(OFFSET($H$3,0,0,'Données projet'!$E$10+1,1))</f>
        <v>365.13032894303285</v>
      </c>
      <c r="AO53" s="59">
        <f t="shared" si="36"/>
        <v>471.89239871617241</v>
      </c>
      <c r="AP53" s="15">
        <f>IF(ISNA(VLOOKUP(A53,'Données projet'!$A$61:$I$81,3,0)),0,VLOOKUP(A53,'Données projet'!$A$61:$I$81,3,0))</f>
        <v>6</v>
      </c>
      <c r="AQ53" s="15">
        <f>IF(ISNA(VLOOKUP(A53,'Données projet'!$A$61:$I$81,4,0)),0,VLOOKUP(A53,'Données projet'!$A$61:$I$81,4,0))</f>
        <v>48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2.9642134185233253</v>
      </c>
      <c r="AV53" s="21">
        <f>EXP(-LN(2)/25)*AV52+(1-EXP(-LN(2)/25))/(LN(2)/25)*Calculateur!AQ53*Calculateur!AS53*VLOOKUP('Données projet'!$B$10,Paramètres!$A$1:$I$89,3,0)*0.475*44/12</f>
        <v>11.947264357548965</v>
      </c>
      <c r="AW53" s="21">
        <f>EXP(-LN(2)/2)*AW52+(1-EXP(-LN(2)/2))/(LN(2)/2)*AQ53*AT53*VLOOKUP('Données projet'!$B$10,Paramètres!$A$1:$I$89,3,0)*0.475*44/12</f>
        <v>1.0215420831126318E-2</v>
      </c>
      <c r="AX53" s="21">
        <f t="shared" si="6"/>
        <v>14.921693196903417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13.5</v>
      </c>
      <c r="N54" s="13">
        <f>IF('Données projet'!$A$36&gt;35,N53+M54-V53,IF(A54&lt;'Données projet'!$A$36,$K$205^A54,IF(A54='Données projet'!$A$36,'Données projet'!$B$36,N53+M54-V53)))</f>
        <v>226.99999999999989</v>
      </c>
      <c r="O54" s="13">
        <f>N54*VLOOKUP('Données projet'!$B$9,Paramètres!$A$1:$I$89,3,0)*VLOOKUP('Données projet'!$B$9,Paramètres!$A$1:$I$89,5,0)</f>
        <v>106.23599999999995</v>
      </c>
      <c r="P54" s="13">
        <f t="shared" si="33"/>
        <v>28.442367793282852</v>
      </c>
      <c r="Q54" s="20">
        <f t="shared" si="53"/>
        <v>234.56482390663419</v>
      </c>
      <c r="R54" s="59">
        <f t="shared" si="0"/>
        <v>527.89815723996753</v>
      </c>
      <c r="S54" s="59">
        <f ca="1">AVERAGE(OFFSET($R$3,0,0,'Données projet'!$E$9+1,1))-AVERAGE(OFFSET($H$3,0,0,'Données projet'!$E$9+1,1))</f>
        <v>226.0452828290525</v>
      </c>
      <c r="T54" s="59">
        <f t="shared" si="34"/>
        <v>179.89696397462069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5.9880371670636636</v>
      </c>
      <c r="AA54" s="21">
        <f>EXP(-LN(2)/25)*AA53+(1-EXP(-LN(2)/25))/(LN(2)/25)*Calculateur!V54*Calculateur!X54*VLOOKUP('Données projet'!$B$9,Paramètres!$A$1:$I$89,3,0)*0.475*44/12</f>
        <v>6.2296133253161941</v>
      </c>
      <c r="AB54" s="21">
        <f>EXP(-LN(2)/2)*AB53+(1-EXP(-LN(2)/2))/(LN(2)/2)*V54*Y54*VLOOKUP('Données projet'!$B$9,Paramètres!$A$1:$I$89,3,0)*0.475*44/12</f>
        <v>7.6256554193396544E-3</v>
      </c>
      <c r="AC54" s="22">
        <f t="shared" si="3"/>
        <v>12.225276147799196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13.8</v>
      </c>
      <c r="AI54" s="13">
        <f>IF('Données projet'!$A$62&gt;35,AI53+AH54-AQ53,IF(A54&lt;'Données projet'!$A$62,$AF$205^A54,IF(A54='Données projet'!$A$62,'Données projet'!$B$62,AI53+AH54-AQ53)))</f>
        <v>594.79999999999973</v>
      </c>
      <c r="AJ54" s="13">
        <f>AI54*VLOOKUP('Données projet'!$B$10,Paramètres!$A$1:$I$89,3,0)*VLOOKUP('Données projet'!$B$10,Paramètres!$A$1:$I$89,5,0)</f>
        <v>332.49319999999983</v>
      </c>
      <c r="AK54" s="13">
        <f t="shared" si="35"/>
        <v>77.946984490524827</v>
      </c>
      <c r="AL54" s="20">
        <f t="shared" si="4"/>
        <v>714.84998798766367</v>
      </c>
      <c r="AM54" s="59">
        <f t="shared" si="5"/>
        <v>1008.183321320997</v>
      </c>
      <c r="AN54" s="59">
        <f ca="1">AVERAGE(OFFSET($AM$3,0,0,'Données projet'!$E$10+1,1))-AVERAGE(OFFSET($H$3,0,0,'Données projet'!$E$10+1,1))</f>
        <v>365.13032894303285</v>
      </c>
      <c r="AO54" s="59">
        <f t="shared" si="36"/>
        <v>471.89239871617241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2.906087001377744</v>
      </c>
      <c r="AV54" s="21">
        <f>EXP(-LN(2)/25)*AV53+(1-EXP(-LN(2)/25))/(LN(2)/25)*Calculateur!AQ54*Calculateur!AS54*VLOOKUP('Données projet'!$B$10,Paramètres!$A$1:$I$89,3,0)*0.475*44/12</f>
        <v>11.620565785412461</v>
      </c>
      <c r="AW54" s="21">
        <f>EXP(-LN(2)/2)*AW53+(1-EXP(-LN(2)/2))/(LN(2)/2)*AQ54*AT54*VLOOKUP('Données projet'!$B$10,Paramètres!$A$1:$I$89,3,0)*0.475*44/12</f>
        <v>7.223393342363737E-3</v>
      </c>
      <c r="AX54" s="21">
        <f t="shared" si="6"/>
        <v>14.533876180132568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13.5</v>
      </c>
      <c r="N55" s="13">
        <f>IF('Données projet'!$A$36&gt;35,N54+M55-V54,IF(A55&lt;'Données projet'!$A$36,$K$205^A55,IF(A55='Données projet'!$A$36,'Données projet'!$B$36,N54+M55-V54)))</f>
        <v>240.49999999999989</v>
      </c>
      <c r="O55" s="13">
        <f>N55*VLOOKUP('Données projet'!$B$9,Paramètres!$A$1:$I$89,3,0)*VLOOKUP('Données projet'!$B$9,Paramètres!$A$1:$I$89,5,0)</f>
        <v>112.55399999999995</v>
      </c>
      <c r="P55" s="13">
        <f t="shared" si="33"/>
        <v>29.931920700323165</v>
      </c>
      <c r="Q55" s="20">
        <f t="shared" si="53"/>
        <v>248.16297855306274</v>
      </c>
      <c r="R55" s="59">
        <f t="shared" si="0"/>
        <v>541.49631188639603</v>
      </c>
      <c r="S55" s="59">
        <f ca="1">AVERAGE(OFFSET($R$3,0,0,'Données projet'!$E$9+1,1))-AVERAGE(OFFSET($H$3,0,0,'Données projet'!$E$9+1,1))</f>
        <v>226.0452828290525</v>
      </c>
      <c r="T55" s="59">
        <f t="shared" si="34"/>
        <v>179.89696397462069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5.8706154105595783</v>
      </c>
      <c r="AA55" s="21">
        <f>EXP(-LN(2)/25)*AA54+(1-EXP(-LN(2)/25))/(LN(2)/25)*Calculateur!V55*Calculateur!X55*VLOOKUP('Données projet'!$B$9,Paramètres!$A$1:$I$89,3,0)*0.475*44/12</f>
        <v>6.0592642213342955</v>
      </c>
      <c r="AB55" s="21">
        <f>EXP(-LN(2)/2)*AB54+(1-EXP(-LN(2)/2))/(LN(2)/2)*V55*Y55*VLOOKUP('Données projet'!$B$9,Paramètres!$A$1:$I$89,3,0)*0.475*44/12</f>
        <v>5.3921526580070159E-3</v>
      </c>
      <c r="AC55" s="22">
        <f t="shared" si="3"/>
        <v>11.935271784551881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13.8</v>
      </c>
      <c r="AI55" s="13">
        <f>IF('Données projet'!$A$62&gt;35,AI54+AH55-AQ54,IF(A55&lt;'Données projet'!$A$62,$AF$205^A55,IF(A55='Données projet'!$A$62,'Données projet'!$B$62,AI54+AH55-AQ54)))</f>
        <v>608.59999999999968</v>
      </c>
      <c r="AJ55" s="13">
        <f>AI55*VLOOKUP('Données projet'!$B$10,Paramètres!$A$1:$I$89,3,0)*VLOOKUP('Données projet'!$B$10,Paramètres!$A$1:$I$89,5,0)</f>
        <v>340.20739999999984</v>
      </c>
      <c r="AK55" s="13">
        <f t="shared" si="35"/>
        <v>79.542795053996059</v>
      </c>
      <c r="AL55" s="20">
        <f t="shared" si="4"/>
        <v>731.06492305237623</v>
      </c>
      <c r="AM55" s="59">
        <f t="shared" si="5"/>
        <v>1024.3982563857096</v>
      </c>
      <c r="AN55" s="59">
        <f ca="1">AVERAGE(OFFSET($AM$3,0,0,'Données projet'!$E$10+1,1))-AVERAGE(OFFSET($H$3,0,0,'Données projet'!$E$10+1,1))</f>
        <v>365.13032894303285</v>
      </c>
      <c r="AO55" s="59">
        <f t="shared" si="36"/>
        <v>471.89239871617241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2.8491004078187738</v>
      </c>
      <c r="AV55" s="21">
        <f>EXP(-LN(2)/25)*AV54+(1-EXP(-LN(2)/25))/(LN(2)/25)*Calculateur!AQ55*Calculateur!AS55*VLOOKUP('Données projet'!$B$10,Paramètres!$A$1:$I$89,3,0)*0.475*44/12</f>
        <v>11.302800802911362</v>
      </c>
      <c r="AW55" s="21">
        <f>EXP(-LN(2)/2)*AW54+(1-EXP(-LN(2)/2))/(LN(2)/2)*AQ55*AT55*VLOOKUP('Données projet'!$B$10,Paramètres!$A$1:$I$89,3,0)*0.475*44/12</f>
        <v>5.1077104155631591E-3</v>
      </c>
      <c r="AX55" s="21">
        <f t="shared" si="6"/>
        <v>14.1570089211457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13.5</v>
      </c>
      <c r="N56" s="13">
        <f>IF('Données projet'!$A$36&gt;35,N55+M56-V55,IF(A56&lt;'Données projet'!$A$36,$K$205^A56,IF(A56='Données projet'!$A$36,'Données projet'!$B$36,N55+M56-V55)))</f>
        <v>253.99999999999989</v>
      </c>
      <c r="O56" s="13">
        <f>N56*VLOOKUP('Données projet'!$B$9,Paramètres!$A$1:$I$89,3,0)*VLOOKUP('Données projet'!$B$9,Paramètres!$A$1:$I$89,5,0)</f>
        <v>118.87199999999994</v>
      </c>
      <c r="P56" s="13">
        <f t="shared" si="33"/>
        <v>31.411767382096219</v>
      </c>
      <c r="Q56" s="20">
        <f t="shared" si="53"/>
        <v>261.74422819048414</v>
      </c>
      <c r="R56" s="59">
        <f t="shared" si="0"/>
        <v>555.07756152381739</v>
      </c>
      <c r="S56" s="59">
        <f ca="1">AVERAGE(OFFSET($R$3,0,0,'Données projet'!$E$9+1,1))-AVERAGE(OFFSET($H$3,0,0,'Données projet'!$E$9+1,1))</f>
        <v>226.0452828290525</v>
      </c>
      <c r="T56" s="59">
        <f t="shared" si="34"/>
        <v>179.89696397462069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5.7554962230803381</v>
      </c>
      <c r="AA56" s="21">
        <f>EXP(-LN(2)/25)*AA55+(1-EXP(-LN(2)/25))/(LN(2)/25)*Calculateur!V56*Calculateur!X56*VLOOKUP('Données projet'!$B$9,Paramètres!$A$1:$I$89,3,0)*0.475*44/12</f>
        <v>5.8935733225590523</v>
      </c>
      <c r="AB56" s="21">
        <f>EXP(-LN(2)/2)*AB55+(1-EXP(-LN(2)/2))/(LN(2)/2)*V56*Y56*VLOOKUP('Données projet'!$B$9,Paramètres!$A$1:$I$89,3,0)*0.475*44/12</f>
        <v>3.8128277096698281E-3</v>
      </c>
      <c r="AC56" s="22">
        <f t="shared" si="3"/>
        <v>11.65288237334906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13.8</v>
      </c>
      <c r="AI56" s="13">
        <f>IF('Données projet'!$A$62&gt;35,AI55+AH56-AQ55,IF(A56&lt;'Données projet'!$A$62,$AF$205^A56,IF(A56='Données projet'!$A$62,'Données projet'!$B$62,AI55+AH56-AQ55)))</f>
        <v>622.39999999999964</v>
      </c>
      <c r="AJ56" s="13">
        <f>AI56*VLOOKUP('Données projet'!$B$10,Paramètres!$A$1:$I$89,3,0)*VLOOKUP('Données projet'!$B$10,Paramètres!$A$1:$I$89,5,0)</f>
        <v>347.92159999999978</v>
      </c>
      <c r="AK56" s="13">
        <f t="shared" si="35"/>
        <v>81.134398856989449</v>
      </c>
      <c r="AL56" s="20">
        <f t="shared" si="4"/>
        <v>747.27253134258956</v>
      </c>
      <c r="AM56" s="59">
        <f t="shared" si="5"/>
        <v>1040.6058646759229</v>
      </c>
      <c r="AN56" s="59">
        <f ca="1">AVERAGE(OFFSET($AM$3,0,0,'Données projet'!$E$10+1,1))-AVERAGE(OFFSET($H$3,0,0,'Données projet'!$E$10+1,1))</f>
        <v>365.13032894303285</v>
      </c>
      <c r="AO56" s="59">
        <f t="shared" si="36"/>
        <v>471.89239871617241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2.7932312866011051</v>
      </c>
      <c r="AV56" s="21">
        <f>EXP(-LN(2)/25)*AV55+(1-EXP(-LN(2)/25))/(LN(2)/25)*Calculateur!AQ56*Calculateur!AS56*VLOOKUP('Données projet'!$B$10,Paramètres!$A$1:$I$89,3,0)*0.475*44/12</f>
        <v>10.993725120567289</v>
      </c>
      <c r="AW56" s="21">
        <f>EXP(-LN(2)/2)*AW55+(1-EXP(-LN(2)/2))/(LN(2)/2)*AQ56*AT56*VLOOKUP('Données projet'!$B$10,Paramètres!$A$1:$I$89,3,0)*0.475*44/12</f>
        <v>3.6116966711818685E-3</v>
      </c>
      <c r="AX56" s="21">
        <f t="shared" si="6"/>
        <v>13.790568103839576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13.5</v>
      </c>
      <c r="N57" s="13">
        <f>IF('Données projet'!$A$36&gt;35,N56+M57-V56,IF(A57&lt;'Données projet'!$A$36,$K$205^A57,IF(A57='Données projet'!$A$36,'Données projet'!$B$36,N56+M57-V56)))</f>
        <v>267.49999999999989</v>
      </c>
      <c r="O57" s="13">
        <f>N57*VLOOKUP('Données projet'!$B$9,Paramètres!$A$1:$I$89,3,0)*VLOOKUP('Données projet'!$B$9,Paramètres!$A$1:$I$89,5,0)</f>
        <v>125.18999999999994</v>
      </c>
      <c r="P57" s="13">
        <f t="shared" si="33"/>
        <v>32.882482546564304</v>
      </c>
      <c r="Q57" s="20">
        <f t="shared" si="53"/>
        <v>275.30957376859936</v>
      </c>
      <c r="R57" s="59">
        <f t="shared" si="0"/>
        <v>568.64290710193268</v>
      </c>
      <c r="S57" s="59">
        <f ca="1">AVERAGE(OFFSET($R$3,0,0,'Données projet'!$E$9+1,1))-AVERAGE(OFFSET($H$3,0,0,'Données projet'!$E$9+1,1))</f>
        <v>226.0452828290525</v>
      </c>
      <c r="T57" s="59">
        <f t="shared" si="34"/>
        <v>179.89696397462069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5.6426344526517953</v>
      </c>
      <c r="AA57" s="21">
        <f>EXP(-LN(2)/25)*AA56+(1-EXP(-LN(2)/25))/(LN(2)/25)*Calculateur!V57*Calculateur!X57*VLOOKUP('Données projet'!$B$9,Paramètres!$A$1:$I$89,3,0)*0.475*44/12</f>
        <v>5.7324132501241243</v>
      </c>
      <c r="AB57" s="21">
        <f>EXP(-LN(2)/2)*AB56+(1-EXP(-LN(2)/2))/(LN(2)/2)*V57*Y57*VLOOKUP('Données projet'!$B$9,Paramètres!$A$1:$I$89,3,0)*0.475*44/12</f>
        <v>2.6960763290035084E-3</v>
      </c>
      <c r="AC57" s="22">
        <f t="shared" si="3"/>
        <v>11.377743779104923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13.8</v>
      </c>
      <c r="AI57" s="13">
        <f>IF('Données projet'!$A$62&gt;35,AI56+AH57-AQ56,IF(A57&lt;'Données projet'!$A$62,$AF$205^A57,IF(A57='Données projet'!$A$62,'Données projet'!$B$62,AI56+AH57-AQ56)))</f>
        <v>636.19999999999959</v>
      </c>
      <c r="AJ57" s="13">
        <f>AI57*VLOOKUP('Données projet'!$B$10,Paramètres!$A$1:$I$89,3,0)*VLOOKUP('Données projet'!$B$10,Paramètres!$A$1:$I$89,5,0)</f>
        <v>355.63579999999973</v>
      </c>
      <c r="AK57" s="13">
        <f t="shared" si="35"/>
        <v>82.721899912765039</v>
      </c>
      <c r="AL57" s="20">
        <f t="shared" si="4"/>
        <v>763.47299401473185</v>
      </c>
      <c r="AM57" s="59">
        <f t="shared" si="5"/>
        <v>1056.8063273480652</v>
      </c>
      <c r="AN57" s="59">
        <f ca="1">AVERAGE(OFFSET($AM$3,0,0,'Données projet'!$E$10+1,1))-AVERAGE(OFFSET($H$3,0,0,'Données projet'!$E$10+1,1))</f>
        <v>365.13032894303285</v>
      </c>
      <c r="AO57" s="59">
        <f t="shared" si="36"/>
        <v>471.89239871617241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2.7384577247737156</v>
      </c>
      <c r="AV57" s="21">
        <f>EXP(-LN(2)/25)*AV56+(1-EXP(-LN(2)/25))/(LN(2)/25)*Calculateur!AQ57*Calculateur!AS57*VLOOKUP('Données projet'!$B$10,Paramètres!$A$1:$I$89,3,0)*0.475*44/12</f>
        <v>10.693101129010499</v>
      </c>
      <c r="AW57" s="21">
        <f>EXP(-LN(2)/2)*AW56+(1-EXP(-LN(2)/2))/(LN(2)/2)*AQ57*AT57*VLOOKUP('Données projet'!$B$10,Paramètres!$A$1:$I$89,3,0)*0.475*44/12</f>
        <v>2.5538552077815795E-3</v>
      </c>
      <c r="AX57" s="21">
        <f t="shared" si="6"/>
        <v>13.434112708991995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13.5</v>
      </c>
      <c r="N58" s="13">
        <f>IF('Données projet'!$A$36&gt;35,N57+M58-V57,IF(A58&lt;'Données projet'!$A$36,$K$205^A58,IF(A58='Données projet'!$A$36,'Données projet'!$B$36,N57+M58-V57)))</f>
        <v>280.99999999999989</v>
      </c>
      <c r="O58" s="13">
        <f>N58*VLOOKUP('Données projet'!$B$9,Paramètres!$A$1:$I$89,3,0)*VLOOKUP('Données projet'!$B$9,Paramètres!$A$1:$I$89,5,0)</f>
        <v>131.50799999999995</v>
      </c>
      <c r="P58" s="13">
        <f t="shared" si="33"/>
        <v>34.344579617082481</v>
      </c>
      <c r="Q58" s="20">
        <f t="shared" si="53"/>
        <v>288.85990949975189</v>
      </c>
      <c r="R58" s="59">
        <f t="shared" si="0"/>
        <v>582.19324283308515</v>
      </c>
      <c r="S58" s="59">
        <f ca="1">AVERAGE(OFFSET($R$3,0,0,'Données projet'!$E$9+1,1))-AVERAGE(OFFSET($H$3,0,0,'Données projet'!$E$9+1,1))</f>
        <v>226.0452828290525</v>
      </c>
      <c r="T58" s="59">
        <f t="shared" si="34"/>
        <v>179.89696397462069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5.5319858327024729</v>
      </c>
      <c r="AA58" s="21">
        <f>EXP(-LN(2)/25)*AA57+(1-EXP(-LN(2)/25))/(LN(2)/25)*Calculateur!V58*Calculateur!X58*VLOOKUP('Données projet'!$B$9,Paramètres!$A$1:$I$89,3,0)*0.475*44/12</f>
        <v>5.5756601083449686</v>
      </c>
      <c r="AB58" s="21">
        <f>EXP(-LN(2)/2)*AB57+(1-EXP(-LN(2)/2))/(LN(2)/2)*V58*Y58*VLOOKUP('Données projet'!$B$9,Paramètres!$A$1:$I$89,3,0)*0.475*44/12</f>
        <v>1.9064138548349143E-3</v>
      </c>
      <c r="AC58" s="22">
        <f t="shared" si="3"/>
        <v>11.109552354902275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650</v>
      </c>
      <c r="AG58" s="12">
        <f>VLOOKUP(A58,'Données projet'!$A$61:$I$81,9,0)</f>
        <v>13.8</v>
      </c>
      <c r="AH58" s="12">
        <f t="array" ref="AH58">INDEX(AG:AG,MIN(IF(ISNUMBER(AG58:AG254),ROW(AG58:AG254),"")))</f>
        <v>13.8</v>
      </c>
      <c r="AI58" s="13">
        <f>IF('Données projet'!$A$62&gt;35,AI57+AH58-AQ57,IF(A58&lt;'Données projet'!$A$62,$AF$205^A58,IF(A58='Données projet'!$A$62,'Données projet'!$B$62,AI57+AH58-AQ57)))</f>
        <v>649.99999999999955</v>
      </c>
      <c r="AJ58" s="13">
        <f>AI58*VLOOKUP('Données projet'!$B$10,Paramètres!$A$1:$I$89,3,0)*VLOOKUP('Données projet'!$B$10,Paramètres!$A$1:$I$89,5,0)</f>
        <v>363.34999999999974</v>
      </c>
      <c r="AK58" s="13">
        <f t="shared" si="35"/>
        <v>84.305397464498199</v>
      </c>
      <c r="AL58" s="20">
        <f t="shared" si="4"/>
        <v>779.66648391733395</v>
      </c>
      <c r="AM58" s="59">
        <f t="shared" si="5"/>
        <v>1072.9998172506673</v>
      </c>
      <c r="AN58" s="59">
        <f ca="1">AVERAGE(OFFSET($AM$3,0,0,'Données projet'!$E$10+1,1))-AVERAGE(OFFSET($H$3,0,0,'Données projet'!$E$10+1,1))</f>
        <v>365.13032894303285</v>
      </c>
      <c r="AO58" s="59">
        <f t="shared" si="36"/>
        <v>471.89239871617241</v>
      </c>
      <c r="AP58" s="15">
        <f>IF(ISNA(VLOOKUP(A58,'Données projet'!$A$61:$I$81,3,0)),0,VLOOKUP(A58,'Données projet'!$A$61:$I$81,3,0))</f>
        <v>7</v>
      </c>
      <c r="AQ58" s="15">
        <f>IF(ISNA(VLOOKUP(A58,'Données projet'!$A$61:$I$81,4,0)),0,VLOOKUP(A58,'Données projet'!$A$61:$I$81,4,0))</f>
        <v>35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2.6847582390851872</v>
      </c>
      <c r="AV58" s="21">
        <f>EXP(-LN(2)/25)*AV57+(1-EXP(-LN(2)/25))/(LN(2)/25)*Calculateur!AQ58*Calculateur!AS58*VLOOKUP('Données projet'!$B$10,Paramètres!$A$1:$I$89,3,0)*0.475*44/12</f>
        <v>10.400697716311958</v>
      </c>
      <c r="AW58" s="21">
        <f>EXP(-LN(2)/2)*AW57+(1-EXP(-LN(2)/2))/(LN(2)/2)*AQ58*AT58*VLOOKUP('Données projet'!$B$10,Paramètres!$A$1:$I$89,3,0)*0.475*44/12</f>
        <v>1.8058483355909343E-3</v>
      </c>
      <c r="AX58" s="21">
        <f t="shared" si="6"/>
        <v>13.087261803732737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13.5</v>
      </c>
      <c r="N59" s="13">
        <f>IF('Données projet'!$A$36&gt;35,N58+M59-V58,IF(A59&lt;'Données projet'!$A$36,$K$205^A59,IF(A59='Données projet'!$A$36,'Données projet'!$B$36,N58+M59-V58)))</f>
        <v>294.49999999999989</v>
      </c>
      <c r="O59" s="13">
        <f>N59*VLOOKUP('Données projet'!$B$9,Paramètres!$A$1:$I$89,3,0)*VLOOKUP('Données projet'!$B$9,Paramètres!$A$1:$I$89,5,0)</f>
        <v>137.82599999999994</v>
      </c>
      <c r="P59" s="13">
        <f t="shared" si="33"/>
        <v>35.798519897115497</v>
      </c>
      <c r="Q59" s="20">
        <f t="shared" si="53"/>
        <v>302.39603882080934</v>
      </c>
      <c r="R59" s="59">
        <f t="shared" si="0"/>
        <v>595.72937215414265</v>
      </c>
      <c r="S59" s="59">
        <f ca="1">AVERAGE(OFFSET($R$3,0,0,'Données projet'!$E$9+1,1))-AVERAGE(OFFSET($H$3,0,0,'Données projet'!$E$9+1,1))</f>
        <v>226.0452828290525</v>
      </c>
      <c r="T59" s="59">
        <f t="shared" si="34"/>
        <v>179.89696397462069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5.423506964701363</v>
      </c>
      <c r="AA59" s="21">
        <f>EXP(-LN(2)/25)*AA58+(1-EXP(-LN(2)/25))/(LN(2)/25)*Calculateur!V59*Calculateur!X59*VLOOKUP('Données projet'!$B$9,Paramètres!$A$1:$I$89,3,0)*0.475*44/12</f>
        <v>5.423193389471054</v>
      </c>
      <c r="AB59" s="21">
        <f>EXP(-LN(2)/2)*AB58+(1-EXP(-LN(2)/2))/(LN(2)/2)*V59*Y59*VLOOKUP('Données projet'!$B$9,Paramètres!$A$1:$I$89,3,0)*0.475*44/12</f>
        <v>1.3480381645017544E-3</v>
      </c>
      <c r="AC59" s="22">
        <f t="shared" si="3"/>
        <v>10.848048392336917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10.199999999999999</v>
      </c>
      <c r="AI59" s="13">
        <f>IF('Données projet'!$A$62&gt;35,AI58+AH59-AQ58,IF(A59&lt;'Données projet'!$A$62,$AF$205^A59,IF(A59='Données projet'!$A$62,'Données projet'!$B$62,AI58+AH59-AQ58)))</f>
        <v>625.19999999999959</v>
      </c>
      <c r="AJ59" s="13">
        <f>AI59*VLOOKUP('Données projet'!$B$10,Paramètres!$A$1:$I$89,3,0)*VLOOKUP('Données projet'!$B$10,Paramètres!$A$1:$I$89,5,0)</f>
        <v>349.48679999999979</v>
      </c>
      <c r="AK59" s="13">
        <f t="shared" si="35"/>
        <v>81.45682900536228</v>
      </c>
      <c r="AL59" s="20">
        <f t="shared" si="4"/>
        <v>750.56015385100557</v>
      </c>
      <c r="AM59" s="59">
        <f t="shared" si="5"/>
        <v>1043.8934871843389</v>
      </c>
      <c r="AN59" s="59">
        <f ca="1">AVERAGE(OFFSET($AM$3,0,0,'Données projet'!$E$10+1,1))-AVERAGE(OFFSET($H$3,0,0,'Données projet'!$E$10+1,1))</f>
        <v>365.13032894303285</v>
      </c>
      <c r="AO59" s="59">
        <f t="shared" si="36"/>
        <v>471.89239871617241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2.6321117675575589</v>
      </c>
      <c r="AV59" s="21">
        <f>EXP(-LN(2)/25)*AV58+(1-EXP(-LN(2)/25))/(LN(2)/25)*Calculateur!AQ59*Calculateur!AS59*VLOOKUP('Données projet'!$B$10,Paramètres!$A$1:$I$89,3,0)*0.475*44/12</f>
        <v>10.116290090310486</v>
      </c>
      <c r="AW59" s="21">
        <f>EXP(-LN(2)/2)*AW58+(1-EXP(-LN(2)/2))/(LN(2)/2)*AQ59*AT59*VLOOKUP('Données projet'!$B$10,Paramètres!$A$1:$I$89,3,0)*0.475*44/12</f>
        <v>1.2769276038907898E-3</v>
      </c>
      <c r="AX59" s="21">
        <f t="shared" si="6"/>
        <v>12.749678785471936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13.5</v>
      </c>
      <c r="N60" s="13">
        <f>IF('Données projet'!$A$36&gt;35,N59+M60-V59,IF(A60&lt;'Données projet'!$A$36,$K$205^A60,IF(A60='Données projet'!$A$36,'Données projet'!$B$36,N59+M60-V59)))</f>
        <v>307.99999999999989</v>
      </c>
      <c r="O60" s="13">
        <f>N60*VLOOKUP('Données projet'!$B$9,Paramètres!$A$1:$I$89,3,0)*VLOOKUP('Données projet'!$B$9,Paramètres!$A$1:$I$89,5,0)</f>
        <v>144.14399999999995</v>
      </c>
      <c r="P60" s="13">
        <f t="shared" si="33"/>
        <v>37.244720006976216</v>
      </c>
      <c r="Q60" s="20">
        <f t="shared" si="53"/>
        <v>315.91868734548348</v>
      </c>
      <c r="R60" s="59">
        <f t="shared" si="0"/>
        <v>609.25202067881673</v>
      </c>
      <c r="S60" s="59">
        <f ca="1">AVERAGE(OFFSET($R$3,0,0,'Données projet'!$E$9+1,1))-AVERAGE(OFFSET($H$3,0,0,'Données projet'!$E$9+1,1))</f>
        <v>226.0452828290525</v>
      </c>
      <c r="T60" s="59">
        <f t="shared" si="34"/>
        <v>179.89696397462069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5.3171553011361787</v>
      </c>
      <c r="AA60" s="21">
        <f>EXP(-LN(2)/25)*AA59+(1-EXP(-LN(2)/25))/(LN(2)/25)*Calculateur!V60*Calculateur!X60*VLOOKUP('Données projet'!$B$9,Paramètres!$A$1:$I$89,3,0)*0.475*44/12</f>
        <v>5.2748958810426227</v>
      </c>
      <c r="AB60" s="21">
        <f>EXP(-LN(2)/2)*AB59+(1-EXP(-LN(2)/2))/(LN(2)/2)*V60*Y60*VLOOKUP('Données projet'!$B$9,Paramètres!$A$1:$I$89,3,0)*0.475*44/12</f>
        <v>9.5320692741745724E-4</v>
      </c>
      <c r="AC60" s="22">
        <f t="shared" si="3"/>
        <v>10.59300438910622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10.199999999999999</v>
      </c>
      <c r="AI60" s="13">
        <f>IF('Données projet'!$A$62&gt;35,AI59+AH60-AQ59,IF(A60&lt;'Données projet'!$A$62,$AF$205^A60,IF(A60='Données projet'!$A$62,'Données projet'!$B$62,AI59+AH60-AQ59)))</f>
        <v>635.39999999999964</v>
      </c>
      <c r="AJ60" s="13">
        <f>AI60*VLOOKUP('Données projet'!$B$10,Paramètres!$A$1:$I$89,3,0)*VLOOKUP('Données projet'!$B$10,Paramètres!$A$1:$I$89,5,0)</f>
        <v>355.18859999999984</v>
      </c>
      <c r="AK60" s="13">
        <f t="shared" si="35"/>
        <v>82.629981116726043</v>
      </c>
      <c r="AL60" s="20">
        <f t="shared" si="4"/>
        <v>762.53402877829774</v>
      </c>
      <c r="AM60" s="59">
        <f t="shared" si="5"/>
        <v>1055.8673621116311</v>
      </c>
      <c r="AN60" s="59">
        <f ca="1">AVERAGE(OFFSET($AM$3,0,0,'Données projet'!$E$10+1,1))-AVERAGE(OFFSET($H$3,0,0,'Données projet'!$E$10+1,1))</f>
        <v>365.13032894303285</v>
      </c>
      <c r="AO60" s="59">
        <f t="shared" si="36"/>
        <v>471.89239871617241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2.5804976612254102</v>
      </c>
      <c r="AV60" s="21">
        <f>EXP(-LN(2)/25)*AV59+(1-EXP(-LN(2)/25))/(LN(2)/25)*Calculateur!AQ60*Calculateur!AS60*VLOOKUP('Données projet'!$B$10,Paramètres!$A$1:$I$89,3,0)*0.475*44/12</f>
        <v>9.8396596057983707</v>
      </c>
      <c r="AW60" s="21">
        <f>EXP(-LN(2)/2)*AW59+(1-EXP(-LN(2)/2))/(LN(2)/2)*AQ60*AT60*VLOOKUP('Données projet'!$B$10,Paramètres!$A$1:$I$89,3,0)*0.475*44/12</f>
        <v>9.0292416779546713E-4</v>
      </c>
      <c r="AX60" s="21">
        <f t="shared" si="6"/>
        <v>12.421060191191575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13.5</v>
      </c>
      <c r="N61" s="13">
        <f>IF('Données projet'!$A$36&gt;35,N60+M61-V60,IF(A61&lt;'Données projet'!$A$36,$K$205^A61,IF(A61='Données projet'!$A$36,'Données projet'!$B$36,N60+M61-V60)))</f>
        <v>321.49999999999989</v>
      </c>
      <c r="O61" s="13">
        <f>N61*VLOOKUP('Données projet'!$B$9,Paramètres!$A$1:$I$89,3,0)*VLOOKUP('Données projet'!$B$9,Paramètres!$A$1:$I$89,5,0)</f>
        <v>150.46199999999993</v>
      </c>
      <c r="P61" s="13">
        <f t="shared" si="33"/>
        <v>38.683557979918994</v>
      </c>
      <c r="Q61" s="20">
        <f t="shared" si="53"/>
        <v>329.42851348169211</v>
      </c>
      <c r="R61" s="59">
        <f t="shared" si="0"/>
        <v>622.76184681502536</v>
      </c>
      <c r="S61" s="59">
        <f ca="1">AVERAGE(OFFSET($R$3,0,0,'Données projet'!$E$9+1,1))-AVERAGE(OFFSET($H$3,0,0,'Données projet'!$E$9+1,1))</f>
        <v>226.0452828290525</v>
      </c>
      <c r="T61" s="59">
        <f t="shared" si="34"/>
        <v>179.89696397462069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5.212889128825398</v>
      </c>
      <c r="AA61" s="21">
        <f>EXP(-LN(2)/25)*AA60+(1-EXP(-LN(2)/25))/(LN(2)/25)*Calculateur!V61*Calculateur!X61*VLOOKUP('Données projet'!$B$9,Paramètres!$A$1:$I$89,3,0)*0.475*44/12</f>
        <v>5.1306535757807934</v>
      </c>
      <c r="AB61" s="21">
        <f>EXP(-LN(2)/2)*AB60+(1-EXP(-LN(2)/2))/(LN(2)/2)*V61*Y61*VLOOKUP('Données projet'!$B$9,Paramètres!$A$1:$I$89,3,0)*0.475*44/12</f>
        <v>6.7401908225087732E-4</v>
      </c>
      <c r="AC61" s="22">
        <f t="shared" si="3"/>
        <v>10.344216723688442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10.199999999999999</v>
      </c>
      <c r="AI61" s="13">
        <f>IF('Données projet'!$A$62&gt;35,AI60+AH61-AQ60,IF(A61&lt;'Données projet'!$A$62,$AF$205^A61,IF(A61='Données projet'!$A$62,'Données projet'!$B$62,AI60+AH61-AQ60)))</f>
        <v>645.59999999999968</v>
      </c>
      <c r="AJ61" s="13">
        <f>AI61*VLOOKUP('Données projet'!$B$10,Paramètres!$A$1:$I$89,3,0)*VLOOKUP('Données projet'!$B$10,Paramètres!$A$1:$I$89,5,0)</f>
        <v>360.89039999999977</v>
      </c>
      <c r="AK61" s="13">
        <f t="shared" si="35"/>
        <v>83.800943075865291</v>
      </c>
      <c r="AL61" s="20">
        <f t="shared" si="4"/>
        <v>774.50408919046504</v>
      </c>
      <c r="AM61" s="59">
        <f t="shared" si="5"/>
        <v>1067.8374225237983</v>
      </c>
      <c r="AN61" s="59">
        <f ca="1">AVERAGE(OFFSET($AM$3,0,0,'Données projet'!$E$10+1,1))-AVERAGE(OFFSET($H$3,0,0,'Données projet'!$E$10+1,1))</f>
        <v>365.13032894303285</v>
      </c>
      <c r="AO61" s="59">
        <f t="shared" si="36"/>
        <v>471.89239871617241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2.5298956760369387</v>
      </c>
      <c r="AV61" s="21">
        <f>EXP(-LN(2)/25)*AV60+(1-EXP(-LN(2)/25))/(LN(2)/25)*Calculateur!AQ61*Calculateur!AS61*VLOOKUP('Données projet'!$B$10,Paramètres!$A$1:$I$89,3,0)*0.475*44/12</f>
        <v>9.5705935964326052</v>
      </c>
      <c r="AW61" s="21">
        <f>EXP(-LN(2)/2)*AW60+(1-EXP(-LN(2)/2))/(LN(2)/2)*AQ61*AT61*VLOOKUP('Données projet'!$B$10,Paramètres!$A$1:$I$89,3,0)*0.475*44/12</f>
        <v>6.3846380194539489E-4</v>
      </c>
      <c r="AX61" s="21">
        <f t="shared" si="6"/>
        <v>12.101127736271488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13.5</v>
      </c>
      <c r="N62" s="13">
        <f>IF('Données projet'!$A$36&gt;35,N61+M62-V61,IF(A62&lt;'Données projet'!$A$36,$K$205^A62,IF(A62='Données projet'!$A$36,'Données projet'!$B$36,N61+M62-V61)))</f>
        <v>334.99999999999989</v>
      </c>
      <c r="O62" s="13">
        <f>N62*VLOOKUP('Données projet'!$B$9,Paramètres!$A$1:$I$89,3,0)*VLOOKUP('Données projet'!$B$9,Paramètres!$A$1:$I$89,5,0)</f>
        <v>156.77999999999994</v>
      </c>
      <c r="P62" s="13">
        <f t="shared" si="33"/>
        <v>40.115378305457938</v>
      </c>
      <c r="Q62" s="20">
        <f t="shared" si="53"/>
        <v>342.92611721533916</v>
      </c>
      <c r="R62" s="59">
        <f t="shared" si="0"/>
        <v>636.25945054867248</v>
      </c>
      <c r="S62" s="59">
        <f ca="1">AVERAGE(OFFSET($R$3,0,0,'Données projet'!$E$9+1,1))-AVERAGE(OFFSET($H$3,0,0,'Données projet'!$E$9+1,1))</f>
        <v>226.0452828290525</v>
      </c>
      <c r="T62" s="59">
        <f t="shared" si="34"/>
        <v>179.89696397462069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5.1106675525575458</v>
      </c>
      <c r="AA62" s="21">
        <f>EXP(-LN(2)/25)*AA61+(1-EXP(-LN(2)/25))/(LN(2)/25)*Calculateur!V62*Calculateur!X62*VLOOKUP('Données projet'!$B$9,Paramètres!$A$1:$I$89,3,0)*0.475*44/12</f>
        <v>4.9903555839417226</v>
      </c>
      <c r="AB62" s="21">
        <f>EXP(-LN(2)/2)*AB61+(1-EXP(-LN(2)/2))/(LN(2)/2)*V62*Y62*VLOOKUP('Données projet'!$B$9,Paramètres!$A$1:$I$89,3,0)*0.475*44/12</f>
        <v>4.7660346370872873E-4</v>
      </c>
      <c r="AC62" s="22">
        <f t="shared" si="3"/>
        <v>10.101499739962977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10.199999999999999</v>
      </c>
      <c r="AI62" s="13">
        <f>IF('Données projet'!$A$62&gt;35,AI61+AH62-AQ61,IF(A62&lt;'Données projet'!$A$62,$AF$205^A62,IF(A62='Données projet'!$A$62,'Données projet'!$B$62,AI61+AH62-AQ61)))</f>
        <v>655.79999999999973</v>
      </c>
      <c r="AJ62" s="13">
        <f>AI62*VLOOKUP('Données projet'!$B$10,Paramètres!$A$1:$I$89,3,0)*VLOOKUP('Données projet'!$B$10,Paramètres!$A$1:$I$89,5,0)</f>
        <v>366.59219999999982</v>
      </c>
      <c r="AK62" s="13">
        <f t="shared" si="35"/>
        <v>84.969753481055022</v>
      </c>
      <c r="AL62" s="20">
        <f t="shared" si="4"/>
        <v>786.47040231283711</v>
      </c>
      <c r="AM62" s="59">
        <f t="shared" si="5"/>
        <v>1079.8037356461705</v>
      </c>
      <c r="AN62" s="59">
        <f ca="1">AVERAGE(OFFSET($AM$3,0,0,'Données projet'!$E$10+1,1))-AVERAGE(OFFSET($H$3,0,0,'Données projet'!$E$10+1,1))</f>
        <v>365.13032894303285</v>
      </c>
      <c r="AO62" s="59">
        <f t="shared" si="36"/>
        <v>471.89239871617241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2.4802859649138496</v>
      </c>
      <c r="AV62" s="21">
        <f>EXP(-LN(2)/25)*AV61+(1-EXP(-LN(2)/25))/(LN(2)/25)*Calculateur!AQ62*Calculateur!AS62*VLOOKUP('Données projet'!$B$10,Paramètres!$A$1:$I$89,3,0)*0.475*44/12</f>
        <v>9.3088852112425116</v>
      </c>
      <c r="AW62" s="21">
        <f>EXP(-LN(2)/2)*AW61+(1-EXP(-LN(2)/2))/(LN(2)/2)*AQ62*AT62*VLOOKUP('Données projet'!$B$10,Paramètres!$A$1:$I$89,3,0)*0.475*44/12</f>
        <v>4.5146208389773356E-4</v>
      </c>
      <c r="AX62" s="21">
        <f t="shared" si="6"/>
        <v>11.78962263824026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348.5</v>
      </c>
      <c r="L63" s="12">
        <f>VLOOKUP(A63,'Données projet'!$A$35:$I$55,9,0)</f>
        <v>13.5</v>
      </c>
      <c r="M63" s="12">
        <f t="array" ref="M63">INDEX(L:L,MIN(IF(ISNUMBER(L63:L259),ROW(L63:L259),"")))</f>
        <v>13.5</v>
      </c>
      <c r="N63" s="13">
        <f>IF('Données projet'!$A$36&gt;35,N62+M63-V62,IF(A63&lt;'Données projet'!$A$36,$K$205^A63,IF(A63='Données projet'!$A$36,'Données projet'!$B$36,N62+M63-V62)))</f>
        <v>348.49999999999989</v>
      </c>
      <c r="O63" s="13">
        <f>N63*VLOOKUP('Données projet'!$B$9,Paramètres!$A$1:$I$89,3,0)*VLOOKUP('Données projet'!$B$9,Paramètres!$A$1:$I$89,5,0)</f>
        <v>163.09799999999993</v>
      </c>
      <c r="P63" s="13">
        <f t="shared" si="33"/>
        <v>41.540496136845142</v>
      </c>
      <c r="Q63" s="20">
        <f t="shared" si="53"/>
        <v>356.4120474383385</v>
      </c>
      <c r="R63" s="59">
        <f t="shared" si="0"/>
        <v>649.74538077167176</v>
      </c>
      <c r="S63" s="59">
        <f ca="1">AVERAGE(OFFSET($R$3,0,0,'Données projet'!$E$9+1,1))-AVERAGE(OFFSET($H$3,0,0,'Données projet'!$E$9+1,1))</f>
        <v>226.0452828290525</v>
      </c>
      <c r="T63" s="59">
        <f t="shared" si="34"/>
        <v>179.89696397462069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80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5.0104504790513014</v>
      </c>
      <c r="AA63" s="21">
        <f>EXP(-LN(2)/25)*AA62+(1-EXP(-LN(2)/25))/(LN(2)/25)*Calculateur!V63*Calculateur!X63*VLOOKUP('Données projet'!$B$9,Paramètres!$A$1:$I$89,3,0)*0.475*44/12</f>
        <v>4.853894048067442</v>
      </c>
      <c r="AB63" s="21">
        <f>EXP(-LN(2)/2)*AB62+(1-EXP(-LN(2)/2))/(LN(2)/2)*V63*Y63*VLOOKUP('Données projet'!$B$9,Paramètres!$A$1:$I$89,3,0)*0.475*44/12</f>
        <v>3.3700954112543871E-4</v>
      </c>
      <c r="AC63" s="22">
        <f t="shared" si="3"/>
        <v>9.8646815366598677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666</v>
      </c>
      <c r="AG63" s="12">
        <f>VLOOKUP(A63,'Données projet'!$A$61:$I$81,9,0)</f>
        <v>10.199999999999999</v>
      </c>
      <c r="AH63" s="12">
        <f t="array" ref="AH63">INDEX(AG:AG,MIN(IF(ISNUMBER(AG63:AG259),ROW(AG63:AG259),"")))</f>
        <v>10.199999999999999</v>
      </c>
      <c r="AI63" s="13">
        <f>IF('Données projet'!$A$62&gt;35,AI62+AH63-AQ62,IF(A63&lt;'Données projet'!$A$62,$AF$205^A63,IF(A63='Données projet'!$A$62,'Données projet'!$B$62,AI62+AH63-AQ62)))</f>
        <v>665.99999999999977</v>
      </c>
      <c r="AJ63" s="13">
        <f>AI63*VLOOKUP('Données projet'!$B$10,Paramètres!$A$1:$I$89,3,0)*VLOOKUP('Données projet'!$B$10,Paramètres!$A$1:$I$89,5,0)</f>
        <v>372.29399999999987</v>
      </c>
      <c r="AK63" s="13">
        <f t="shared" si="35"/>
        <v>86.136449661008839</v>
      </c>
      <c r="AL63" s="20">
        <f t="shared" si="4"/>
        <v>798.43303315959008</v>
      </c>
      <c r="AM63" s="59">
        <f t="shared" si="5"/>
        <v>1091.7663664929235</v>
      </c>
      <c r="AN63" s="59">
        <f ca="1">AVERAGE(OFFSET($AM$3,0,0,'Données projet'!$E$10+1,1))-AVERAGE(OFFSET($H$3,0,0,'Données projet'!$E$10+1,1))</f>
        <v>365.13032894303285</v>
      </c>
      <c r="AO63" s="59">
        <f t="shared" si="36"/>
        <v>471.89239871617241</v>
      </c>
      <c r="AP63" s="15">
        <f>IF(ISNA(VLOOKUP(A63,'Données projet'!$A$61:$I$81,3,0)),0,VLOOKUP(A63,'Données projet'!$A$61:$I$81,3,0))</f>
        <v>8</v>
      </c>
      <c r="AQ63" s="15">
        <f>IF(ISNA(VLOOKUP(A63,'Données projet'!$A$61:$I$81,4,0)),0,VLOOKUP(A63,'Données projet'!$A$61:$I$81,4,0))</f>
        <v>666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2.4316490699669484</v>
      </c>
      <c r="AV63" s="21">
        <f>EXP(-LN(2)/25)*AV62+(1-EXP(-LN(2)/25))/(LN(2)/25)*Calculateur!AQ63*Calculateur!AS63*VLOOKUP('Données projet'!$B$10,Paramètres!$A$1:$I$89,3,0)*0.475*44/12</f>
        <v>9.0543332556080873</v>
      </c>
      <c r="AW63" s="21">
        <f>EXP(-LN(2)/2)*AW62+(1-EXP(-LN(2)/2))/(LN(2)/2)*AQ63*AT63*VLOOKUP('Données projet'!$B$10,Paramètres!$A$1:$I$89,3,0)*0.475*44/12</f>
        <v>3.1923190097269744E-4</v>
      </c>
      <c r="AX63" s="21">
        <f t="shared" si="6"/>
        <v>11.486301557476008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15.5</v>
      </c>
      <c r="N64" s="13">
        <f>IF('Données projet'!$A$36&gt;35,N63+M64-V63,IF(A64&lt;'Données projet'!$A$36,$K$205^A64,IF(A64='Données projet'!$A$36,'Données projet'!$B$36,N63+M64-V63)))</f>
        <v>283.99999999999989</v>
      </c>
      <c r="O64" s="13">
        <f>N64*VLOOKUP('Données projet'!$B$9,Paramètres!$A$1:$I$89,3,0)*VLOOKUP('Données projet'!$B$9,Paramètres!$A$1:$I$89,5,0)</f>
        <v>132.91199999999995</v>
      </c>
      <c r="P64" s="13">
        <f t="shared" si="33"/>
        <v>34.668367043546574</v>
      </c>
      <c r="Q64" s="20">
        <f t="shared" si="53"/>
        <v>291.86913926751021</v>
      </c>
      <c r="R64" s="59">
        <f t="shared" si="0"/>
        <v>585.20247260084352</v>
      </c>
      <c r="S64" s="59">
        <f ca="1">AVERAGE(OFFSET($R$3,0,0,'Données projet'!$E$9+1,1))-AVERAGE(OFFSET($H$3,0,0,'Données projet'!$E$9+1,1))</f>
        <v>226.0452828290525</v>
      </c>
      <c r="T64" s="59">
        <f t="shared" si="34"/>
        <v>179.89696397462069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4.9121986012301351</v>
      </c>
      <c r="AA64" s="21">
        <f>EXP(-LN(2)/25)*AA63+(1-EXP(-LN(2)/25))/(LN(2)/25)*Calculateur!V64*Calculateur!X64*VLOOKUP('Données projet'!$B$9,Paramètres!$A$1:$I$89,3,0)*0.475*44/12</f>
        <v>4.7211640600678431</v>
      </c>
      <c r="AB64" s="21">
        <f>EXP(-LN(2)/2)*AB63+(1-EXP(-LN(2)/2))/(LN(2)/2)*V64*Y64*VLOOKUP('Données projet'!$B$9,Paramètres!$A$1:$I$89,3,0)*0.475*44/12</f>
        <v>2.3830173185436439E-4</v>
      </c>
      <c r="AC64" s="22">
        <f t="shared" si="3"/>
        <v>9.6336009630298332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-2.2737367544323206E-13</v>
      </c>
      <c r="AJ64" s="13">
        <f>AI64*VLOOKUP('Données projet'!$B$10,Paramètres!$A$1:$I$89,3,0)*VLOOKUP('Données projet'!$B$10,Paramètres!$A$1:$I$89,5,0)</f>
        <v>-1.2710188457276673E-13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365.13032894303285</v>
      </c>
      <c r="AO64" s="59">
        <f t="shared" si="36"/>
        <v>471.89239871617241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2.3839659148643793</v>
      </c>
      <c r="AV64" s="21">
        <f>EXP(-LN(2)/25)*AV63+(1-EXP(-LN(2)/25))/(LN(2)/25)*Calculateur!AQ64*Calculateur!AS64*VLOOKUP('Données projet'!$B$10,Paramètres!$A$1:$I$89,3,0)*0.475*44/12</f>
        <v>8.8067420365867921</v>
      </c>
      <c r="AW64" s="21">
        <f>EXP(-LN(2)/2)*AW63+(1-EXP(-LN(2)/2))/(LN(2)/2)*AQ64*AT64*VLOOKUP('Données projet'!$B$10,Paramètres!$A$1:$I$89,3,0)*0.475*44/12</f>
        <v>2.2573104194886678E-4</v>
      </c>
      <c r="AX64" s="21">
        <f t="shared" si="6"/>
        <v>11.190933682493121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15.5</v>
      </c>
      <c r="N65" s="13">
        <f>IF('Données projet'!$A$36&gt;35,N64+M65-V64,IF(A65&lt;'Données projet'!$A$36,$K$205^A65,IF(A65='Données projet'!$A$36,'Données projet'!$B$36,N64+M65-V64)))</f>
        <v>299.49999999999989</v>
      </c>
      <c r="O65" s="13">
        <f>N65*VLOOKUP('Données projet'!$B$9,Paramètres!$A$1:$I$89,3,0)*VLOOKUP('Données projet'!$B$9,Paramètres!$A$1:$I$89,5,0)</f>
        <v>140.16599999999994</v>
      </c>
      <c r="P65" s="13">
        <f t="shared" si="33"/>
        <v>36.33503114084008</v>
      </c>
      <c r="Q65" s="20">
        <f t="shared" si="53"/>
        <v>307.40596257029637</v>
      </c>
      <c r="R65" s="59">
        <f t="shared" si="0"/>
        <v>600.73929590362968</v>
      </c>
      <c r="S65" s="59">
        <f ca="1">AVERAGE(OFFSET($R$3,0,0,'Données projet'!$E$9+1,1))-AVERAGE(OFFSET($H$3,0,0,'Données projet'!$E$9+1,1))</f>
        <v>226.0452828290525</v>
      </c>
      <c r="T65" s="59">
        <f t="shared" si="34"/>
        <v>179.89696397462069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4.8158733828053144</v>
      </c>
      <c r="AA65" s="21">
        <f>EXP(-LN(2)/25)*AA64+(1-EXP(-LN(2)/25))/(LN(2)/25)*Calculateur!V65*Calculateur!X65*VLOOKUP('Données projet'!$B$9,Paramètres!$A$1:$I$89,3,0)*0.475*44/12</f>
        <v>4.59206358057006</v>
      </c>
      <c r="AB65" s="21">
        <f>EXP(-LN(2)/2)*AB64+(1-EXP(-LN(2)/2))/(LN(2)/2)*V65*Y65*VLOOKUP('Données projet'!$B$9,Paramètres!$A$1:$I$89,3,0)*0.475*44/12</f>
        <v>1.6850477056271938E-4</v>
      </c>
      <c r="AC65" s="22">
        <f t="shared" si="3"/>
        <v>9.4081054681459371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-2.2737367544323206E-13</v>
      </c>
      <c r="AJ65" s="13">
        <f>AI65*VLOOKUP('Données projet'!$B$10,Paramètres!$A$1:$I$89,3,0)*VLOOKUP('Données projet'!$B$10,Paramètres!$A$1:$I$89,5,0)</f>
        <v>-1.2710188457276673E-13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365.13032894303285</v>
      </c>
      <c r="AO65" s="59">
        <f t="shared" si="36"/>
        <v>471.89239871617241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2.3372177973495187</v>
      </c>
      <c r="AV65" s="21">
        <f>EXP(-LN(2)/25)*AV64+(1-EXP(-LN(2)/25))/(LN(2)/25)*Calculateur!AQ65*Calculateur!AS65*VLOOKUP('Données projet'!$B$10,Paramètres!$A$1:$I$89,3,0)*0.475*44/12</f>
        <v>8.56592121246989</v>
      </c>
      <c r="AW65" s="21">
        <f>EXP(-LN(2)/2)*AW64+(1-EXP(-LN(2)/2))/(LN(2)/2)*AQ65*AT65*VLOOKUP('Données projet'!$B$10,Paramètres!$A$1:$I$89,3,0)*0.475*44/12</f>
        <v>1.5961595048634872E-4</v>
      </c>
      <c r="AX65" s="21">
        <f t="shared" si="6"/>
        <v>10.903298625769896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15.5</v>
      </c>
      <c r="N66" s="13">
        <f>IF('Données projet'!$A$36&gt;35,N65+M66-V65,IF(A66&lt;'Données projet'!$A$36,$K$205^A66,IF(A66='Données projet'!$A$36,'Données projet'!$B$36,N65+M66-V65)))</f>
        <v>314.99999999999989</v>
      </c>
      <c r="O66" s="13">
        <f>N66*VLOOKUP('Données projet'!$B$9,Paramètres!$A$1:$I$89,3,0)*VLOOKUP('Données projet'!$B$9,Paramètres!$A$1:$I$89,5,0)</f>
        <v>147.41999999999993</v>
      </c>
      <c r="P66" s="13">
        <f t="shared" si="33"/>
        <v>37.991680647570291</v>
      </c>
      <c r="Q66" s="20">
        <f t="shared" si="53"/>
        <v>322.92534379451814</v>
      </c>
      <c r="R66" s="59">
        <f t="shared" si="0"/>
        <v>616.25867712785146</v>
      </c>
      <c r="S66" s="59">
        <f ca="1">AVERAGE(OFFSET($R$3,0,0,'Données projet'!$E$9+1,1))-AVERAGE(OFFSET($H$3,0,0,'Données projet'!$E$9+1,1))</f>
        <v>226.0452828290525</v>
      </c>
      <c r="T66" s="59">
        <f t="shared" si="34"/>
        <v>179.89696397462069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4.721437043161222</v>
      </c>
      <c r="AA66" s="21">
        <f>EXP(-LN(2)/25)*AA65+(1-EXP(-LN(2)/25))/(LN(2)/25)*Calculateur!V66*Calculateur!X66*VLOOKUP('Données projet'!$B$9,Paramètres!$A$1:$I$89,3,0)*0.475*44/12</f>
        <v>4.4664933604732431</v>
      </c>
      <c r="AB66" s="21">
        <f>EXP(-LN(2)/2)*AB65+(1-EXP(-LN(2)/2))/(LN(2)/2)*V66*Y66*VLOOKUP('Données projet'!$B$9,Paramètres!$A$1:$I$89,3,0)*0.475*44/12</f>
        <v>1.1915086592718222E-4</v>
      </c>
      <c r="AC66" s="22">
        <f t="shared" si="3"/>
        <v>9.1880495545003917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-2.2737367544323206E-13</v>
      </c>
      <c r="AJ66" s="13">
        <f>AI66*VLOOKUP('Données projet'!$B$10,Paramètres!$A$1:$I$89,3,0)*VLOOKUP('Données projet'!$B$10,Paramètres!$A$1:$I$89,5,0)</f>
        <v>-1.2710188457276673E-13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365.13032894303285</v>
      </c>
      <c r="AO66" s="59">
        <f t="shared" si="36"/>
        <v>471.89239871617241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2.2913863819055886</v>
      </c>
      <c r="AV66" s="21">
        <f>EXP(-LN(2)/25)*AV65+(1-EXP(-LN(2)/25))/(LN(2)/25)*Calculateur!AQ66*Calculateur!AS66*VLOOKUP('Données projet'!$B$10,Paramètres!$A$1:$I$89,3,0)*0.475*44/12</f>
        <v>8.3316856464526818</v>
      </c>
      <c r="AW66" s="21">
        <f>EXP(-LN(2)/2)*AW65+(1-EXP(-LN(2)/2))/(LN(2)/2)*AQ66*AT66*VLOOKUP('Données projet'!$B$10,Paramètres!$A$1:$I$89,3,0)*0.475*44/12</f>
        <v>1.1286552097443339E-4</v>
      </c>
      <c r="AX66" s="21">
        <f t="shared" si="6"/>
        <v>10.623184893879245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15.5</v>
      </c>
      <c r="N67" s="13">
        <f>IF('Données projet'!$A$36&gt;35,N66+M67-V66,IF(A67&lt;'Données projet'!$A$36,$K$205^A67,IF(A67='Données projet'!$A$36,'Données projet'!$B$36,N66+M67-V66)))</f>
        <v>330.49999999999989</v>
      </c>
      <c r="O67" s="13">
        <f>N67*VLOOKUP('Données projet'!$B$9,Paramètres!$A$1:$I$89,3,0)*VLOOKUP('Données projet'!$B$9,Paramètres!$A$1:$I$89,5,0)</f>
        <v>154.67399999999995</v>
      </c>
      <c r="P67" s="13">
        <f t="shared" si="33"/>
        <v>39.63886458604275</v>
      </c>
      <c r="Q67" s="20">
        <f t="shared" ref="Q67:Q98" si="54">(O67+P67)*0.475*44/12</f>
        <v>338.42823915402437</v>
      </c>
      <c r="R67" s="59">
        <f t="shared" ref="R67:R130" si="55">Q67+(I67+J67)*44/12</f>
        <v>631.76157248735763</v>
      </c>
      <c r="S67" s="59">
        <f ca="1">AVERAGE(OFFSET($R$3,0,0,'Données projet'!$E$9+1,1))-AVERAGE(OFFSET($H$3,0,0,'Données projet'!$E$9+1,1))</f>
        <v>226.0452828290525</v>
      </c>
      <c r="T67" s="59">
        <f t="shared" si="34"/>
        <v>179.89696397462069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4.6288525425370706</v>
      </c>
      <c r="AA67" s="21">
        <f>EXP(-LN(2)/25)*AA66+(1-EXP(-LN(2)/25))/(LN(2)/25)*Calculateur!V67*Calculateur!X67*VLOOKUP('Données projet'!$B$9,Paramètres!$A$1:$I$89,3,0)*0.475*44/12</f>
        <v>4.3443568646484243</v>
      </c>
      <c r="AB67" s="21">
        <f>EXP(-LN(2)/2)*AB66+(1-EXP(-LN(2)/2))/(LN(2)/2)*V67*Y67*VLOOKUP('Données projet'!$B$9,Paramètres!$A$1:$I$89,3,0)*0.475*44/12</f>
        <v>8.4252385281359705E-5</v>
      </c>
      <c r="AC67" s="22">
        <f t="shared" si="3"/>
        <v>8.9732936595707766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-2.2737367544323206E-13</v>
      </c>
      <c r="AJ67" s="13">
        <f>AI67*VLOOKUP('Données projet'!$B$10,Paramètres!$A$1:$I$89,3,0)*VLOOKUP('Données projet'!$B$10,Paramètres!$A$1:$I$89,5,0)</f>
        <v>-1.2710188457276673E-13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365.13032894303285</v>
      </c>
      <c r="AO67" s="59">
        <f t="shared" si="36"/>
        <v>471.89239871617241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2.2464536925641108</v>
      </c>
      <c r="AV67" s="21">
        <f>EXP(-LN(2)/25)*AV66+(1-EXP(-LN(2)/25))/(LN(2)/25)*Calculateur!AQ67*Calculateur!AS67*VLOOKUP('Données projet'!$B$10,Paramètres!$A$1:$I$89,3,0)*0.475*44/12</f>
        <v>8.1038552643061266</v>
      </c>
      <c r="AW67" s="21">
        <f>EXP(-LN(2)/2)*AW66+(1-EXP(-LN(2)/2))/(LN(2)/2)*AQ67*AT67*VLOOKUP('Données projet'!$B$10,Paramètres!$A$1:$I$89,3,0)*0.475*44/12</f>
        <v>7.9807975243174361E-5</v>
      </c>
      <c r="AX67" s="21">
        <f t="shared" si="6"/>
        <v>10.35038876484548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15.5</v>
      </c>
      <c r="N68" s="13">
        <f>IF('Données projet'!$A$36&gt;35,N67+M68-V67,IF(A68&lt;'Données projet'!$A$36,$K$205^A68,IF(A68='Données projet'!$A$36,'Données projet'!$B$36,N67+M68-V67)))</f>
        <v>345.99999999999989</v>
      </c>
      <c r="O68" s="13">
        <f>N68*VLOOKUP('Données projet'!$B$9,Paramètres!$A$1:$I$89,3,0)*VLOOKUP('Données projet'!$B$9,Paramètres!$A$1:$I$89,5,0)</f>
        <v>161.92799999999994</v>
      </c>
      <c r="P68" s="13">
        <f t="shared" si="33"/>
        <v>41.277077571585316</v>
      </c>
      <c r="Q68" s="20">
        <f t="shared" si="54"/>
        <v>353.91551010384433</v>
      </c>
      <c r="R68" s="59">
        <f t="shared" si="55"/>
        <v>647.24884343717758</v>
      </c>
      <c r="S68" s="59">
        <f ca="1">AVERAGE(OFFSET($R$3,0,0,'Données projet'!$E$9+1,1))-AVERAGE(OFFSET($H$3,0,0,'Données projet'!$E$9+1,1))</f>
        <v>226.0452828290525</v>
      </c>
      <c r="T68" s="59">
        <f t="shared" si="34"/>
        <v>179.89696397462069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4.5380835674991902</v>
      </c>
      <c r="AA68" s="21">
        <f>EXP(-LN(2)/25)*AA67+(1-EXP(-LN(2)/25))/(LN(2)/25)*Calculateur!V68*Calculateur!X68*VLOOKUP('Données projet'!$B$9,Paramètres!$A$1:$I$89,3,0)*0.475*44/12</f>
        <v>4.2255601977248149</v>
      </c>
      <c r="AB68" s="21">
        <f>EXP(-LN(2)/2)*AB67+(1-EXP(-LN(2)/2))/(LN(2)/2)*V68*Y68*VLOOKUP('Données projet'!$B$9,Paramètres!$A$1:$I$89,3,0)*0.475*44/12</f>
        <v>5.9575432963591118E-5</v>
      </c>
      <c r="AC68" s="22">
        <f t="shared" ref="AC68:AC131" si="57">SUM(Z68:AB68)</f>
        <v>8.7637033406569689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-2.2737367544323206E-13</v>
      </c>
      <c r="AJ68" s="13">
        <f>AI68*VLOOKUP('Données projet'!$B$10,Paramètres!$A$1:$I$89,3,0)*VLOOKUP('Données projet'!$B$10,Paramètres!$A$1:$I$89,5,0)</f>
        <v>-1.2710188457276673E-13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365.13032894303285</v>
      </c>
      <c r="AO68" s="59">
        <f t="shared" si="36"/>
        <v>471.89239871617241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2.202402105854385</v>
      </c>
      <c r="AV68" s="21">
        <f>EXP(-LN(2)/25)*AV67+(1-EXP(-LN(2)/25))/(LN(2)/25)*Calculateur!AQ68*Calculateur!AS68*VLOOKUP('Données projet'!$B$10,Paramètres!$A$1:$I$89,3,0)*0.475*44/12</f>
        <v>7.8822549159404485</v>
      </c>
      <c r="AW68" s="21">
        <f>EXP(-LN(2)/2)*AW67+(1-EXP(-LN(2)/2))/(LN(2)/2)*AQ68*AT68*VLOOKUP('Données projet'!$B$10,Paramètres!$A$1:$I$89,3,0)*0.475*44/12</f>
        <v>5.6432760487216695E-5</v>
      </c>
      <c r="AX68" s="21">
        <f t="shared" ref="AX68:AX131" si="60">SUM(AU68:AW68)</f>
        <v>10.08471345455532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15.5</v>
      </c>
      <c r="N69" s="13">
        <f>IF('Données projet'!$A$36&gt;35,N68+M69-V68,IF(A69&lt;'Données projet'!$A$36,$K$205^A69,IF(A69='Données projet'!$A$36,'Données projet'!$B$36,N68+M69-V68)))</f>
        <v>361.49999999999989</v>
      </c>
      <c r="O69" s="13">
        <f>N69*VLOOKUP('Données projet'!$B$9,Paramètres!$A$1:$I$89,3,0)*VLOOKUP('Données projet'!$B$9,Paramètres!$A$1:$I$89,5,0)</f>
        <v>169.18199999999996</v>
      </c>
      <c r="P69" s="13">
        <f t="shared" ref="P69:P132" si="87">EXP(-1.0587+0.8836*LN(O69)+0.284)</f>
        <v>42.906767398977124</v>
      </c>
      <c r="Q69" s="20">
        <f t="shared" si="54"/>
        <v>369.38793655321842</v>
      </c>
      <c r="R69" s="59">
        <f t="shared" si="55"/>
        <v>662.72126988655168</v>
      </c>
      <c r="S69" s="59">
        <f ca="1">AVERAGE(OFFSET($R$3,0,0,'Données projet'!$E$9+1,1))-AVERAGE(OFFSET($H$3,0,0,'Données projet'!$E$9+1,1))</f>
        <v>226.0452828290525</v>
      </c>
      <c r="T69" s="59">
        <f t="shared" ref="T69:T132" si="88">$T$3</f>
        <v>179.89696397462069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4.4490945166981941</v>
      </c>
      <c r="AA69" s="21">
        <f>EXP(-LN(2)/25)*AA68+(1-EXP(-LN(2)/25))/(LN(2)/25)*Calculateur!V69*Calculateur!X69*VLOOKUP('Données projet'!$B$9,Paramètres!$A$1:$I$89,3,0)*0.475*44/12</f>
        <v>4.1100120319054767</v>
      </c>
      <c r="AB69" s="21">
        <f>EXP(-LN(2)/2)*AB68+(1-EXP(-LN(2)/2))/(LN(2)/2)*V69*Y69*VLOOKUP('Données projet'!$B$9,Paramètres!$A$1:$I$89,3,0)*0.475*44/12</f>
        <v>4.212619264067986E-5</v>
      </c>
      <c r="AC69" s="22">
        <f t="shared" si="57"/>
        <v>8.5591486747963117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-2.2737367544323206E-13</v>
      </c>
      <c r="AJ69" s="13">
        <f>AI69*VLOOKUP('Données projet'!$B$10,Paramètres!$A$1:$I$89,3,0)*VLOOKUP('Données projet'!$B$10,Paramètres!$A$1:$I$89,5,0)</f>
        <v>-1.2710188457276673E-13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365.13032894303285</v>
      </c>
      <c r="AO69" s="59">
        <f t="shared" ref="AO69:AO132" si="90">$AO$3</f>
        <v>471.89239871617241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2.1592143438912221</v>
      </c>
      <c r="AV69" s="21">
        <f>EXP(-LN(2)/25)*AV68+(1-EXP(-LN(2)/25))/(LN(2)/25)*Calculateur!AQ69*Calculateur!AS69*VLOOKUP('Données projet'!$B$10,Paramètres!$A$1:$I$89,3,0)*0.475*44/12</f>
        <v>7.6667142407542856</v>
      </c>
      <c r="AW69" s="21">
        <f>EXP(-LN(2)/2)*AW68+(1-EXP(-LN(2)/2))/(LN(2)/2)*AQ69*AT69*VLOOKUP('Données projet'!$B$10,Paramètres!$A$1:$I$89,3,0)*0.475*44/12</f>
        <v>3.990398762158718E-5</v>
      </c>
      <c r="AX69" s="21">
        <f t="shared" si="60"/>
        <v>9.82596848863313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15.5</v>
      </c>
      <c r="N70" s="13">
        <f>IF('Données projet'!$A$36&gt;35,N69+M70-V69,IF(A70&lt;'Données projet'!$A$36,$K$205^A70,IF(A70='Données projet'!$A$36,'Données projet'!$B$36,N69+M70-V69)))</f>
        <v>376.99999999999989</v>
      </c>
      <c r="O70" s="13">
        <f>N70*VLOOKUP('Données projet'!$B$9,Paramètres!$A$1:$I$89,3,0)*VLOOKUP('Données projet'!$B$9,Paramètres!$A$1:$I$89,5,0)</f>
        <v>176.43599999999992</v>
      </c>
      <c r="P70" s="13">
        <f t="shared" si="87"/>
        <v>44.52834129105058</v>
      </c>
      <c r="Q70" s="20">
        <f t="shared" si="54"/>
        <v>384.84622774857962</v>
      </c>
      <c r="R70" s="59">
        <f t="shared" si="55"/>
        <v>678.17956108191288</v>
      </c>
      <c r="S70" s="59">
        <f ca="1">AVERAGE(OFFSET($R$3,0,0,'Données projet'!$E$9+1,1))-AVERAGE(OFFSET($H$3,0,0,'Données projet'!$E$9+1,1))</f>
        <v>226.0452828290525</v>
      </c>
      <c r="T70" s="59">
        <f t="shared" si="88"/>
        <v>179.89696397462069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4.3618504869054444</v>
      </c>
      <c r="AA70" s="21">
        <f>EXP(-LN(2)/25)*AA69+(1-EXP(-LN(2)/25))/(LN(2)/25)*Calculateur!V70*Calculateur!X70*VLOOKUP('Données projet'!$B$9,Paramètres!$A$1:$I$89,3,0)*0.475*44/12</f>
        <v>3.9976235367568824</v>
      </c>
      <c r="AB70" s="21">
        <f>EXP(-LN(2)/2)*AB69+(1-EXP(-LN(2)/2))/(LN(2)/2)*V70*Y70*VLOOKUP('Données projet'!$B$9,Paramètres!$A$1:$I$89,3,0)*0.475*44/12</f>
        <v>2.9787716481795566E-5</v>
      </c>
      <c r="AC70" s="22">
        <f t="shared" si="57"/>
        <v>8.3595038113788078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-2.2737367544323206E-13</v>
      </c>
      <c r="AJ70" s="13">
        <f>AI70*VLOOKUP('Données projet'!$B$10,Paramètres!$A$1:$I$89,3,0)*VLOOKUP('Données projet'!$B$10,Paramètres!$A$1:$I$89,5,0)</f>
        <v>-1.2710188457276673E-13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365.13032894303285</v>
      </c>
      <c r="AO70" s="59">
        <f t="shared" si="90"/>
        <v>471.89239871617241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2.1168734675982228</v>
      </c>
      <c r="AV70" s="21">
        <f>EXP(-LN(2)/25)*AV69+(1-EXP(-LN(2)/25))/(LN(2)/25)*Calculateur!AQ70*Calculateur!AS70*VLOOKUP('Données projet'!$B$10,Paramètres!$A$1:$I$89,3,0)*0.475*44/12</f>
        <v>7.4570675366658801</v>
      </c>
      <c r="AW70" s="21">
        <f>EXP(-LN(2)/2)*AW69+(1-EXP(-LN(2)/2))/(LN(2)/2)*AQ70*AT70*VLOOKUP('Données projet'!$B$10,Paramètres!$A$1:$I$89,3,0)*0.475*44/12</f>
        <v>2.8216380243608348E-5</v>
      </c>
      <c r="AX70" s="21">
        <f t="shared" si="60"/>
        <v>9.5739692206443472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15.5</v>
      </c>
      <c r="N71" s="13">
        <f>IF('Données projet'!$A$36&gt;35,N70+M71-V70,IF(A71&lt;'Données projet'!$A$36,$K$205^A71,IF(A71='Données projet'!$A$36,'Données projet'!$B$36,N70+M71-V70)))</f>
        <v>392.49999999999989</v>
      </c>
      <c r="O71" s="13">
        <f>N71*VLOOKUP('Données projet'!$B$9,Paramètres!$A$1:$I$89,3,0)*VLOOKUP('Données projet'!$B$9,Paramètres!$A$1:$I$89,5,0)</f>
        <v>183.68999999999994</v>
      </c>
      <c r="P71" s="13">
        <f t="shared" si="87"/>
        <v>46.14217109072662</v>
      </c>
      <c r="Q71" s="20">
        <f t="shared" si="54"/>
        <v>400.29103131634878</v>
      </c>
      <c r="R71" s="59">
        <f t="shared" si="55"/>
        <v>693.62436464968209</v>
      </c>
      <c r="S71" s="59">
        <f ca="1">AVERAGE(OFFSET($R$3,0,0,'Données projet'!$E$9+1,1))-AVERAGE(OFFSET($H$3,0,0,'Données projet'!$E$9+1,1))</f>
        <v>226.0452828290525</v>
      </c>
      <c r="T71" s="59">
        <f t="shared" si="88"/>
        <v>179.89696397462069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4.2763172593233261</v>
      </c>
      <c r="AA71" s="21">
        <f>EXP(-LN(2)/25)*AA70+(1-EXP(-LN(2)/25))/(LN(2)/25)*Calculateur!V71*Calculateur!X71*VLOOKUP('Données projet'!$B$9,Paramètres!$A$1:$I$89,3,0)*0.475*44/12</f>
        <v>3.8883083109183803</v>
      </c>
      <c r="AB71" s="21">
        <f>EXP(-LN(2)/2)*AB70+(1-EXP(-LN(2)/2))/(LN(2)/2)*V71*Y71*VLOOKUP('Données projet'!$B$9,Paramètres!$A$1:$I$89,3,0)*0.475*44/12</f>
        <v>2.1063096320339933E-5</v>
      </c>
      <c r="AC71" s="22">
        <f t="shared" si="57"/>
        <v>8.1646466333380268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-2.2737367544323206E-13</v>
      </c>
      <c r="AJ71" s="13">
        <f>AI71*VLOOKUP('Données projet'!$B$10,Paramètres!$A$1:$I$89,3,0)*VLOOKUP('Données projet'!$B$10,Paramètres!$A$1:$I$89,5,0)</f>
        <v>-1.2710188457276673E-13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365.13032894303285</v>
      </c>
      <c r="AO71" s="59">
        <f t="shared" si="90"/>
        <v>471.89239871617241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2.075362870063945</v>
      </c>
      <c r="AV71" s="21">
        <f>EXP(-LN(2)/25)*AV70+(1-EXP(-LN(2)/25))/(LN(2)/25)*Calculateur!AQ71*Calculateur!AS71*VLOOKUP('Données projet'!$B$10,Paramètres!$A$1:$I$89,3,0)*0.475*44/12</f>
        <v>7.2531536327256134</v>
      </c>
      <c r="AW71" s="21">
        <f>EXP(-LN(2)/2)*AW70+(1-EXP(-LN(2)/2))/(LN(2)/2)*AQ71*AT71*VLOOKUP('Données projet'!$B$10,Paramètres!$A$1:$I$89,3,0)*0.475*44/12</f>
        <v>1.995199381079359E-5</v>
      </c>
      <c r="AX71" s="21">
        <f t="shared" si="60"/>
        <v>9.328536454783368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15.5</v>
      </c>
      <c r="N72" s="13">
        <f>IF('Données projet'!$A$36&gt;35,N71+M72-V71,IF(A72&lt;'Données projet'!$A$36,$K$205^A72,IF(A72='Données projet'!$A$36,'Données projet'!$B$36,N71+M72-V71)))</f>
        <v>407.99999999999989</v>
      </c>
      <c r="O72" s="13">
        <f>N72*VLOOKUP('Données projet'!$B$9,Paramètres!$A$1:$I$89,3,0)*VLOOKUP('Données projet'!$B$9,Paramètres!$A$1:$I$89,5,0)</f>
        <v>190.94399999999996</v>
      </c>
      <c r="P72" s="13">
        <f t="shared" si="87"/>
        <v>47.748597609826554</v>
      </c>
      <c r="Q72" s="20">
        <f t="shared" si="54"/>
        <v>415.72294083711449</v>
      </c>
      <c r="R72" s="59">
        <f t="shared" si="55"/>
        <v>709.05627417044775</v>
      </c>
      <c r="S72" s="59">
        <f ca="1">AVERAGE(OFFSET($R$3,0,0,'Données projet'!$E$9+1,1))-AVERAGE(OFFSET($H$3,0,0,'Données projet'!$E$9+1,1))</f>
        <v>226.0452828290525</v>
      </c>
      <c r="T72" s="59">
        <f t="shared" si="88"/>
        <v>179.89696397462069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4.1924612861639758</v>
      </c>
      <c r="AA72" s="21">
        <f>EXP(-LN(2)/25)*AA71+(1-EXP(-LN(2)/25))/(LN(2)/25)*Calculateur!V72*Calculateur!X72*VLOOKUP('Données projet'!$B$9,Paramètres!$A$1:$I$89,3,0)*0.475*44/12</f>
        <v>3.7819823156790697</v>
      </c>
      <c r="AB72" s="21">
        <f>EXP(-LN(2)/2)*AB71+(1-EXP(-LN(2)/2))/(LN(2)/2)*V72*Y72*VLOOKUP('Données projet'!$B$9,Paramètres!$A$1:$I$89,3,0)*0.475*44/12</f>
        <v>1.4893858240897785E-5</v>
      </c>
      <c r="AC72" s="22">
        <f t="shared" si="57"/>
        <v>7.9744584957012865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-2.2737367544323206E-13</v>
      </c>
      <c r="AJ72" s="13">
        <f>AI72*VLOOKUP('Données projet'!$B$10,Paramètres!$A$1:$I$89,3,0)*VLOOKUP('Données projet'!$B$10,Paramètres!$A$1:$I$89,5,0)</f>
        <v>-1.2710188457276673E-13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365.13032894303285</v>
      </c>
      <c r="AO72" s="59">
        <f t="shared" si="90"/>
        <v>471.89239871617241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2.03466627002835</v>
      </c>
      <c r="AV72" s="21">
        <f>EXP(-LN(2)/25)*AV71+(1-EXP(-LN(2)/25))/(LN(2)/25)*Calculateur!AQ72*Calculateur!AS72*VLOOKUP('Données projet'!$B$10,Paramètres!$A$1:$I$89,3,0)*0.475*44/12</f>
        <v>7.0548157652119592</v>
      </c>
      <c r="AW72" s="21">
        <f>EXP(-LN(2)/2)*AW71+(1-EXP(-LN(2)/2))/(LN(2)/2)*AQ72*AT72*VLOOKUP('Données projet'!$B$10,Paramètres!$A$1:$I$89,3,0)*0.475*44/12</f>
        <v>1.4108190121804174E-5</v>
      </c>
      <c r="AX72" s="21">
        <f t="shared" si="60"/>
        <v>9.0894961434304307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423.5</v>
      </c>
      <c r="L73" s="12">
        <f>VLOOKUP(A73,'Données projet'!$A$35:$I$55,9,0)</f>
        <v>15.5</v>
      </c>
      <c r="M73" s="12">
        <f t="array" ref="M73">INDEX(L:L,MIN(IF(ISNUMBER(L73:L269),ROW(L73:L269),"")))</f>
        <v>15.5</v>
      </c>
      <c r="N73" s="13">
        <f>IF('Données projet'!$A$36&gt;35,N72+M73-V72,IF(A73&lt;'Données projet'!$A$36,$K$205^A73,IF(A73='Données projet'!$A$36,'Données projet'!$B$36,N72+M73-V72)))</f>
        <v>423.49999999999989</v>
      </c>
      <c r="O73" s="13">
        <f>N73*VLOOKUP('Données projet'!$B$9,Paramètres!$A$1:$I$89,3,0)*VLOOKUP('Données projet'!$B$9,Paramètres!$A$1:$I$89,5,0)</f>
        <v>198.19799999999995</v>
      </c>
      <c r="P73" s="13">
        <f t="shared" si="87"/>
        <v>49.347934298451406</v>
      </c>
      <c r="Q73" s="20">
        <f t="shared" si="54"/>
        <v>431.14250223646945</v>
      </c>
      <c r="R73" s="59">
        <f t="shared" si="55"/>
        <v>724.47583556980271</v>
      </c>
      <c r="S73" s="59">
        <f ca="1">AVERAGE(OFFSET($R$3,0,0,'Données projet'!$E$9+1,1))-AVERAGE(OFFSET($H$3,0,0,'Données projet'!$E$9+1,1))</f>
        <v>226.0452828290525</v>
      </c>
      <c r="T73" s="59">
        <f t="shared" si="88"/>
        <v>179.89696397462069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87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4.1102496774911872</v>
      </c>
      <c r="AA73" s="21">
        <f>EXP(-LN(2)/25)*AA72+(1-EXP(-LN(2)/25))/(LN(2)/25)*Calculateur!V73*Calculateur!X73*VLOOKUP('Données projet'!$B$9,Paramètres!$A$1:$I$89,3,0)*0.475*44/12</f>
        <v>3.6785638103710192</v>
      </c>
      <c r="AB73" s="21">
        <f>EXP(-LN(2)/2)*AB72+(1-EXP(-LN(2)/2))/(LN(2)/2)*V73*Y73*VLOOKUP('Données projet'!$B$9,Paramètres!$A$1:$I$89,3,0)*0.475*44/12</f>
        <v>1.0531548160169968E-5</v>
      </c>
      <c r="AC73" s="22">
        <f t="shared" si="57"/>
        <v>7.7888240194103666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-2.2737367544323206E-13</v>
      </c>
      <c r="AJ73" s="13">
        <f>AI73*VLOOKUP('Données projet'!$B$10,Paramètres!$A$1:$I$89,3,0)*VLOOKUP('Données projet'!$B$10,Paramètres!$A$1:$I$89,5,0)</f>
        <v>-1.2710188457276673E-13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365.13032894303285</v>
      </c>
      <c r="AO73" s="59">
        <f t="shared" si="90"/>
        <v>471.89239871617241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1.9947677054969779</v>
      </c>
      <c r="AV73" s="21">
        <f>EXP(-LN(2)/25)*AV72+(1-EXP(-LN(2)/25))/(LN(2)/25)*Calculateur!AQ73*Calculateur!AS73*VLOOKUP('Données projet'!$B$10,Paramètres!$A$1:$I$89,3,0)*0.475*44/12</f>
        <v>6.861901457115601</v>
      </c>
      <c r="AW73" s="21">
        <f>EXP(-LN(2)/2)*AW72+(1-EXP(-LN(2)/2))/(LN(2)/2)*AQ73*AT73*VLOOKUP('Données projet'!$B$10,Paramètres!$A$1:$I$89,3,0)*0.475*44/12</f>
        <v>9.9759969053967951E-6</v>
      </c>
      <c r="AX73" s="21">
        <f t="shared" si="60"/>
        <v>8.8566791386094845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17</v>
      </c>
      <c r="N74" s="13">
        <f>IF('Données projet'!$A$36&gt;35,N73+M74-V73,IF(A74&lt;'Données projet'!$A$36,$K$205^A74,IF(A74='Données projet'!$A$36,'Données projet'!$B$36,N73+M74-V73)))</f>
        <v>353.49999999999989</v>
      </c>
      <c r="O74" s="13">
        <f>N74*VLOOKUP('Données projet'!$B$9,Paramètres!$A$1:$I$89,3,0)*VLOOKUP('Données projet'!$B$9,Paramètres!$A$1:$I$89,5,0)</f>
        <v>165.43799999999993</v>
      </c>
      <c r="P74" s="13">
        <f t="shared" si="87"/>
        <v>42.066675415215769</v>
      </c>
      <c r="Q74" s="20">
        <f t="shared" si="54"/>
        <v>361.40397634816736</v>
      </c>
      <c r="R74" s="59">
        <f t="shared" si="55"/>
        <v>654.73730968150062</v>
      </c>
      <c r="S74" s="59">
        <f ca="1">AVERAGE(OFFSET($R$3,0,0,'Données projet'!$E$9+1,1))-AVERAGE(OFFSET($H$3,0,0,'Données projet'!$E$9+1,1))</f>
        <v>226.0452828290525</v>
      </c>
      <c r="T74" s="59">
        <f t="shared" si="88"/>
        <v>179.89696397462069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4.0296501883203417</v>
      </c>
      <c r="AA74" s="21">
        <f>EXP(-LN(2)/25)*AA73+(1-EXP(-LN(2)/25))/(LN(2)/25)*Calculateur!V74*Calculateur!X74*VLOOKUP('Données projet'!$B$9,Paramètres!$A$1:$I$89,3,0)*0.475*44/12</f>
        <v>3.5779732895291603</v>
      </c>
      <c r="AB74" s="21">
        <f>EXP(-LN(2)/2)*AB73+(1-EXP(-LN(2)/2))/(LN(2)/2)*V74*Y74*VLOOKUP('Données projet'!$B$9,Paramètres!$A$1:$I$89,3,0)*0.475*44/12</f>
        <v>7.4469291204488931E-6</v>
      </c>
      <c r="AC74" s="22">
        <f t="shared" si="57"/>
        <v>7.6076309247786229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-2.2737367544323206E-13</v>
      </c>
      <c r="AJ74" s="13">
        <f>AI74*VLOOKUP('Données projet'!$B$10,Paramètres!$A$1:$I$89,3,0)*VLOOKUP('Données projet'!$B$10,Paramètres!$A$1:$I$89,5,0)</f>
        <v>-1.2710188457276673E-13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365.13032894303285</v>
      </c>
      <c r="AO74" s="59">
        <f t="shared" si="90"/>
        <v>471.89239871617241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1.9556515274803445</v>
      </c>
      <c r="AV74" s="21">
        <f>EXP(-LN(2)/25)*AV73+(1-EXP(-LN(2)/25))/(LN(2)/25)*Calculateur!AQ74*Calculateur!AS74*VLOOKUP('Données projet'!$B$10,Paramètres!$A$1:$I$89,3,0)*0.475*44/12</f>
        <v>6.6742624009190603</v>
      </c>
      <c r="AW74" s="21">
        <f>EXP(-LN(2)/2)*AW73+(1-EXP(-LN(2)/2))/(LN(2)/2)*AQ74*AT74*VLOOKUP('Données projet'!$B$10,Paramètres!$A$1:$I$89,3,0)*0.475*44/12</f>
        <v>7.0540950609020869E-6</v>
      </c>
      <c r="AX74" s="21">
        <f t="shared" si="60"/>
        <v>8.6299209824944665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17</v>
      </c>
      <c r="N75" s="13">
        <f>IF('Données projet'!$A$36&gt;35,N74+M75-V74,IF(A75&lt;'Données projet'!$A$36,$K$205^A75,IF(A75='Données projet'!$A$36,'Données projet'!$B$36,N74+M75-V74)))</f>
        <v>370.49999999999989</v>
      </c>
      <c r="O75" s="13">
        <f>N75*VLOOKUP('Données projet'!$B$9,Paramètres!$A$1:$I$89,3,0)*VLOOKUP('Données projet'!$B$9,Paramètres!$A$1:$I$89,5,0)</f>
        <v>173.39399999999998</v>
      </c>
      <c r="P75" s="13">
        <f t="shared" si="87"/>
        <v>43.849289930196633</v>
      </c>
      <c r="Q75" s="20">
        <f t="shared" si="54"/>
        <v>378.36539662842574</v>
      </c>
      <c r="R75" s="59">
        <f t="shared" si="55"/>
        <v>671.698729961759</v>
      </c>
      <c r="S75" s="59">
        <f ca="1">AVERAGE(OFFSET($R$3,0,0,'Données projet'!$E$9+1,1))-AVERAGE(OFFSET($H$3,0,0,'Données projet'!$E$9+1,1))</f>
        <v>226.0452828290525</v>
      </c>
      <c r="T75" s="59">
        <f t="shared" si="88"/>
        <v>179.89696397462069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3.9506312059713027</v>
      </c>
      <c r="AA75" s="21">
        <f>EXP(-LN(2)/25)*AA74+(1-EXP(-LN(2)/25))/(LN(2)/25)*Calculateur!V75*Calculateur!X75*VLOOKUP('Données projet'!$B$9,Paramètres!$A$1:$I$89,3,0)*0.475*44/12</f>
        <v>3.4801334217695477</v>
      </c>
      <c r="AB75" s="21">
        <f>EXP(-LN(2)/2)*AB74+(1-EXP(-LN(2)/2))/(LN(2)/2)*V75*Y75*VLOOKUP('Données projet'!$B$9,Paramètres!$A$1:$I$89,3,0)*0.475*44/12</f>
        <v>5.265774080084985E-6</v>
      </c>
      <c r="AC75" s="22">
        <f t="shared" si="57"/>
        <v>7.4307698935149302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-2.2737367544323206E-13</v>
      </c>
      <c r="AJ75" s="13">
        <f>AI75*VLOOKUP('Données projet'!$B$10,Paramètres!$A$1:$I$89,3,0)*VLOOKUP('Données projet'!$B$10,Paramètres!$A$1:$I$89,5,0)</f>
        <v>-1.2710188457276673E-13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365.13032894303285</v>
      </c>
      <c r="AO75" s="59">
        <f t="shared" si="90"/>
        <v>471.89239871617241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1.9173023938561047</v>
      </c>
      <c r="AV75" s="21">
        <f>EXP(-LN(2)/25)*AV74+(1-EXP(-LN(2)/25))/(LN(2)/25)*Calculateur!AQ75*Calculateur!AS75*VLOOKUP('Données projet'!$B$10,Paramètres!$A$1:$I$89,3,0)*0.475*44/12</f>
        <v>6.4917543445817234</v>
      </c>
      <c r="AW75" s="21">
        <f>EXP(-LN(2)/2)*AW74+(1-EXP(-LN(2)/2))/(LN(2)/2)*AQ75*AT75*VLOOKUP('Données projet'!$B$10,Paramètres!$A$1:$I$89,3,0)*0.475*44/12</f>
        <v>4.9879984526983975E-6</v>
      </c>
      <c r="AX75" s="21">
        <f t="shared" si="60"/>
        <v>8.4090617264362812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17</v>
      </c>
      <c r="N76" s="13">
        <f>IF('Données projet'!$A$36&gt;35,N75+M76-V75,IF(A76&lt;'Données projet'!$A$36,$K$205^A76,IF(A76='Données projet'!$A$36,'Données projet'!$B$36,N75+M76-V75)))</f>
        <v>387.49999999999989</v>
      </c>
      <c r="O76" s="13">
        <f>N76*VLOOKUP('Données projet'!$B$9,Paramètres!$A$1:$I$89,3,0)*VLOOKUP('Données projet'!$B$9,Paramètres!$A$1:$I$89,5,0)</f>
        <v>181.34999999999994</v>
      </c>
      <c r="P76" s="13">
        <f t="shared" si="87"/>
        <v>45.622405555921837</v>
      </c>
      <c r="Q76" s="20">
        <f t="shared" si="54"/>
        <v>395.310273009897</v>
      </c>
      <c r="R76" s="59">
        <f t="shared" si="55"/>
        <v>688.64360634323032</v>
      </c>
      <c r="S76" s="59">
        <f ca="1">AVERAGE(OFFSET($R$3,0,0,'Données projet'!$E$9+1,1))-AVERAGE(OFFSET($H$3,0,0,'Données projet'!$E$9+1,1))</f>
        <v>226.0452828290525</v>
      </c>
      <c r="T76" s="59">
        <f t="shared" si="88"/>
        <v>179.89696397462069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3.8731617376693084</v>
      </c>
      <c r="AA76" s="21">
        <f>EXP(-LN(2)/25)*AA75+(1-EXP(-LN(2)/25))/(LN(2)/25)*Calculateur!V76*Calculateur!X76*VLOOKUP('Données projet'!$B$9,Paramètres!$A$1:$I$89,3,0)*0.475*44/12</f>
        <v>3.3849689903389968</v>
      </c>
      <c r="AB76" s="21">
        <f>EXP(-LN(2)/2)*AB75+(1-EXP(-LN(2)/2))/(LN(2)/2)*V76*Y76*VLOOKUP('Données projet'!$B$9,Paramètres!$A$1:$I$89,3,0)*0.475*44/12</f>
        <v>3.7234645602244474E-6</v>
      </c>
      <c r="AC76" s="22">
        <f t="shared" si="57"/>
        <v>7.2581344514728654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-2.2737367544323206E-13</v>
      </c>
      <c r="AJ76" s="13">
        <f>AI76*VLOOKUP('Données projet'!$B$10,Paramètres!$A$1:$I$89,3,0)*VLOOKUP('Données projet'!$B$10,Paramètres!$A$1:$I$89,5,0)</f>
        <v>-1.2710188457276673E-13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365.13032894303285</v>
      </c>
      <c r="AO76" s="59">
        <f t="shared" si="90"/>
        <v>471.89239871617241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1.8797052633515743</v>
      </c>
      <c r="AV76" s="21">
        <f>EXP(-LN(2)/25)*AV75+(1-EXP(-LN(2)/25))/(LN(2)/25)*Calculateur!AQ76*Calculateur!AS76*VLOOKUP('Données projet'!$B$10,Paramètres!$A$1:$I$89,3,0)*0.475*44/12</f>
        <v>6.3142369806426126</v>
      </c>
      <c r="AW76" s="21">
        <f>EXP(-LN(2)/2)*AW75+(1-EXP(-LN(2)/2))/(LN(2)/2)*AQ76*AT76*VLOOKUP('Données projet'!$B$10,Paramètres!$A$1:$I$89,3,0)*0.475*44/12</f>
        <v>3.5270475304510435E-6</v>
      </c>
      <c r="AX76" s="21">
        <f t="shared" si="60"/>
        <v>8.193945771041717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17</v>
      </c>
      <c r="N77" s="13">
        <f>IF('Données projet'!$A$36&gt;35,N76+M77-V76,IF(A77&lt;'Données projet'!$A$36,$K$205^A77,IF(A77='Données projet'!$A$36,'Données projet'!$B$36,N76+M77-V76)))</f>
        <v>404.49999999999989</v>
      </c>
      <c r="O77" s="13">
        <f>N77*VLOOKUP('Données projet'!$B$9,Paramètres!$A$1:$I$89,3,0)*VLOOKUP('Données projet'!$B$9,Paramètres!$A$1:$I$89,5,0)</f>
        <v>189.30599999999993</v>
      </c>
      <c r="P77" s="13">
        <f t="shared" si="87"/>
        <v>47.386486642979079</v>
      </c>
      <c r="Q77" s="20">
        <f t="shared" si="54"/>
        <v>412.23941423652178</v>
      </c>
      <c r="R77" s="59">
        <f t="shared" si="55"/>
        <v>705.5727475698551</v>
      </c>
      <c r="S77" s="59">
        <f ca="1">AVERAGE(OFFSET($R$3,0,0,'Données projet'!$E$9+1,1))-AVERAGE(OFFSET($H$3,0,0,'Données projet'!$E$9+1,1))</f>
        <v>226.0452828290525</v>
      </c>
      <c r="T77" s="59">
        <f t="shared" si="88"/>
        <v>179.89696397462069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3.7972113983890061</v>
      </c>
      <c r="AA77" s="21">
        <f>EXP(-LN(2)/25)*AA76+(1-EXP(-LN(2)/25))/(LN(2)/25)*Calculateur!V77*Calculateur!X77*VLOOKUP('Données projet'!$B$9,Paramètres!$A$1:$I$89,3,0)*0.475*44/12</f>
        <v>3.2924068352903944</v>
      </c>
      <c r="AB77" s="21">
        <f>EXP(-LN(2)/2)*AB76+(1-EXP(-LN(2)/2))/(LN(2)/2)*V77*Y77*VLOOKUP('Données projet'!$B$9,Paramètres!$A$1:$I$89,3,0)*0.475*44/12</f>
        <v>2.6328870400424929E-6</v>
      </c>
      <c r="AC77" s="22">
        <f t="shared" si="57"/>
        <v>7.0896208665664409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-2.2737367544323206E-13</v>
      </c>
      <c r="AJ77" s="13">
        <f>AI77*VLOOKUP('Données projet'!$B$10,Paramètres!$A$1:$I$89,3,0)*VLOOKUP('Données projet'!$B$10,Paramètres!$A$1:$I$89,5,0)</f>
        <v>-1.2710188457276673E-13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365.13032894303285</v>
      </c>
      <c r="AO77" s="59">
        <f t="shared" si="90"/>
        <v>471.89239871617241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1.8428453896442525</v>
      </c>
      <c r="AV77" s="21">
        <f>EXP(-LN(2)/25)*AV76+(1-EXP(-LN(2)/25))/(LN(2)/25)*Calculateur!AQ77*Calculateur!AS77*VLOOKUP('Données projet'!$B$10,Paramètres!$A$1:$I$89,3,0)*0.475*44/12</f>
        <v>6.1415738383556491</v>
      </c>
      <c r="AW77" s="21">
        <f>EXP(-LN(2)/2)*AW76+(1-EXP(-LN(2)/2))/(LN(2)/2)*AQ77*AT77*VLOOKUP('Données projet'!$B$10,Paramètres!$A$1:$I$89,3,0)*0.475*44/12</f>
        <v>2.4939992263491988E-6</v>
      </c>
      <c r="AX77" s="21">
        <f t="shared" si="60"/>
        <v>7.9844217219991283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17</v>
      </c>
      <c r="N78" s="13">
        <f>IF('Données projet'!$A$36&gt;35,N77+M78-V77,IF(A78&lt;'Données projet'!$A$36,$K$205^A78,IF(A78='Données projet'!$A$36,'Données projet'!$B$36,N77+M78-V77)))</f>
        <v>421.49999999999989</v>
      </c>
      <c r="O78" s="13">
        <f>N78*VLOOKUP('Données projet'!$B$9,Paramètres!$A$1:$I$89,3,0)*VLOOKUP('Données projet'!$B$9,Paramètres!$A$1:$I$89,5,0)</f>
        <v>197.26199999999994</v>
      </c>
      <c r="P78" s="13">
        <f t="shared" si="87"/>
        <v>49.141956303266518</v>
      </c>
      <c r="Q78" s="20">
        <f t="shared" si="54"/>
        <v>429.15355722818907</v>
      </c>
      <c r="R78" s="59">
        <f t="shared" si="55"/>
        <v>722.48689056152239</v>
      </c>
      <c r="S78" s="59">
        <f ca="1">AVERAGE(OFFSET($R$3,0,0,'Données projet'!$E$9+1,1))-AVERAGE(OFFSET($H$3,0,0,'Données projet'!$E$9+1,1))</f>
        <v>226.0452828290525</v>
      </c>
      <c r="T78" s="59">
        <f t="shared" si="88"/>
        <v>179.89696397462069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3.7227503989368578</v>
      </c>
      <c r="AA78" s="21">
        <f>EXP(-LN(2)/25)*AA77+(1-EXP(-LN(2)/25))/(LN(2)/25)*Calculateur!V78*Calculateur!X78*VLOOKUP('Données projet'!$B$9,Paramètres!$A$1:$I$89,3,0)*0.475*44/12</f>
        <v>3.2023757972392279</v>
      </c>
      <c r="AB78" s="21">
        <f>EXP(-LN(2)/2)*AB77+(1-EXP(-LN(2)/2))/(LN(2)/2)*V78*Y78*VLOOKUP('Données projet'!$B$9,Paramètres!$A$1:$I$89,3,0)*0.475*44/12</f>
        <v>1.8617322801122239E-6</v>
      </c>
      <c r="AC78" s="22">
        <f t="shared" si="57"/>
        <v>6.9251280579083661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-2.2737367544323206E-13</v>
      </c>
      <c r="AJ78" s="13">
        <f>AI78*VLOOKUP('Données projet'!$B$10,Paramètres!$A$1:$I$89,3,0)*VLOOKUP('Données projet'!$B$10,Paramètres!$A$1:$I$89,5,0)</f>
        <v>-1.2710188457276673E-13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365.13032894303285</v>
      </c>
      <c r="AO78" s="59">
        <f t="shared" si="90"/>
        <v>471.89239871617241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1.8067083155780281</v>
      </c>
      <c r="AV78" s="21">
        <f>EXP(-LN(2)/25)*AV77+(1-EXP(-LN(2)/25))/(LN(2)/25)*Calculateur!AQ78*Calculateur!AS78*VLOOKUP('Données projet'!$B$10,Paramètres!$A$1:$I$89,3,0)*0.475*44/12</f>
        <v>5.9736321787744826</v>
      </c>
      <c r="AW78" s="21">
        <f>EXP(-LN(2)/2)*AW77+(1-EXP(-LN(2)/2))/(LN(2)/2)*AQ78*AT78*VLOOKUP('Données projet'!$B$10,Paramètres!$A$1:$I$89,3,0)*0.475*44/12</f>
        <v>1.7635237652255217E-6</v>
      </c>
      <c r="AX78" s="21">
        <f t="shared" si="60"/>
        <v>7.780342257876276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17</v>
      </c>
      <c r="N79" s="13">
        <f>IF('Données projet'!$A$36&gt;35,N78+M79-V78,IF(A79&lt;'Données projet'!$A$36,$K$205^A79,IF(A79='Données projet'!$A$36,'Données projet'!$B$36,N78+M79-V78)))</f>
        <v>438.49999999999989</v>
      </c>
      <c r="O79" s="13">
        <f>N79*VLOOKUP('Données projet'!$B$9,Paramètres!$A$1:$I$89,3,0)*VLOOKUP('Données projet'!$B$9,Paramètres!$A$1:$I$89,5,0)</f>
        <v>205.21799999999996</v>
      </c>
      <c r="P79" s="13">
        <f t="shared" si="87"/>
        <v>50.889201586985514</v>
      </c>
      <c r="Q79" s="20">
        <f t="shared" si="54"/>
        <v>446.05337609733306</v>
      </c>
      <c r="R79" s="59">
        <f t="shared" si="55"/>
        <v>739.38670943066631</v>
      </c>
      <c r="S79" s="59">
        <f ca="1">AVERAGE(OFFSET($R$3,0,0,'Données projet'!$E$9+1,1))-AVERAGE(OFFSET($H$3,0,0,'Données projet'!$E$9+1,1))</f>
        <v>226.0452828290525</v>
      </c>
      <c r="T79" s="59">
        <f t="shared" si="88"/>
        <v>179.89696397462069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3.649749534267241</v>
      </c>
      <c r="AA79" s="21">
        <f>EXP(-LN(2)/25)*AA78+(1-EXP(-LN(2)/25))/(LN(2)/25)*Calculateur!V79*Calculateur!X79*VLOOKUP('Données projet'!$B$9,Paramètres!$A$1:$I$89,3,0)*0.475*44/12</f>
        <v>3.114806662658097</v>
      </c>
      <c r="AB79" s="21">
        <f>EXP(-LN(2)/2)*AB78+(1-EXP(-LN(2)/2))/(LN(2)/2)*V79*Y79*VLOOKUP('Données projet'!$B$9,Paramètres!$A$1:$I$89,3,0)*0.475*44/12</f>
        <v>1.3164435200212467E-6</v>
      </c>
      <c r="AC79" s="22">
        <f t="shared" si="57"/>
        <v>6.7645575133688585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-2.2737367544323206E-13</v>
      </c>
      <c r="AJ79" s="13">
        <f>AI79*VLOOKUP('Données projet'!$B$10,Paramètres!$A$1:$I$89,3,0)*VLOOKUP('Données projet'!$B$10,Paramètres!$A$1:$I$89,5,0)</f>
        <v>-1.2710188457276673E-13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365.13032894303285</v>
      </c>
      <c r="AO79" s="59">
        <f t="shared" si="90"/>
        <v>471.89239871617241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1.7712798674928036</v>
      </c>
      <c r="AV79" s="21">
        <f>EXP(-LN(2)/25)*AV78+(1-EXP(-LN(2)/25))/(LN(2)/25)*Calculateur!AQ79*Calculateur!AS79*VLOOKUP('Données projet'!$B$10,Paramètres!$A$1:$I$89,3,0)*0.475*44/12</f>
        <v>5.8102828927062307</v>
      </c>
      <c r="AW79" s="21">
        <f>EXP(-LN(2)/2)*AW78+(1-EXP(-LN(2)/2))/(LN(2)/2)*AQ79*AT79*VLOOKUP('Données projet'!$B$10,Paramètres!$A$1:$I$89,3,0)*0.475*44/12</f>
        <v>1.2469996131745994E-6</v>
      </c>
      <c r="AX79" s="21">
        <f t="shared" si="60"/>
        <v>7.5815640071986472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17</v>
      </c>
      <c r="N80" s="13">
        <f>IF('Données projet'!$A$36&gt;35,N79+M80-V79,IF(A80&lt;'Données projet'!$A$36,$K$205^A80,IF(A80='Données projet'!$A$36,'Données projet'!$B$36,N79+M80-V79)))</f>
        <v>455.49999999999989</v>
      </c>
      <c r="O80" s="13">
        <f>N80*VLOOKUP('Données projet'!$B$9,Paramètres!$A$1:$I$89,3,0)*VLOOKUP('Données projet'!$B$9,Paramètres!$A$1:$I$89,5,0)</f>
        <v>213.17399999999995</v>
      </c>
      <c r="P80" s="13">
        <f t="shared" si="87"/>
        <v>52.628577834232573</v>
      </c>
      <c r="Q80" s="20">
        <f t="shared" si="54"/>
        <v>462.93948972795494</v>
      </c>
      <c r="R80" s="59">
        <f t="shared" si="55"/>
        <v>756.27282306128825</v>
      </c>
      <c r="S80" s="59">
        <f ca="1">AVERAGE(OFFSET($R$3,0,0,'Données projet'!$E$9+1,1))-AVERAGE(OFFSET($H$3,0,0,'Données projet'!$E$9+1,1))</f>
        <v>226.0452828290525</v>
      </c>
      <c r="T80" s="59">
        <f t="shared" si="88"/>
        <v>179.89696397462069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3.5781801720276647</v>
      </c>
      <c r="AA80" s="21">
        <f>EXP(-LN(2)/25)*AA79+(1-EXP(-LN(2)/25))/(LN(2)/25)*Calculateur!V80*Calculateur!X80*VLOOKUP('Données projet'!$B$9,Paramètres!$A$1:$I$89,3,0)*0.475*44/12</f>
        <v>3.0296321106671478</v>
      </c>
      <c r="AB80" s="21">
        <f>EXP(-LN(2)/2)*AB79+(1-EXP(-LN(2)/2))/(LN(2)/2)*V80*Y80*VLOOKUP('Données projet'!$B$9,Paramètres!$A$1:$I$89,3,0)*0.475*44/12</f>
        <v>9.3086614005611217E-7</v>
      </c>
      <c r="AC80" s="22">
        <f t="shared" si="57"/>
        <v>6.6078132135609522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-2.2737367544323206E-13</v>
      </c>
      <c r="AJ80" s="13">
        <f>AI80*VLOOKUP('Données projet'!$B$10,Paramètres!$A$1:$I$89,3,0)*VLOOKUP('Données projet'!$B$10,Paramètres!$A$1:$I$89,5,0)</f>
        <v>-1.2710188457276673E-13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365.13032894303285</v>
      </c>
      <c r="AO80" s="59">
        <f t="shared" si="90"/>
        <v>471.89239871617241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1.736546149665311</v>
      </c>
      <c r="AV80" s="21">
        <f>EXP(-LN(2)/25)*AV79+(1-EXP(-LN(2)/25))/(LN(2)/25)*Calculateur!AQ80*Calculateur!AS80*VLOOKUP('Données projet'!$B$10,Paramètres!$A$1:$I$89,3,0)*0.475*44/12</f>
        <v>5.6514004014556809</v>
      </c>
      <c r="AW80" s="21">
        <f>EXP(-LN(2)/2)*AW79+(1-EXP(-LN(2)/2))/(LN(2)/2)*AQ80*AT80*VLOOKUP('Données projet'!$B$10,Paramètres!$A$1:$I$89,3,0)*0.475*44/12</f>
        <v>8.8176188261276087E-7</v>
      </c>
      <c r="AX80" s="21">
        <f t="shared" si="60"/>
        <v>7.387947432882874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17</v>
      </c>
      <c r="N81" s="13">
        <f>IF('Données projet'!$A$36&gt;35,N80+M81-V80,IF(A81&lt;'Données projet'!$A$36,$K$205^A81,IF(A81='Données projet'!$A$36,'Données projet'!$B$36,N80+M81-V80)))</f>
        <v>472.49999999999989</v>
      </c>
      <c r="O81" s="13">
        <f>N81*VLOOKUP('Données projet'!$B$9,Paramètres!$A$1:$I$89,3,0)*VLOOKUP('Données projet'!$B$9,Paramètres!$A$1:$I$89,5,0)</f>
        <v>221.12999999999997</v>
      </c>
      <c r="P81" s="13">
        <f t="shared" si="87"/>
        <v>54.360412358692685</v>
      </c>
      <c r="Q81" s="20">
        <f t="shared" si="54"/>
        <v>479.81246819138977</v>
      </c>
      <c r="R81" s="59">
        <f t="shared" si="55"/>
        <v>773.14580152472308</v>
      </c>
      <c r="S81" s="59">
        <f ca="1">AVERAGE(OFFSET($R$3,0,0,'Données projet'!$E$9+1,1))-AVERAGE(OFFSET($H$3,0,0,'Données projet'!$E$9+1,1))</f>
        <v>226.0452828290525</v>
      </c>
      <c r="T81" s="59">
        <f t="shared" si="88"/>
        <v>179.89696397462069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3.5080142413286057</v>
      </c>
      <c r="AA81" s="21">
        <f>EXP(-LN(2)/25)*AA80+(1-EXP(-LN(2)/25))/(LN(2)/25)*Calculateur!V81*Calculateur!X81*VLOOKUP('Données projet'!$B$9,Paramètres!$A$1:$I$89,3,0)*0.475*44/12</f>
        <v>2.9467866612795262</v>
      </c>
      <c r="AB81" s="21">
        <f>EXP(-LN(2)/2)*AB80+(1-EXP(-LN(2)/2))/(LN(2)/2)*V81*Y81*VLOOKUP('Données projet'!$B$9,Paramètres!$A$1:$I$89,3,0)*0.475*44/12</f>
        <v>6.5822176001062344E-7</v>
      </c>
      <c r="AC81" s="22">
        <f t="shared" si="57"/>
        <v>6.4548015608298916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-2.2737367544323206E-13</v>
      </c>
      <c r="AJ81" s="13">
        <f>AI81*VLOOKUP('Données projet'!$B$10,Paramètres!$A$1:$I$89,3,0)*VLOOKUP('Données projet'!$B$10,Paramètres!$A$1:$I$89,5,0)</f>
        <v>-1.2710188457276673E-13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365.13032894303285</v>
      </c>
      <c r="AO81" s="59">
        <f t="shared" si="90"/>
        <v>471.89239871617241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1.7024935388589393</v>
      </c>
      <c r="AV81" s="21">
        <f>EXP(-LN(2)/25)*AV80+(1-EXP(-LN(2)/25))/(LN(2)/25)*Calculateur!AQ81*Calculateur!AS81*VLOOKUP('Données projet'!$B$10,Paramètres!$A$1:$I$89,3,0)*0.475*44/12</f>
        <v>5.4968625602836445</v>
      </c>
      <c r="AW81" s="21">
        <f>EXP(-LN(2)/2)*AW80+(1-EXP(-LN(2)/2))/(LN(2)/2)*AQ81*AT81*VLOOKUP('Données projet'!$B$10,Paramètres!$A$1:$I$89,3,0)*0.475*44/12</f>
        <v>6.2349980658729969E-7</v>
      </c>
      <c r="AX81" s="21">
        <f t="shared" si="60"/>
        <v>7.1993567226423902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17</v>
      </c>
      <c r="N82" s="13">
        <f>IF('Données projet'!$A$36&gt;35,N81+M82-V81,IF(A82&lt;'Données projet'!$A$36,$K$205^A82,IF(A82='Données projet'!$A$36,'Données projet'!$B$36,N81+M82-V81)))</f>
        <v>489.49999999999989</v>
      </c>
      <c r="O82" s="13">
        <f>N82*VLOOKUP('Données projet'!$B$9,Paramètres!$A$1:$I$89,3,0)*VLOOKUP('Données projet'!$B$9,Paramètres!$A$1:$I$89,5,0)</f>
        <v>229.08599999999993</v>
      </c>
      <c r="P82" s="13">
        <f t="shared" si="87"/>
        <v>56.085007586294346</v>
      </c>
      <c r="Q82" s="20">
        <f t="shared" si="54"/>
        <v>496.6728382127958</v>
      </c>
      <c r="R82" s="59">
        <f t="shared" si="55"/>
        <v>790.00617154612905</v>
      </c>
      <c r="S82" s="59">
        <f ca="1">AVERAGE(OFFSET($R$3,0,0,'Données projet'!$E$9+1,1))-AVERAGE(OFFSET($H$3,0,0,'Données projet'!$E$9+1,1))</f>
        <v>226.0452828290525</v>
      </c>
      <c r="T82" s="59">
        <f t="shared" si="88"/>
        <v>179.89696397462069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3.4392242217335633</v>
      </c>
      <c r="AA82" s="21">
        <f>EXP(-LN(2)/25)*AA81+(1-EXP(-LN(2)/25))/(LN(2)/25)*Calculateur!V82*Calculateur!X82*VLOOKUP('Données projet'!$B$9,Paramètres!$A$1:$I$89,3,0)*0.475*44/12</f>
        <v>2.8662066250620621</v>
      </c>
      <c r="AB82" s="21">
        <f>EXP(-LN(2)/2)*AB81+(1-EXP(-LN(2)/2))/(LN(2)/2)*V82*Y82*VLOOKUP('Données projet'!$B$9,Paramètres!$A$1:$I$89,3,0)*0.475*44/12</f>
        <v>4.6543307002805614E-7</v>
      </c>
      <c r="AC82" s="22">
        <f t="shared" si="57"/>
        <v>6.3054313122286949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-2.2737367544323206E-13</v>
      </c>
      <c r="AJ82" s="13">
        <f>AI82*VLOOKUP('Données projet'!$B$10,Paramètres!$A$1:$I$89,3,0)*VLOOKUP('Données projet'!$B$10,Paramètres!$A$1:$I$89,5,0)</f>
        <v>-1.2710188457276673E-13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365.13032894303285</v>
      </c>
      <c r="AO82" s="59">
        <f t="shared" si="90"/>
        <v>471.89239871617241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1.6691086789804388</v>
      </c>
      <c r="AV82" s="21">
        <f>EXP(-LN(2)/25)*AV81+(1-EXP(-LN(2)/25))/(LN(2)/25)*Calculateur!AQ82*Calculateur!AS82*VLOOKUP('Données projet'!$B$10,Paramètres!$A$1:$I$89,3,0)*0.475*44/12</f>
        <v>5.3465505645052493</v>
      </c>
      <c r="AW82" s="21">
        <f>EXP(-LN(2)/2)*AW81+(1-EXP(-LN(2)/2))/(LN(2)/2)*AQ82*AT82*VLOOKUP('Données projet'!$B$10,Paramètres!$A$1:$I$89,3,0)*0.475*44/12</f>
        <v>4.4088094130638043E-7</v>
      </c>
      <c r="AX82" s="21">
        <f t="shared" si="60"/>
        <v>7.0156596843666295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506.5</v>
      </c>
      <c r="L83" s="12">
        <f>VLOOKUP(A83,'Données projet'!$A$35:$I$55,9,0)</f>
        <v>17</v>
      </c>
      <c r="M83" s="12">
        <f t="array" ref="M83">INDEX(L:L,MIN(IF(ISNUMBER(L83:L279),ROW(L83:L279),"")))</f>
        <v>17</v>
      </c>
      <c r="N83" s="13">
        <f>IF('Données projet'!$A$36&gt;35,N82+M83-V82,IF(A83&lt;'Données projet'!$A$36,$K$205^A83,IF(A83='Données projet'!$A$36,'Données projet'!$B$36,N82+M83-V82)))</f>
        <v>506.49999999999989</v>
      </c>
      <c r="O83" s="13">
        <f>N83*VLOOKUP('Données projet'!$B$9,Paramètres!$A$1:$I$89,3,0)*VLOOKUP('Données projet'!$B$9,Paramètres!$A$1:$I$89,5,0)</f>
        <v>237.04199999999994</v>
      </c>
      <c r="P83" s="13">
        <f t="shared" si="87"/>
        <v>57.802643745601223</v>
      </c>
      <c r="Q83" s="20">
        <f t="shared" si="54"/>
        <v>513.52108785692201</v>
      </c>
      <c r="R83" s="59">
        <f t="shared" si="55"/>
        <v>806.85442119025538</v>
      </c>
      <c r="S83" s="59">
        <f ca="1">AVERAGE(OFFSET($R$3,0,0,'Données projet'!$E$9+1,1))-AVERAGE(OFFSET($H$3,0,0,'Données projet'!$E$9+1,1))</f>
        <v>226.0452828290525</v>
      </c>
      <c r="T83" s="59">
        <f t="shared" si="88"/>
        <v>179.89696397462069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93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3.3717831324650107</v>
      </c>
      <c r="AA83" s="21">
        <f>EXP(-LN(2)/25)*AA82+(1-EXP(-LN(2)/25))/(LN(2)/25)*Calculateur!V83*Calculateur!X83*VLOOKUP('Données projet'!$B$9,Paramètres!$A$1:$I$89,3,0)*0.475*44/12</f>
        <v>2.7878300541724843</v>
      </c>
      <c r="AB83" s="21">
        <f>EXP(-LN(2)/2)*AB82+(1-EXP(-LN(2)/2))/(LN(2)/2)*V83*Y83*VLOOKUP('Données projet'!$B$9,Paramètres!$A$1:$I$89,3,0)*0.475*44/12</f>
        <v>3.2911088000531177E-7</v>
      </c>
      <c r="AC83" s="22">
        <f t="shared" si="57"/>
        <v>6.1596135157483749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-2.2737367544323206E-13</v>
      </c>
      <c r="AJ83" s="13">
        <f>AI83*VLOOKUP('Données projet'!$B$10,Paramètres!$A$1:$I$89,3,0)*VLOOKUP('Données projet'!$B$10,Paramètres!$A$1:$I$89,5,0)</f>
        <v>-1.2710188457276673E-13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365.13032894303285</v>
      </c>
      <c r="AO83" s="59">
        <f t="shared" si="90"/>
        <v>471.89239871617241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1.6363784758414019</v>
      </c>
      <c r="AV83" s="21">
        <f>EXP(-LN(2)/25)*AV82+(1-EXP(-LN(2)/25))/(LN(2)/25)*Calculateur!AQ83*Calculateur!AS83*VLOOKUP('Données projet'!$B$10,Paramètres!$A$1:$I$89,3,0)*0.475*44/12</f>
        <v>5.2003488581559791</v>
      </c>
      <c r="AW83" s="21">
        <f>EXP(-LN(2)/2)*AW82+(1-EXP(-LN(2)/2))/(LN(2)/2)*AQ83*AT83*VLOOKUP('Données projet'!$B$10,Paramètres!$A$1:$I$89,3,0)*0.475*44/12</f>
        <v>3.1174990329364985E-7</v>
      </c>
      <c r="AX83" s="21">
        <f t="shared" si="60"/>
        <v>6.8367276457472839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17.5</v>
      </c>
      <c r="N84" s="13">
        <f>IF('Données projet'!$A$36&gt;35,N83+M84-V83,IF(A84&lt;'Données projet'!$A$36,$K$205^A84,IF(A84='Données projet'!$A$36,'Données projet'!$B$36,N83+M84-V83)))</f>
        <v>430.99999999999989</v>
      </c>
      <c r="O84" s="13">
        <f>N84*VLOOKUP('Données projet'!$B$9,Paramètres!$A$1:$I$89,3,0)*VLOOKUP('Données projet'!$B$9,Paramètres!$A$1:$I$89,5,0)</f>
        <v>201.70799999999994</v>
      </c>
      <c r="P84" s="13">
        <f t="shared" si="87"/>
        <v>50.119348451854243</v>
      </c>
      <c r="Q84" s="20">
        <f t="shared" si="54"/>
        <v>438.59929855364607</v>
      </c>
      <c r="R84" s="59">
        <f t="shared" si="55"/>
        <v>731.93263188697938</v>
      </c>
      <c r="S84" s="59">
        <f ca="1">AVERAGE(OFFSET($R$3,0,0,'Données projet'!$E$9+1,1))-AVERAGE(OFFSET($H$3,0,0,'Données projet'!$E$9+1,1))</f>
        <v>226.0452828290525</v>
      </c>
      <c r="T84" s="59">
        <f t="shared" si="88"/>
        <v>179.89696397462069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3.305664521822012</v>
      </c>
      <c r="AA84" s="21">
        <f>EXP(-LN(2)/25)*AA83+(1-EXP(-LN(2)/25))/(LN(2)/25)*Calculateur!V84*Calculateur!X84*VLOOKUP('Données projet'!$B$9,Paramètres!$A$1:$I$89,3,0)*0.475*44/12</f>
        <v>2.711596694735527</v>
      </c>
      <c r="AB84" s="21">
        <f>EXP(-LN(2)/2)*AB83+(1-EXP(-LN(2)/2))/(LN(2)/2)*V84*Y84*VLOOKUP('Données projet'!$B$9,Paramètres!$A$1:$I$89,3,0)*0.475*44/12</f>
        <v>2.327165350140281E-7</v>
      </c>
      <c r="AC84" s="22">
        <f t="shared" si="57"/>
        <v>6.0172614492740744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-2.2737367544323206E-13</v>
      </c>
      <c r="AJ84" s="13">
        <f>AI84*VLOOKUP('Données projet'!$B$10,Paramètres!$A$1:$I$89,3,0)*VLOOKUP('Données projet'!$B$10,Paramètres!$A$1:$I$89,5,0)</f>
        <v>-1.2710188457276673E-13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365.13032894303285</v>
      </c>
      <c r="AO84" s="59">
        <f t="shared" si="90"/>
        <v>471.89239871617241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1.604290092022469</v>
      </c>
      <c r="AV84" s="21">
        <f>EXP(-LN(2)/25)*AV83+(1-EXP(-LN(2)/25))/(LN(2)/25)*Calculateur!AQ84*Calculateur!AS84*VLOOKUP('Données projet'!$B$10,Paramètres!$A$1:$I$89,3,0)*0.475*44/12</f>
        <v>5.0581450451552428</v>
      </c>
      <c r="AW84" s="21">
        <f>EXP(-LN(2)/2)*AW83+(1-EXP(-LN(2)/2))/(LN(2)/2)*AQ84*AT84*VLOOKUP('Données projet'!$B$10,Paramètres!$A$1:$I$89,3,0)*0.475*44/12</f>
        <v>2.2044047065319022E-7</v>
      </c>
      <c r="AX84" s="21">
        <f t="shared" si="60"/>
        <v>6.6624353576181816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17.5</v>
      </c>
      <c r="N85" s="13">
        <f>IF('Données projet'!$A$36&gt;35,N84+M85-V84,IF(A85&lt;'Données projet'!$A$36,$K$205^A85,IF(A85='Données projet'!$A$36,'Données projet'!$B$36,N84+M85-V84)))</f>
        <v>448.49999999999989</v>
      </c>
      <c r="O85" s="13">
        <f>N85*VLOOKUP('Données projet'!$B$9,Paramètres!$A$1:$I$89,3,0)*VLOOKUP('Données projet'!$B$9,Paramètres!$A$1:$I$89,5,0)</f>
        <v>209.89799999999994</v>
      </c>
      <c r="P85" s="13">
        <f t="shared" si="87"/>
        <v>51.913295501810218</v>
      </c>
      <c r="Q85" s="20">
        <f t="shared" si="54"/>
        <v>455.98800633231934</v>
      </c>
      <c r="R85" s="59">
        <f t="shared" si="55"/>
        <v>749.32133966565266</v>
      </c>
      <c r="S85" s="59">
        <f ca="1">AVERAGE(OFFSET($R$3,0,0,'Données projet'!$E$9+1,1))-AVERAGE(OFFSET($H$3,0,0,'Données projet'!$E$9+1,1))</f>
        <v>226.0452828290525</v>
      </c>
      <c r="T85" s="59">
        <f t="shared" si="88"/>
        <v>179.89696397462069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3.240842456805352</v>
      </c>
      <c r="AA85" s="21">
        <f>EXP(-LN(2)/25)*AA84+(1-EXP(-LN(2)/25))/(LN(2)/25)*Calculateur!V85*Calculateur!X85*VLOOKUP('Données projet'!$B$9,Paramètres!$A$1:$I$89,3,0)*0.475*44/12</f>
        <v>2.6374479405213114</v>
      </c>
      <c r="AB85" s="21">
        <f>EXP(-LN(2)/2)*AB84+(1-EXP(-LN(2)/2))/(LN(2)/2)*V85*Y85*VLOOKUP('Données projet'!$B$9,Paramètres!$A$1:$I$89,3,0)*0.475*44/12</f>
        <v>1.6455544000265591E-7</v>
      </c>
      <c r="AC85" s="22">
        <f t="shared" si="57"/>
        <v>5.8782905618821042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-2.2737367544323206E-13</v>
      </c>
      <c r="AJ85" s="13">
        <f>AI85*VLOOKUP('Données projet'!$B$10,Paramètres!$A$1:$I$89,3,0)*VLOOKUP('Données projet'!$B$10,Paramètres!$A$1:$I$89,5,0)</f>
        <v>-1.2710188457276673E-13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365.13032894303285</v>
      </c>
      <c r="AO85" s="59">
        <f t="shared" si="90"/>
        <v>471.89239871617241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1.5728309418382436</v>
      </c>
      <c r="AV85" s="21">
        <f>EXP(-LN(2)/25)*AV84+(1-EXP(-LN(2)/25))/(LN(2)/25)*Calculateur!AQ85*Calculateur!AS85*VLOOKUP('Données projet'!$B$10,Paramètres!$A$1:$I$89,3,0)*0.475*44/12</f>
        <v>4.9198298028991854</v>
      </c>
      <c r="AW85" s="21">
        <f>EXP(-LN(2)/2)*AW84+(1-EXP(-LN(2)/2))/(LN(2)/2)*AQ85*AT85*VLOOKUP('Données projet'!$B$10,Paramètres!$A$1:$I$89,3,0)*0.475*44/12</f>
        <v>1.5587495164682492E-7</v>
      </c>
      <c r="AX85" s="21">
        <f t="shared" si="60"/>
        <v>6.492660900612381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17.5</v>
      </c>
      <c r="N86" s="13">
        <f>IF('Données projet'!$A$36&gt;35,N85+M86-V85,IF(A86&lt;'Données projet'!$A$36,$K$205^A86,IF(A86='Données projet'!$A$36,'Données projet'!$B$36,N85+M86-V85)))</f>
        <v>465.99999999999989</v>
      </c>
      <c r="O86" s="13">
        <f>N86*VLOOKUP('Données projet'!$B$9,Paramètres!$A$1:$I$89,3,0)*VLOOKUP('Données projet'!$B$9,Paramètres!$A$1:$I$89,5,0)</f>
        <v>218.08799999999997</v>
      </c>
      <c r="P86" s="13">
        <f t="shared" si="87"/>
        <v>53.699111087780629</v>
      </c>
      <c r="Q86" s="20">
        <f t="shared" si="54"/>
        <v>473.36255181121783</v>
      </c>
      <c r="R86" s="59">
        <f t="shared" si="55"/>
        <v>766.69588514455108</v>
      </c>
      <c r="S86" s="59">
        <f ca="1">AVERAGE(OFFSET($R$3,0,0,'Données projet'!$E$9+1,1))-AVERAGE(OFFSET($H$3,0,0,'Données projet'!$E$9+1,1))</f>
        <v>226.0452828290525</v>
      </c>
      <c r="T86" s="59">
        <f t="shared" si="88"/>
        <v>179.89696397462069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3.177291512946113</v>
      </c>
      <c r="AA86" s="21">
        <f>EXP(-LN(2)/25)*AA85+(1-EXP(-LN(2)/25))/(LN(2)/25)*Calculateur!V86*Calculateur!X86*VLOOKUP('Données projet'!$B$9,Paramètres!$A$1:$I$89,3,0)*0.475*44/12</f>
        <v>2.5653267878903967</v>
      </c>
      <c r="AB86" s="21">
        <f>EXP(-LN(2)/2)*AB85+(1-EXP(-LN(2)/2))/(LN(2)/2)*V86*Y86*VLOOKUP('Données projet'!$B$9,Paramètres!$A$1:$I$89,3,0)*0.475*44/12</f>
        <v>1.1635826750701407E-7</v>
      </c>
      <c r="AC86" s="22">
        <f t="shared" si="57"/>
        <v>5.7426184171947776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-2.2737367544323206E-13</v>
      </c>
      <c r="AJ86" s="13">
        <f>AI86*VLOOKUP('Données projet'!$B$10,Paramètres!$A$1:$I$89,3,0)*VLOOKUP('Données projet'!$B$10,Paramètres!$A$1:$I$89,5,0)</f>
        <v>-1.2710188457276673E-13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365.13032894303285</v>
      </c>
      <c r="AO86" s="59">
        <f t="shared" si="90"/>
        <v>471.89239871617241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1.541988686400944</v>
      </c>
      <c r="AV86" s="21">
        <f>EXP(-LN(2)/25)*AV85+(1-EXP(-LN(2)/25))/(LN(2)/25)*Calculateur!AQ86*Calculateur!AS86*VLOOKUP('Données projet'!$B$10,Paramètres!$A$1:$I$89,3,0)*0.475*44/12</f>
        <v>4.7852967982163026</v>
      </c>
      <c r="AW86" s="21">
        <f>EXP(-LN(2)/2)*AW85+(1-EXP(-LN(2)/2))/(LN(2)/2)*AQ86*AT86*VLOOKUP('Données projet'!$B$10,Paramètres!$A$1:$I$89,3,0)*0.475*44/12</f>
        <v>1.1022023532659511E-7</v>
      </c>
      <c r="AX86" s="21">
        <f t="shared" si="60"/>
        <v>6.3272855948374822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17.5</v>
      </c>
      <c r="N87" s="13">
        <f>IF('Données projet'!$A$36&gt;35,N86+M87-V86,IF(A87&lt;'Données projet'!$A$36,$K$205^A87,IF(A87='Données projet'!$A$36,'Données projet'!$B$36,N86+M87-V86)))</f>
        <v>483.49999999999989</v>
      </c>
      <c r="O87" s="13">
        <f>N87*VLOOKUP('Données projet'!$B$9,Paramètres!$A$1:$I$89,3,0)*VLOOKUP('Données projet'!$B$9,Paramètres!$A$1:$I$89,5,0)</f>
        <v>226.27799999999993</v>
      </c>
      <c r="P87" s="13">
        <f t="shared" si="87"/>
        <v>55.477135539319008</v>
      </c>
      <c r="Q87" s="20">
        <f t="shared" si="54"/>
        <v>490.72352773098049</v>
      </c>
      <c r="R87" s="59">
        <f t="shared" si="55"/>
        <v>784.05686106431381</v>
      </c>
      <c r="S87" s="59">
        <f ca="1">AVERAGE(OFFSET($R$3,0,0,'Données projet'!$E$9+1,1))-AVERAGE(OFFSET($H$3,0,0,'Données projet'!$E$9+1,1))</f>
        <v>226.0452828290525</v>
      </c>
      <c r="T87" s="59">
        <f t="shared" si="88"/>
        <v>179.89696397462069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3.1149867643337052</v>
      </c>
      <c r="AA87" s="21">
        <f>EXP(-LN(2)/25)*AA86+(1-EXP(-LN(2)/25))/(LN(2)/25)*Calculateur!V87*Calculateur!X87*VLOOKUP('Données projet'!$B$9,Paramètres!$A$1:$I$89,3,0)*0.475*44/12</f>
        <v>2.4951777919708613</v>
      </c>
      <c r="AB87" s="21">
        <f>EXP(-LN(2)/2)*AB86+(1-EXP(-LN(2)/2))/(LN(2)/2)*V87*Y87*VLOOKUP('Données projet'!$B$9,Paramètres!$A$1:$I$89,3,0)*0.475*44/12</f>
        <v>8.227772000132797E-8</v>
      </c>
      <c r="AC87" s="22">
        <f t="shared" si="57"/>
        <v>5.6101646385822859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-2.2737367544323206E-13</v>
      </c>
      <c r="AJ87" s="13">
        <f>AI87*VLOOKUP('Données projet'!$B$10,Paramètres!$A$1:$I$89,3,0)*VLOOKUP('Données projet'!$B$10,Paramètres!$A$1:$I$89,5,0)</f>
        <v>-1.2710188457276673E-13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365.13032894303285</v>
      </c>
      <c r="AO87" s="59">
        <f t="shared" si="90"/>
        <v>471.89239871617241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1.5117512287808514</v>
      </c>
      <c r="AV87" s="21">
        <f>EXP(-LN(2)/25)*AV86+(1-EXP(-LN(2)/25))/(LN(2)/25)*Calculateur!AQ87*Calculateur!AS87*VLOOKUP('Données projet'!$B$10,Paramètres!$A$1:$I$89,3,0)*0.475*44/12</f>
        <v>4.6544426056212558</v>
      </c>
      <c r="AW87" s="21">
        <f>EXP(-LN(2)/2)*AW86+(1-EXP(-LN(2)/2))/(LN(2)/2)*AQ87*AT87*VLOOKUP('Données projet'!$B$10,Paramètres!$A$1:$I$89,3,0)*0.475*44/12</f>
        <v>7.7937475823412462E-8</v>
      </c>
      <c r="AX87" s="21">
        <f t="shared" si="60"/>
        <v>6.1661939123395832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17.5</v>
      </c>
      <c r="N88" s="13">
        <f>IF('Données projet'!$A$36&gt;35,N87+M88-V87,IF(A88&lt;'Données projet'!$A$36,$K$205^A88,IF(A88='Données projet'!$A$36,'Données projet'!$B$36,N87+M88-V87)))</f>
        <v>500.99999999999989</v>
      </c>
      <c r="O88" s="13">
        <f>N88*VLOOKUP('Données projet'!$B$9,Paramètres!$A$1:$I$89,3,0)*VLOOKUP('Données projet'!$B$9,Paramètres!$A$1:$I$89,5,0)</f>
        <v>234.46799999999996</v>
      </c>
      <c r="P88" s="13">
        <f t="shared" si="87"/>
        <v>57.247683153605394</v>
      </c>
      <c r="Q88" s="20">
        <f t="shared" si="54"/>
        <v>508.0714814925293</v>
      </c>
      <c r="R88" s="59">
        <f t="shared" si="55"/>
        <v>801.40481482586256</v>
      </c>
      <c r="S88" s="59">
        <f ca="1">AVERAGE(OFFSET($R$3,0,0,'Données projet'!$E$9+1,1))-AVERAGE(OFFSET($H$3,0,0,'Données projet'!$E$9+1,1))</f>
        <v>226.0452828290525</v>
      </c>
      <c r="T88" s="59">
        <f t="shared" si="88"/>
        <v>179.89696397462069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3.0539037738394428</v>
      </c>
      <c r="AA88" s="21">
        <f>EXP(-LN(2)/25)*AA87+(1-EXP(-LN(2)/25))/(LN(2)/25)*Calculateur!V88*Calculateur!X88*VLOOKUP('Données projet'!$B$9,Paramètres!$A$1:$I$89,3,0)*0.475*44/12</f>
        <v>2.426947024033721</v>
      </c>
      <c r="AB88" s="21">
        <f>EXP(-LN(2)/2)*AB87+(1-EXP(-LN(2)/2))/(LN(2)/2)*V88*Y88*VLOOKUP('Données projet'!$B$9,Paramètres!$A$1:$I$89,3,0)*0.475*44/12</f>
        <v>5.8179133753507044E-8</v>
      </c>
      <c r="AC88" s="22">
        <f t="shared" si="57"/>
        <v>5.4808508560522968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-2.2737367544323206E-13</v>
      </c>
      <c r="AJ88" s="13">
        <f>AI88*VLOOKUP('Données projet'!$B$10,Paramètres!$A$1:$I$89,3,0)*VLOOKUP('Données projet'!$B$10,Paramètres!$A$1:$I$89,5,0)</f>
        <v>-1.2710188457276673E-13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365.13032894303285</v>
      </c>
      <c r="AO88" s="59">
        <f t="shared" si="90"/>
        <v>471.89239871617241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1.4821067092616609</v>
      </c>
      <c r="AV88" s="21">
        <f>EXP(-LN(2)/25)*AV87+(1-EXP(-LN(2)/25))/(LN(2)/25)*Calculateur!AQ88*Calculateur!AS88*VLOOKUP('Données projet'!$B$10,Paramètres!$A$1:$I$89,3,0)*0.475*44/12</f>
        <v>4.5271666278040437</v>
      </c>
      <c r="AW88" s="21">
        <f>EXP(-LN(2)/2)*AW87+(1-EXP(-LN(2)/2))/(LN(2)/2)*AQ88*AT88*VLOOKUP('Données projet'!$B$10,Paramètres!$A$1:$I$89,3,0)*0.475*44/12</f>
        <v>5.5110117663297554E-8</v>
      </c>
      <c r="AX88" s="21">
        <f t="shared" si="60"/>
        <v>6.0092733921758219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17.5</v>
      </c>
      <c r="N89" s="13">
        <f>IF('Données projet'!$A$36&gt;35,N88+M89-V88,IF(A89&lt;'Données projet'!$A$36,$K$205^A89,IF(A89='Données projet'!$A$36,'Données projet'!$B$36,N88+M89-V88)))</f>
        <v>518.49999999999989</v>
      </c>
      <c r="O89" s="13">
        <f>N89*VLOOKUP('Données projet'!$B$9,Paramètres!$A$1:$I$89,3,0)*VLOOKUP('Données projet'!$B$9,Paramètres!$A$1:$I$89,5,0)</f>
        <v>242.65799999999993</v>
      </c>
      <c r="P89" s="13">
        <f t="shared" si="87"/>
        <v>59.011045025839607</v>
      </c>
      <c r="Q89" s="20">
        <f t="shared" si="54"/>
        <v>525.40692008667054</v>
      </c>
      <c r="R89" s="59">
        <f t="shared" si="55"/>
        <v>818.74025342000391</v>
      </c>
      <c r="S89" s="59">
        <f ca="1">AVERAGE(OFFSET($R$3,0,0,'Données projet'!$E$9+1,1))-AVERAGE(OFFSET($H$3,0,0,'Données projet'!$E$9+1,1))</f>
        <v>226.0452828290525</v>
      </c>
      <c r="T89" s="59">
        <f t="shared" si="88"/>
        <v>179.89696397462069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2.9940185835318274</v>
      </c>
      <c r="AA89" s="21">
        <f>EXP(-LN(2)/25)*AA88+(1-EXP(-LN(2)/25))/(LN(2)/25)*Calculateur!V89*Calculateur!X89*VLOOKUP('Données projet'!$B$9,Paramètres!$A$1:$I$89,3,0)*0.475*44/12</f>
        <v>2.3605820300339215</v>
      </c>
      <c r="AB89" s="21">
        <f>EXP(-LN(2)/2)*AB88+(1-EXP(-LN(2)/2))/(LN(2)/2)*V89*Y89*VLOOKUP('Données projet'!$B$9,Paramètres!$A$1:$I$89,3,0)*0.475*44/12</f>
        <v>4.1138860000663991E-8</v>
      </c>
      <c r="AC89" s="22">
        <f t="shared" si="57"/>
        <v>5.3546006547046092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-2.2737367544323206E-13</v>
      </c>
      <c r="AJ89" s="13">
        <f>AI89*VLOOKUP('Données projet'!$B$10,Paramètres!$A$1:$I$89,3,0)*VLOOKUP('Données projet'!$B$10,Paramètres!$A$1:$I$89,5,0)</f>
        <v>-1.2710188457276673E-13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365.13032894303285</v>
      </c>
      <c r="AO89" s="59">
        <f t="shared" si="90"/>
        <v>471.89239871617241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1.4530435006888702</v>
      </c>
      <c r="AV89" s="21">
        <f>EXP(-LN(2)/25)*AV88+(1-EXP(-LN(2)/25))/(LN(2)/25)*Calculateur!AQ89*Calculateur!AS89*VLOOKUP('Données projet'!$B$10,Paramètres!$A$1:$I$89,3,0)*0.475*44/12</f>
        <v>4.4033710182933961</v>
      </c>
      <c r="AW89" s="21">
        <f>EXP(-LN(2)/2)*AW88+(1-EXP(-LN(2)/2))/(LN(2)/2)*AQ89*AT89*VLOOKUP('Données projet'!$B$10,Paramètres!$A$1:$I$89,3,0)*0.475*44/12</f>
        <v>3.8968737911706231E-8</v>
      </c>
      <c r="AX89" s="21">
        <f t="shared" si="60"/>
        <v>5.8564145579510036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17.5</v>
      </c>
      <c r="N90" s="13">
        <f>IF('Données projet'!$A$36&gt;35,N89+M90-V89,IF(A90&lt;'Données projet'!$A$36,$K$205^A90,IF(A90='Données projet'!$A$36,'Données projet'!$B$36,N89+M90-V89)))</f>
        <v>535.99999999999989</v>
      </c>
      <c r="O90" s="13">
        <f>N90*VLOOKUP('Données projet'!$B$9,Paramètres!$A$1:$I$89,3,0)*VLOOKUP('Données projet'!$B$9,Paramètres!$A$1:$I$89,5,0)</f>
        <v>250.84799999999996</v>
      </c>
      <c r="P90" s="13">
        <f t="shared" si="87"/>
        <v>60.767491486783541</v>
      </c>
      <c r="Q90" s="20">
        <f t="shared" si="54"/>
        <v>542.7303143394812</v>
      </c>
      <c r="R90" s="59">
        <f t="shared" si="55"/>
        <v>836.06364767281457</v>
      </c>
      <c r="S90" s="59">
        <f ca="1">AVERAGE(OFFSET($R$3,0,0,'Données projet'!$E$9+1,1))-AVERAGE(OFFSET($H$3,0,0,'Données projet'!$E$9+1,1))</f>
        <v>226.0452828290525</v>
      </c>
      <c r="T90" s="59">
        <f t="shared" si="88"/>
        <v>179.89696397462069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2.9353077052797847</v>
      </c>
      <c r="AA90" s="21">
        <f>EXP(-LN(2)/25)*AA89+(1-EXP(-LN(2)/25))/(LN(2)/25)*Calculateur!V90*Calculateur!X90*VLOOKUP('Données projet'!$B$9,Paramètres!$A$1:$I$89,3,0)*0.475*44/12</f>
        <v>2.29603179028503</v>
      </c>
      <c r="AB90" s="21">
        <f>EXP(-LN(2)/2)*AB89+(1-EXP(-LN(2)/2))/(LN(2)/2)*V90*Y90*VLOOKUP('Données projet'!$B$9,Paramètres!$A$1:$I$89,3,0)*0.475*44/12</f>
        <v>2.9089566876753529E-8</v>
      </c>
      <c r="AC90" s="22">
        <f t="shared" si="57"/>
        <v>5.2313395246543815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-2.2737367544323206E-13</v>
      </c>
      <c r="AJ90" s="13">
        <f>AI90*VLOOKUP('Données projet'!$B$10,Paramètres!$A$1:$I$89,3,0)*VLOOKUP('Données projet'!$B$10,Paramètres!$A$1:$I$89,5,0)</f>
        <v>-1.2710188457276673E-13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365.13032894303285</v>
      </c>
      <c r="AO90" s="59">
        <f t="shared" si="90"/>
        <v>471.89239871617241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1.4245502039093851</v>
      </c>
      <c r="AV90" s="21">
        <f>EXP(-LN(2)/25)*AV89+(1-EXP(-LN(2)/25))/(LN(2)/25)*Calculateur!AQ90*Calculateur!AS90*VLOOKUP('Données projet'!$B$10,Paramètres!$A$1:$I$89,3,0)*0.475*44/12</f>
        <v>4.282960606234945</v>
      </c>
      <c r="AW90" s="21">
        <f>EXP(-LN(2)/2)*AW89+(1-EXP(-LN(2)/2))/(LN(2)/2)*AQ90*AT90*VLOOKUP('Données projet'!$B$10,Paramètres!$A$1:$I$89,3,0)*0.475*44/12</f>
        <v>2.7555058831648777E-8</v>
      </c>
      <c r="AX90" s="21">
        <f t="shared" si="60"/>
        <v>5.7075108376993891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17.5</v>
      </c>
      <c r="N91" s="13">
        <f>IF('Données projet'!$A$36&gt;35,N90+M91-V90,IF(A91&lt;'Données projet'!$A$36,$K$205^A91,IF(A91='Données projet'!$A$36,'Données projet'!$B$36,N90+M91-V90)))</f>
        <v>553.49999999999989</v>
      </c>
      <c r="O91" s="13">
        <f>N91*VLOOKUP('Données projet'!$B$9,Paramètres!$A$1:$I$89,3,0)*VLOOKUP('Données projet'!$B$9,Paramètres!$A$1:$I$89,5,0)</f>
        <v>259.03799999999995</v>
      </c>
      <c r="P91" s="13">
        <f t="shared" si="87"/>
        <v>62.517274213025487</v>
      </c>
      <c r="Q91" s="20">
        <f t="shared" si="54"/>
        <v>560.04210258768592</v>
      </c>
      <c r="R91" s="59">
        <f t="shared" si="55"/>
        <v>853.37543592101929</v>
      </c>
      <c r="S91" s="59">
        <f ca="1">AVERAGE(OFFSET($R$3,0,0,'Données projet'!$E$9+1,1))-AVERAGE(OFFSET($H$3,0,0,'Données projet'!$E$9+1,1))</f>
        <v>226.0452828290525</v>
      </c>
      <c r="T91" s="59">
        <f t="shared" si="88"/>
        <v>179.89696397462069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2.8777481115401651</v>
      </c>
      <c r="AA91" s="21">
        <f>EXP(-LN(2)/25)*AA90+(1-EXP(-LN(2)/25))/(LN(2)/25)*Calculateur!V91*Calculateur!X91*VLOOKUP('Données projet'!$B$9,Paramètres!$A$1:$I$89,3,0)*0.475*44/12</f>
        <v>2.2332466802366215</v>
      </c>
      <c r="AB91" s="21">
        <f>EXP(-LN(2)/2)*AB90+(1-EXP(-LN(2)/2))/(LN(2)/2)*V91*Y91*VLOOKUP('Données projet'!$B$9,Paramètres!$A$1:$I$89,3,0)*0.475*44/12</f>
        <v>2.0569430000331999E-8</v>
      </c>
      <c r="AC91" s="22">
        <f t="shared" si="57"/>
        <v>5.1109948123462159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-2.2737367544323206E-13</v>
      </c>
      <c r="AJ91" s="13">
        <f>AI91*VLOOKUP('Données projet'!$B$10,Paramètres!$A$1:$I$89,3,0)*VLOOKUP('Données projet'!$B$10,Paramètres!$A$1:$I$89,5,0)</f>
        <v>-1.2710188457276673E-13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365.13032894303285</v>
      </c>
      <c r="AO91" s="59">
        <f t="shared" si="90"/>
        <v>471.89239871617241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1.3966156433005508</v>
      </c>
      <c r="AV91" s="21">
        <f>EXP(-LN(2)/25)*AV90+(1-EXP(-LN(2)/25))/(LN(2)/25)*Calculateur!AQ91*Calculateur!AS91*VLOOKUP('Données projet'!$B$10,Paramètres!$A$1:$I$89,3,0)*0.475*44/12</f>
        <v>4.1658428232263409</v>
      </c>
      <c r="AW91" s="21">
        <f>EXP(-LN(2)/2)*AW90+(1-EXP(-LN(2)/2))/(LN(2)/2)*AQ91*AT91*VLOOKUP('Données projet'!$B$10,Paramètres!$A$1:$I$89,3,0)*0.475*44/12</f>
        <v>1.9484368955853115E-8</v>
      </c>
      <c r="AX91" s="21">
        <f t="shared" si="60"/>
        <v>5.56245848601126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17.5</v>
      </c>
      <c r="N92" s="13">
        <f>IF('Données projet'!$A$36&gt;35,N91+M92-V91,IF(A92&lt;'Données projet'!$A$36,$K$205^A92,IF(A92='Données projet'!$A$36,'Données projet'!$B$36,N91+M92-V91)))</f>
        <v>570.99999999999989</v>
      </c>
      <c r="O92" s="13">
        <f>N92*VLOOKUP('Données projet'!$B$9,Paramètres!$A$1:$I$89,3,0)*VLOOKUP('Données projet'!$B$9,Paramètres!$A$1:$I$89,5,0)</f>
        <v>267.22799999999995</v>
      </c>
      <c r="P92" s="13">
        <f t="shared" si="87"/>
        <v>64.260628062866161</v>
      </c>
      <c r="Q92" s="20">
        <f t="shared" si="54"/>
        <v>577.34269387615848</v>
      </c>
      <c r="R92" s="59">
        <f t="shared" si="55"/>
        <v>870.67602720949185</v>
      </c>
      <c r="S92" s="59">
        <f ca="1">AVERAGE(OFFSET($R$3,0,0,'Données projet'!$E$9+1,1))-AVERAGE(OFFSET($H$3,0,0,'Données projet'!$E$9+1,1))</f>
        <v>226.0452828290525</v>
      </c>
      <c r="T92" s="59">
        <f t="shared" si="88"/>
        <v>179.89696397462069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2.8213172263258937</v>
      </c>
      <c r="AA92" s="21">
        <f>EXP(-LN(2)/25)*AA91+(1-EXP(-LN(2)/25))/(LN(2)/25)*Calculateur!V92*Calculateur!X92*VLOOKUP('Données projet'!$B$9,Paramètres!$A$1:$I$89,3,0)*0.475*44/12</f>
        <v>2.1721784323242121</v>
      </c>
      <c r="AB92" s="21">
        <f>EXP(-LN(2)/2)*AB91+(1-EXP(-LN(2)/2))/(LN(2)/2)*V92*Y92*VLOOKUP('Données projet'!$B$9,Paramètres!$A$1:$I$89,3,0)*0.475*44/12</f>
        <v>1.4544783438376766E-8</v>
      </c>
      <c r="AC92" s="22">
        <f t="shared" si="57"/>
        <v>4.9934956731948894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-2.2737367544323206E-13</v>
      </c>
      <c r="AJ92" s="13">
        <f>AI92*VLOOKUP('Données projet'!$B$10,Paramètres!$A$1:$I$89,3,0)*VLOOKUP('Données projet'!$B$10,Paramètres!$A$1:$I$89,5,0)</f>
        <v>-1.2710188457276673E-13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365.13032894303285</v>
      </c>
      <c r="AO92" s="59">
        <f t="shared" si="90"/>
        <v>471.89239871617241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1.369228862386856</v>
      </c>
      <c r="AV92" s="21">
        <f>EXP(-LN(2)/25)*AV91+(1-EXP(-LN(2)/25))/(LN(2)/25)*Calculateur!AQ92*Calculateur!AS92*VLOOKUP('Données projet'!$B$10,Paramètres!$A$1:$I$89,3,0)*0.475*44/12</f>
        <v>4.0519276321530633</v>
      </c>
      <c r="AW92" s="21">
        <f>EXP(-LN(2)/2)*AW91+(1-EXP(-LN(2)/2))/(LN(2)/2)*AQ92*AT92*VLOOKUP('Données projet'!$B$10,Paramètres!$A$1:$I$89,3,0)*0.475*44/12</f>
        <v>1.3777529415824389E-8</v>
      </c>
      <c r="AX92" s="21">
        <f t="shared" si="60"/>
        <v>5.4211565083174484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588.5</v>
      </c>
      <c r="L93" s="12">
        <f>VLOOKUP(A93,'Données projet'!$A$35:$I$55,9,0)</f>
        <v>17.5</v>
      </c>
      <c r="M93" s="12">
        <f t="array" ref="M93">INDEX(L:L,MIN(IF(ISNUMBER(L93:L289),ROW(L93:L289),"")))</f>
        <v>17.5</v>
      </c>
      <c r="N93" s="13">
        <f>IF('Données projet'!$A$36&gt;35,N92+M93-V92,IF(A93&lt;'Données projet'!$A$36,$K$205^A93,IF(A93='Données projet'!$A$36,'Données projet'!$B$36,N92+M93-V92)))</f>
        <v>588.49999999999989</v>
      </c>
      <c r="O93" s="13">
        <f>N93*VLOOKUP('Données projet'!$B$9,Paramètres!$A$1:$I$89,3,0)*VLOOKUP('Données projet'!$B$9,Paramètres!$A$1:$I$89,5,0)</f>
        <v>275.41799999999995</v>
      </c>
      <c r="P93" s="13">
        <f t="shared" si="87"/>
        <v>65.997772680817278</v>
      </c>
      <c r="Q93" s="20">
        <f t="shared" si="54"/>
        <v>594.63247075242327</v>
      </c>
      <c r="R93" s="59">
        <f t="shared" si="55"/>
        <v>887.96580408575664</v>
      </c>
      <c r="S93" s="59">
        <f ca="1">AVERAGE(OFFSET($R$3,0,0,'Données projet'!$E$9+1,1))-AVERAGE(OFFSET($H$3,0,0,'Données projet'!$E$9+1,1))</f>
        <v>226.0452828290525</v>
      </c>
      <c r="T93" s="59">
        <f t="shared" si="88"/>
        <v>179.89696397462069</v>
      </c>
      <c r="U93" s="15">
        <f>IF(ISNA(VLOOKUP(A93,'Données projet'!$A$35:$I$55,3,0)),0,VLOOKUP(A93,'Données projet'!$A$35:$I$55,3,0))</f>
        <v>8</v>
      </c>
      <c r="V93" s="15">
        <f>IF(ISNA(VLOOKUP(A93,'Données projet'!$A$35:$I$55,4,0)),0,VLOOKUP(A93,'Données projet'!$A$35:$I$55,4,0))</f>
        <v>98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2.7659929163512329</v>
      </c>
      <c r="AA93" s="21">
        <f>EXP(-LN(2)/25)*AA92+(1-EXP(-LN(2)/25))/(LN(2)/25)*Calculateur!V93*Calculateur!X93*VLOOKUP('Données projet'!$B$9,Paramètres!$A$1:$I$89,3,0)*0.475*44/12</f>
        <v>2.1127800988624075</v>
      </c>
      <c r="AB93" s="21">
        <f>EXP(-LN(2)/2)*AB92+(1-EXP(-LN(2)/2))/(LN(2)/2)*V93*Y93*VLOOKUP('Données projet'!$B$9,Paramètres!$A$1:$I$89,3,0)*0.475*44/12</f>
        <v>1.0284715000166001E-8</v>
      </c>
      <c r="AC93" s="22">
        <f t="shared" si="57"/>
        <v>4.8787730254983561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-2.2737367544323206E-13</v>
      </c>
      <c r="AJ93" s="13">
        <f>AI93*VLOOKUP('Données projet'!$B$10,Paramètres!$A$1:$I$89,3,0)*VLOOKUP('Données projet'!$B$10,Paramètres!$A$1:$I$89,5,0)</f>
        <v>-1.2710188457276673E-13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365.13032894303285</v>
      </c>
      <c r="AO93" s="59">
        <f t="shared" si="90"/>
        <v>471.89239871617241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1.3423791195425918</v>
      </c>
      <c r="AV93" s="21">
        <f>EXP(-LN(2)/25)*AV92+(1-EXP(-LN(2)/25))/(LN(2)/25)*Calculateur!AQ93*Calculateur!AS93*VLOOKUP('Données projet'!$B$10,Paramètres!$A$1:$I$89,3,0)*0.475*44/12</f>
        <v>3.9411274579702242</v>
      </c>
      <c r="AW93" s="21">
        <f>EXP(-LN(2)/2)*AW92+(1-EXP(-LN(2)/2))/(LN(2)/2)*AQ93*AT93*VLOOKUP('Données projet'!$B$10,Paramètres!$A$1:$I$89,3,0)*0.475*44/12</f>
        <v>9.7421844779265577E-9</v>
      </c>
      <c r="AX93" s="21">
        <f t="shared" si="60"/>
        <v>5.2835065872550011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18.5</v>
      </c>
      <c r="N94" s="13">
        <f>IF('Données projet'!$A$36&gt;35,N93+M94-V93,IF(A94&lt;'Données projet'!$A$36,$K$205^A94,IF(A94='Données projet'!$A$36,'Données projet'!$B$36,N93+M94-V93)))</f>
        <v>508.99999999999989</v>
      </c>
      <c r="O94" s="13">
        <f>N94*VLOOKUP('Données projet'!$B$9,Paramètres!$A$1:$I$89,3,0)*VLOOKUP('Données projet'!$B$9,Paramètres!$A$1:$I$89,5,0)</f>
        <v>238.21199999999993</v>
      </c>
      <c r="P94" s="13">
        <f t="shared" si="87"/>
        <v>58.054666307163771</v>
      </c>
      <c r="Q94" s="20">
        <f t="shared" si="54"/>
        <v>515.99777715164339</v>
      </c>
      <c r="R94" s="59">
        <f t="shared" si="55"/>
        <v>809.33111048497676</v>
      </c>
      <c r="S94" s="59">
        <f ca="1">AVERAGE(OFFSET($R$3,0,0,'Données projet'!$E$9+1,1))-AVERAGE(OFFSET($H$3,0,0,'Données projet'!$E$9+1,1))</f>
        <v>226.0452828290525</v>
      </c>
      <c r="T94" s="59">
        <f t="shared" si="88"/>
        <v>179.89696397462069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2.7117534823506779</v>
      </c>
      <c r="AA94" s="21">
        <f>EXP(-LN(2)/25)*AA93+(1-EXP(-LN(2)/25))/(LN(2)/25)*Calculateur!V94*Calculateur!X94*VLOOKUP('Données projet'!$B$9,Paramètres!$A$1:$I$89,3,0)*0.475*44/12</f>
        <v>2.0550060159527384</v>
      </c>
      <c r="AB94" s="21">
        <f>EXP(-LN(2)/2)*AB93+(1-EXP(-LN(2)/2))/(LN(2)/2)*V94*Y94*VLOOKUP('Données projet'!$B$9,Paramètres!$A$1:$I$89,3,0)*0.475*44/12</f>
        <v>7.2723917191883838E-9</v>
      </c>
      <c r="AC94" s="22">
        <f t="shared" si="57"/>
        <v>4.7667595055758083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-2.2737367544323206E-13</v>
      </c>
      <c r="AJ94" s="13">
        <f>AI94*VLOOKUP('Données projet'!$B$10,Paramètres!$A$1:$I$89,3,0)*VLOOKUP('Données projet'!$B$10,Paramètres!$A$1:$I$89,5,0)</f>
        <v>-1.2710188457276673E-13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365.13032894303285</v>
      </c>
      <c r="AO94" s="59">
        <f t="shared" si="90"/>
        <v>471.89239871617241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1.3160558837787777</v>
      </c>
      <c r="AV94" s="21">
        <f>EXP(-LN(2)/25)*AV93+(1-EXP(-LN(2)/25))/(LN(2)/25)*Calculateur!AQ94*Calculateur!AS94*VLOOKUP('Données projet'!$B$10,Paramètres!$A$1:$I$89,3,0)*0.475*44/12</f>
        <v>3.8333571203771428</v>
      </c>
      <c r="AW94" s="21">
        <f>EXP(-LN(2)/2)*AW93+(1-EXP(-LN(2)/2))/(LN(2)/2)*AQ94*AT94*VLOOKUP('Données projet'!$B$10,Paramètres!$A$1:$I$89,3,0)*0.475*44/12</f>
        <v>6.8887647079121943E-9</v>
      </c>
      <c r="AX94" s="21">
        <f t="shared" si="60"/>
        <v>5.1494130110446861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18.5</v>
      </c>
      <c r="N95" s="13">
        <f>IF('Données projet'!$A$36&gt;35,N94+M95-V94,IF(A95&lt;'Données projet'!$A$36,$K$205^A95,IF(A95='Données projet'!$A$36,'Données projet'!$B$36,N94+M95-V94)))</f>
        <v>527.49999999999989</v>
      </c>
      <c r="O95" s="13">
        <f>N95*VLOOKUP('Données projet'!$B$9,Paramètres!$A$1:$I$89,3,0)*VLOOKUP('Données projet'!$B$9,Paramètres!$A$1:$I$89,5,0)</f>
        <v>246.86999999999995</v>
      </c>
      <c r="P95" s="13">
        <f t="shared" si="87"/>
        <v>59.91520778876734</v>
      </c>
      <c r="Q95" s="20">
        <f t="shared" si="54"/>
        <v>534.31757023210309</v>
      </c>
      <c r="R95" s="59">
        <f t="shared" si="55"/>
        <v>827.65090356543647</v>
      </c>
      <c r="S95" s="59">
        <f ca="1">AVERAGE(OFFSET($R$3,0,0,'Données projet'!$E$9+1,1))-AVERAGE(OFFSET($H$3,0,0,'Données projet'!$E$9+1,1))</f>
        <v>226.0452828290525</v>
      </c>
      <c r="T95" s="59">
        <f t="shared" si="88"/>
        <v>179.89696397462069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2.6585776505680858</v>
      </c>
      <c r="AA95" s="21">
        <f>EXP(-LN(2)/25)*AA94+(1-EXP(-LN(2)/25))/(LN(2)/25)*Calculateur!V95*Calculateur!X95*VLOOKUP('Données projet'!$B$9,Paramètres!$A$1:$I$89,3,0)*0.475*44/12</f>
        <v>1.9988117683784412</v>
      </c>
      <c r="AB95" s="21">
        <f>EXP(-LN(2)/2)*AB94+(1-EXP(-LN(2)/2))/(LN(2)/2)*V95*Y95*VLOOKUP('Données projet'!$B$9,Paramètres!$A$1:$I$89,3,0)*0.475*44/12</f>
        <v>5.1423575000830014E-9</v>
      </c>
      <c r="AC95" s="22">
        <f t="shared" si="57"/>
        <v>4.6573894240888851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-2.2737367544323206E-13</v>
      </c>
      <c r="AJ95" s="13">
        <f>AI95*VLOOKUP('Données projet'!$B$10,Paramètres!$A$1:$I$89,3,0)*VLOOKUP('Données projet'!$B$10,Paramètres!$A$1:$I$89,5,0)</f>
        <v>-1.2710188457276673E-13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365.13032894303285</v>
      </c>
      <c r="AO95" s="59">
        <f t="shared" si="90"/>
        <v>471.89239871617241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1.2902488306127036</v>
      </c>
      <c r="AV95" s="21">
        <f>EXP(-LN(2)/25)*AV94+(1-EXP(-LN(2)/25))/(LN(2)/25)*Calculateur!AQ95*Calculateur!AS95*VLOOKUP('Données projet'!$B$10,Paramètres!$A$1:$I$89,3,0)*0.475*44/12</f>
        <v>3.72853376833294</v>
      </c>
      <c r="AW95" s="21">
        <f>EXP(-LN(2)/2)*AW94+(1-EXP(-LN(2)/2))/(LN(2)/2)*AQ95*AT95*VLOOKUP('Données projet'!$B$10,Paramètres!$A$1:$I$89,3,0)*0.475*44/12</f>
        <v>4.8710922389632789E-9</v>
      </c>
      <c r="AX95" s="21">
        <f t="shared" si="60"/>
        <v>5.0187826038167351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18.5</v>
      </c>
      <c r="N96" s="13">
        <f>IF('Données projet'!$A$36&gt;35,N95+M96-V95,IF(A96&lt;'Données projet'!$A$36,$K$205^A96,IF(A96='Données projet'!$A$36,'Données projet'!$B$36,N95+M96-V95)))</f>
        <v>545.99999999999989</v>
      </c>
      <c r="O96" s="13">
        <f>N96*VLOOKUP('Données projet'!$B$9,Paramètres!$A$1:$I$89,3,0)*VLOOKUP('Données projet'!$B$9,Paramètres!$A$1:$I$89,5,0)</f>
        <v>255.52799999999993</v>
      </c>
      <c r="P96" s="13">
        <f t="shared" si="87"/>
        <v>61.768167868721477</v>
      </c>
      <c r="Q96" s="20">
        <f t="shared" si="54"/>
        <v>552.62415903802309</v>
      </c>
      <c r="R96" s="59">
        <f t="shared" si="55"/>
        <v>845.95749237135647</v>
      </c>
      <c r="S96" s="59">
        <f ca="1">AVERAGE(OFFSET($R$3,0,0,'Données projet'!$E$9+1,1))-AVERAGE(OFFSET($H$3,0,0,'Données projet'!$E$9+1,1))</f>
        <v>226.0452828290525</v>
      </c>
      <c r="T96" s="59">
        <f t="shared" si="88"/>
        <v>179.89696397462069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2.6064445644126955</v>
      </c>
      <c r="AA96" s="21">
        <f>EXP(-LN(2)/25)*AA95+(1-EXP(-LN(2)/25))/(LN(2)/25)*Calculateur!V96*Calculateur!X96*VLOOKUP('Données projet'!$B$9,Paramètres!$A$1:$I$89,3,0)*0.475*44/12</f>
        <v>1.9441541554591901</v>
      </c>
      <c r="AB96" s="21">
        <f>EXP(-LN(2)/2)*AB95+(1-EXP(-LN(2)/2))/(LN(2)/2)*V96*Y96*VLOOKUP('Données projet'!$B$9,Paramètres!$A$1:$I$89,3,0)*0.475*44/12</f>
        <v>3.6361958595941927E-9</v>
      </c>
      <c r="AC96" s="22">
        <f t="shared" si="57"/>
        <v>4.5505987235080818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-2.2737367544323206E-13</v>
      </c>
      <c r="AJ96" s="13">
        <f>AI96*VLOOKUP('Données projet'!$B$10,Paramètres!$A$1:$I$89,3,0)*VLOOKUP('Données projet'!$B$10,Paramètres!$A$1:$I$89,5,0)</f>
        <v>-1.2710188457276673E-13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365.13032894303285</v>
      </c>
      <c r="AO96" s="59">
        <f t="shared" si="90"/>
        <v>471.89239871617241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1.264947838018468</v>
      </c>
      <c r="AV96" s="21">
        <f>EXP(-LN(2)/25)*AV95+(1-EXP(-LN(2)/25))/(LN(2)/25)*Calculateur!AQ96*Calculateur!AS96*VLOOKUP('Données projet'!$B$10,Paramètres!$A$1:$I$89,3,0)*0.475*44/12</f>
        <v>3.6265768163628067</v>
      </c>
      <c r="AW96" s="21">
        <f>EXP(-LN(2)/2)*AW95+(1-EXP(-LN(2)/2))/(LN(2)/2)*AQ96*AT96*VLOOKUP('Données projet'!$B$10,Paramètres!$A$1:$I$89,3,0)*0.475*44/12</f>
        <v>3.4443823539560971E-9</v>
      </c>
      <c r="AX96" s="21">
        <f t="shared" si="60"/>
        <v>4.8915246578256575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18.5</v>
      </c>
      <c r="N97" s="13">
        <f>IF('Données projet'!$A$36&gt;35,N96+M97-V96,IF(A97&lt;'Données projet'!$A$36,$K$205^A97,IF(A97='Données projet'!$A$36,'Données projet'!$B$36,N96+M97-V96)))</f>
        <v>564.49999999999989</v>
      </c>
      <c r="O97" s="13">
        <f>N97*VLOOKUP('Données projet'!$B$9,Paramètres!$A$1:$I$89,3,0)*VLOOKUP('Données projet'!$B$9,Paramètres!$A$1:$I$89,5,0)</f>
        <v>264.18599999999992</v>
      </c>
      <c r="P97" s="13">
        <f t="shared" si="87"/>
        <v>63.613832873262751</v>
      </c>
      <c r="Q97" s="20">
        <f t="shared" si="54"/>
        <v>570.91804225426574</v>
      </c>
      <c r="R97" s="59">
        <f t="shared" si="55"/>
        <v>864.25137558759911</v>
      </c>
      <c r="S97" s="59">
        <f ca="1">AVERAGE(OFFSET($R$3,0,0,'Données projet'!$E$9+1,1))-AVERAGE(OFFSET($H$3,0,0,'Données projet'!$E$9+1,1))</f>
        <v>226.0452828290525</v>
      </c>
      <c r="T97" s="59">
        <f t="shared" si="88"/>
        <v>179.89696397462069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2.5553337762787698</v>
      </c>
      <c r="AA97" s="21">
        <f>EXP(-LN(2)/25)*AA96+(1-EXP(-LN(2)/25))/(LN(2)/25)*Calculateur!V97*Calculateur!X97*VLOOKUP('Données projet'!$B$9,Paramètres!$A$1:$I$89,3,0)*0.475*44/12</f>
        <v>1.8909911578395349</v>
      </c>
      <c r="AB97" s="21">
        <f>EXP(-LN(2)/2)*AB96+(1-EXP(-LN(2)/2))/(LN(2)/2)*V97*Y97*VLOOKUP('Données projet'!$B$9,Paramètres!$A$1:$I$89,3,0)*0.475*44/12</f>
        <v>2.5711787500415011E-9</v>
      </c>
      <c r="AC97" s="22">
        <f t="shared" si="57"/>
        <v>4.4463249366894839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-2.2737367544323206E-13</v>
      </c>
      <c r="AJ97" s="13">
        <f>AI97*VLOOKUP('Données projet'!$B$10,Paramètres!$A$1:$I$89,3,0)*VLOOKUP('Données projet'!$B$10,Paramètres!$A$1:$I$89,5,0)</f>
        <v>-1.2710188457276673E-13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365.13032894303285</v>
      </c>
      <c r="AO97" s="59">
        <f t="shared" si="90"/>
        <v>471.89239871617241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1.2401429824569237</v>
      </c>
      <c r="AV97" s="21">
        <f>EXP(-LN(2)/25)*AV96+(1-EXP(-LN(2)/25))/(LN(2)/25)*Calculateur!AQ97*Calculateur!AS97*VLOOKUP('Données projet'!$B$10,Paramètres!$A$1:$I$89,3,0)*0.475*44/12</f>
        <v>3.5274078826059796</v>
      </c>
      <c r="AW97" s="21">
        <f>EXP(-LN(2)/2)*AW96+(1-EXP(-LN(2)/2))/(LN(2)/2)*AQ97*AT97*VLOOKUP('Données projet'!$B$10,Paramètres!$A$1:$I$89,3,0)*0.475*44/12</f>
        <v>2.4355461194816394E-9</v>
      </c>
      <c r="AX97" s="21">
        <f t="shared" si="60"/>
        <v>4.767550867498449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18.5</v>
      </c>
      <c r="N98" s="13">
        <f>IF('Données projet'!$A$36&gt;35,N97+M98-V97,IF(A98&lt;'Données projet'!$A$36,$K$205^A98,IF(A98='Données projet'!$A$36,'Données projet'!$B$36,N97+M98-V97)))</f>
        <v>582.99999999999989</v>
      </c>
      <c r="O98" s="13">
        <f>N98*VLOOKUP('Données projet'!$B$9,Paramètres!$A$1:$I$89,3,0)*VLOOKUP('Données projet'!$B$9,Paramètres!$A$1:$I$89,5,0)</f>
        <v>272.84399999999994</v>
      </c>
      <c r="P98" s="13">
        <f t="shared" si="87"/>
        <v>65.452469296244189</v>
      </c>
      <c r="Q98" s="20">
        <f t="shared" si="54"/>
        <v>589.19968402429186</v>
      </c>
      <c r="R98" s="59">
        <f t="shared" si="55"/>
        <v>882.53301735762511</v>
      </c>
      <c r="S98" s="59">
        <f ca="1">AVERAGE(OFFSET($R$3,0,0,'Données projet'!$E$9+1,1))-AVERAGE(OFFSET($H$3,0,0,'Données projet'!$E$9+1,1))</f>
        <v>226.0452828290525</v>
      </c>
      <c r="T98" s="59">
        <f t="shared" si="88"/>
        <v>179.89696397462069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2.5052252395256476</v>
      </c>
      <c r="AA98" s="21">
        <f>EXP(-LN(2)/25)*AA97+(1-EXP(-LN(2)/25))/(LN(2)/25)*Calculateur!V98*Calculateur!X98*VLOOKUP('Données projet'!$B$9,Paramètres!$A$1:$I$89,3,0)*0.475*44/12</f>
        <v>1.8392819051855096</v>
      </c>
      <c r="AB98" s="21">
        <f>EXP(-LN(2)/2)*AB97+(1-EXP(-LN(2)/2))/(LN(2)/2)*V98*Y98*VLOOKUP('Données projet'!$B$9,Paramètres!$A$1:$I$89,3,0)*0.475*44/12</f>
        <v>1.8180979297970966E-9</v>
      </c>
      <c r="AC98" s="22">
        <f t="shared" si="57"/>
        <v>4.3445071465292546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-2.2737367544323206E-13</v>
      </c>
      <c r="AJ98" s="13">
        <f>AI98*VLOOKUP('Données projet'!$B$10,Paramètres!$A$1:$I$89,3,0)*VLOOKUP('Données projet'!$B$10,Paramètres!$A$1:$I$89,5,0)</f>
        <v>-1.2710188457276673E-13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365.13032894303285</v>
      </c>
      <c r="AO98" s="59">
        <f t="shared" si="90"/>
        <v>471.89239871617241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1.2158245349834731</v>
      </c>
      <c r="AV98" s="21">
        <f>EXP(-LN(2)/25)*AV97+(1-EXP(-LN(2)/25))/(LN(2)/25)*Calculateur!AQ98*Calculateur!AS98*VLOOKUP('Données projet'!$B$10,Paramètres!$A$1:$I$89,3,0)*0.475*44/12</f>
        <v>3.4309507285578005</v>
      </c>
      <c r="AW98" s="21">
        <f>EXP(-LN(2)/2)*AW97+(1-EXP(-LN(2)/2))/(LN(2)/2)*AQ98*AT98*VLOOKUP('Données projet'!$B$10,Paramètres!$A$1:$I$89,3,0)*0.475*44/12</f>
        <v>1.7221911769780486E-9</v>
      </c>
      <c r="AX98" s="21">
        <f t="shared" si="60"/>
        <v>4.6467752652634653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18.5</v>
      </c>
      <c r="N99" s="13">
        <f>IF('Données projet'!$A$36&gt;35,N98+M99-V98,IF(A99&lt;'Données projet'!$A$36,$K$205^A99,IF(A99='Données projet'!$A$36,'Données projet'!$B$36,N98+M99-V98)))</f>
        <v>601.49999999999989</v>
      </c>
      <c r="O99" s="13">
        <f>N99*VLOOKUP('Données projet'!$B$9,Paramètres!$A$1:$I$89,3,0)*VLOOKUP('Données projet'!$B$9,Paramètres!$A$1:$I$89,5,0)</f>
        <v>281.50199999999995</v>
      </c>
      <c r="P99" s="13">
        <f t="shared" si="87"/>
        <v>67.28432575810065</v>
      </c>
      <c r="Q99" s="20">
        <f t="shared" ref="Q99:Q130" si="107">(O99+P99)*0.475*44/12</f>
        <v>607.46951736202516</v>
      </c>
      <c r="R99" s="59">
        <f t="shared" si="55"/>
        <v>900.80285069535853</v>
      </c>
      <c r="S99" s="59">
        <f ca="1">AVERAGE(OFFSET($R$3,0,0,'Données projet'!$E$9+1,1))-AVERAGE(OFFSET($H$3,0,0,'Données projet'!$E$9+1,1))</f>
        <v>226.0452828290525</v>
      </c>
      <c r="T99" s="59">
        <f t="shared" si="88"/>
        <v>179.89696397462069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2.4560993006150649</v>
      </c>
      <c r="AA99" s="21">
        <f>EXP(-LN(2)/25)*AA98+(1-EXP(-LN(2)/25))/(LN(2)/25)*Calculateur!V99*Calculateur!X99*VLOOKUP('Données projet'!$B$9,Paramètres!$A$1:$I$89,3,0)*0.475*44/12</f>
        <v>1.7889866447645801</v>
      </c>
      <c r="AB99" s="21">
        <f>EXP(-LN(2)/2)*AB98+(1-EXP(-LN(2)/2))/(LN(2)/2)*V99*Y99*VLOOKUP('Données projet'!$B$9,Paramètres!$A$1:$I$89,3,0)*0.475*44/12</f>
        <v>1.2855893750207508E-9</v>
      </c>
      <c r="AC99" s="22">
        <f t="shared" si="57"/>
        <v>4.2450859466652346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-2.2737367544323206E-13</v>
      </c>
      <c r="AJ99" s="13">
        <f>AI99*VLOOKUP('Données projet'!$B$10,Paramètres!$A$1:$I$89,3,0)*VLOOKUP('Données projet'!$B$10,Paramètres!$A$1:$I$89,5,0)</f>
        <v>-1.2710188457276673E-13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365.13032894303285</v>
      </c>
      <c r="AO99" s="59">
        <f t="shared" si="90"/>
        <v>471.89239871617241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1.1919829574321885</v>
      </c>
      <c r="AV99" s="21">
        <f>EXP(-LN(2)/25)*AV98+(1-EXP(-LN(2)/25))/(LN(2)/25)*Calculateur!AQ99*Calculateur!AS99*VLOOKUP('Données projet'!$B$10,Paramètres!$A$1:$I$89,3,0)*0.475*44/12</f>
        <v>3.3371312004595302</v>
      </c>
      <c r="AW99" s="21">
        <f>EXP(-LN(2)/2)*AW98+(1-EXP(-LN(2)/2))/(LN(2)/2)*AQ99*AT99*VLOOKUP('Données projet'!$B$10,Paramètres!$A$1:$I$89,3,0)*0.475*44/12</f>
        <v>1.2177730597408197E-9</v>
      </c>
      <c r="AX99" s="21">
        <f t="shared" si="60"/>
        <v>4.5291141591094926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18.5</v>
      </c>
      <c r="N100" s="13">
        <f>IF('Données projet'!$A$36&gt;35,N99+M100-V99,IF(A100&lt;'Données projet'!$A$36,$K$205^A100,IF(A100='Données projet'!$A$36,'Données projet'!$B$36,N99+M100-V99)))</f>
        <v>619.99999999999989</v>
      </c>
      <c r="O100" s="13">
        <f>N100*VLOOKUP('Données projet'!$B$9,Paramètres!$A$1:$I$89,3,0)*VLOOKUP('Données projet'!$B$9,Paramètres!$A$1:$I$89,5,0)</f>
        <v>290.15999999999997</v>
      </c>
      <c r="P100" s="13">
        <f t="shared" si="87"/>
        <v>69.109634717039938</v>
      </c>
      <c r="Q100" s="20">
        <f t="shared" si="107"/>
        <v>625.72794713217797</v>
      </c>
      <c r="R100" s="59">
        <f t="shared" si="55"/>
        <v>919.06128046551135</v>
      </c>
      <c r="S100" s="59">
        <f ca="1">AVERAGE(OFFSET($R$3,0,0,'Données projet'!$E$9+1,1))-AVERAGE(OFFSET($H$3,0,0,'Données projet'!$E$9+1,1))</f>
        <v>226.0452828290525</v>
      </c>
      <c r="T100" s="59">
        <f t="shared" si="88"/>
        <v>179.89696397462069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2.4079366914026545</v>
      </c>
      <c r="AA100" s="21">
        <f>EXP(-LN(2)/25)*AA99+(1-EXP(-LN(2)/25))/(LN(2)/25)*Calculateur!V100*Calculateur!X100*VLOOKUP('Données projet'!$B$9,Paramètres!$A$1:$I$89,3,0)*0.475*44/12</f>
        <v>1.7400667108847738</v>
      </c>
      <c r="AB100" s="21">
        <f>EXP(-LN(2)/2)*AB99+(1-EXP(-LN(2)/2))/(LN(2)/2)*V100*Y100*VLOOKUP('Données projet'!$B$9,Paramètres!$A$1:$I$89,3,0)*0.475*44/12</f>
        <v>9.0904896489854849E-10</v>
      </c>
      <c r="AC100" s="22">
        <f t="shared" si="57"/>
        <v>4.1480034031964772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-2.2737367544323206E-13</v>
      </c>
      <c r="AJ100" s="13">
        <f>AI100*VLOOKUP('Données projet'!$B$10,Paramètres!$A$1:$I$89,3,0)*VLOOKUP('Données projet'!$B$10,Paramètres!$A$1:$I$89,5,0)</f>
        <v>-1.2710188457276673E-13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365.13032894303285</v>
      </c>
      <c r="AO100" s="59">
        <f t="shared" si="90"/>
        <v>471.89239871617241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1.1686088986747583</v>
      </c>
      <c r="AV100" s="21">
        <f>EXP(-LN(2)/25)*AV99+(1-EXP(-LN(2)/25))/(LN(2)/25)*Calculateur!AQ100*Calculateur!AS100*VLOOKUP('Données projet'!$B$10,Paramètres!$A$1:$I$89,3,0)*0.475*44/12</f>
        <v>3.2458771722908617</v>
      </c>
      <c r="AW100" s="21">
        <f>EXP(-LN(2)/2)*AW99+(1-EXP(-LN(2)/2))/(LN(2)/2)*AQ100*AT100*VLOOKUP('Données projet'!$B$10,Paramètres!$A$1:$I$89,3,0)*0.475*44/12</f>
        <v>8.6109558848902428E-10</v>
      </c>
      <c r="AX100" s="21">
        <f t="shared" si="60"/>
        <v>4.4144860718267154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18.5</v>
      </c>
      <c r="N101" s="13">
        <f>IF('Données projet'!$A$36&gt;35,N100+M101-V100,IF(A101&lt;'Données projet'!$A$36,$K$205^A101,IF(A101='Données projet'!$A$36,'Données projet'!$B$36,N100+M101-V100)))</f>
        <v>638.49999999999989</v>
      </c>
      <c r="O101" s="13">
        <f>N101*VLOOKUP('Données projet'!$B$9,Paramètres!$A$1:$I$89,3,0)*VLOOKUP('Données projet'!$B$9,Paramètres!$A$1:$I$89,5,0)</f>
        <v>298.81799999999993</v>
      </c>
      <c r="P101" s="13">
        <f t="shared" si="87"/>
        <v>70.928613970256563</v>
      </c>
      <c r="Q101" s="20">
        <f t="shared" si="107"/>
        <v>643.97535266486341</v>
      </c>
      <c r="R101" s="59">
        <f t="shared" si="55"/>
        <v>937.30868599819678</v>
      </c>
      <c r="S101" s="59">
        <f ca="1">AVERAGE(OFFSET($R$3,0,0,'Données projet'!$E$9+1,1))-AVERAGE(OFFSET($H$3,0,0,'Données projet'!$E$9+1,1))</f>
        <v>226.0452828290525</v>
      </c>
      <c r="T101" s="59">
        <f t="shared" si="88"/>
        <v>179.89696397462069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2.3607185215806084</v>
      </c>
      <c r="AA101" s="21">
        <f>EXP(-LN(2)/25)*AA100+(1-EXP(-LN(2)/25))/(LN(2)/25)*Calculateur!V101*Calculateur!X101*VLOOKUP('Données projet'!$B$9,Paramètres!$A$1:$I$89,3,0)*0.475*44/12</f>
        <v>1.6924844951694984</v>
      </c>
      <c r="AB101" s="21">
        <f>EXP(-LN(2)/2)*AB100+(1-EXP(-LN(2)/2))/(LN(2)/2)*V101*Y101*VLOOKUP('Données projet'!$B$9,Paramètres!$A$1:$I$89,3,0)*0.475*44/12</f>
        <v>6.4279468751037549E-10</v>
      </c>
      <c r="AC101" s="22">
        <f t="shared" si="57"/>
        <v>4.0532030173929012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-2.2737367544323206E-13</v>
      </c>
      <c r="AJ101" s="13">
        <f>AI101*VLOOKUP('Données projet'!$B$10,Paramètres!$A$1:$I$89,3,0)*VLOOKUP('Données projet'!$B$10,Paramètres!$A$1:$I$89,5,0)</f>
        <v>-1.2710188457276673E-13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365.13032894303285</v>
      </c>
      <c r="AO101" s="59">
        <f t="shared" si="90"/>
        <v>471.89239871617241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1.1456931909527932</v>
      </c>
      <c r="AV101" s="21">
        <f>EXP(-LN(2)/25)*AV100+(1-EXP(-LN(2)/25))/(LN(2)/25)*Calculateur!AQ101*Calculateur!AS101*VLOOKUP('Données projet'!$B$10,Paramètres!$A$1:$I$89,3,0)*0.475*44/12</f>
        <v>3.1571184903213063</v>
      </c>
      <c r="AW101" s="21">
        <f>EXP(-LN(2)/2)*AW100+(1-EXP(-LN(2)/2))/(LN(2)/2)*AQ101*AT101*VLOOKUP('Données projet'!$B$10,Paramètres!$A$1:$I$89,3,0)*0.475*44/12</f>
        <v>6.0888652987040986E-10</v>
      </c>
      <c r="AX101" s="21">
        <f t="shared" si="60"/>
        <v>4.3028116818829858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18.5</v>
      </c>
      <c r="N102" s="13">
        <f>IF('Données projet'!$A$36&gt;35,N101+M102-V101,IF(A102&lt;'Données projet'!$A$36,$K$205^A102,IF(A102='Données projet'!$A$36,'Données projet'!$B$36,N101+M102-V101)))</f>
        <v>656.99999999999989</v>
      </c>
      <c r="O102" s="13">
        <f>N102*VLOOKUP('Données projet'!$B$9,Paramètres!$A$1:$I$89,3,0)*VLOOKUP('Données projet'!$B$9,Paramètres!$A$1:$I$89,5,0)</f>
        <v>307.47599999999994</v>
      </c>
      <c r="P102" s="13">
        <f t="shared" si="87"/>
        <v>72.741467976269988</v>
      </c>
      <c r="Q102" s="20">
        <f t="shared" si="107"/>
        <v>662.21209005867013</v>
      </c>
      <c r="R102" s="59">
        <f t="shared" si="55"/>
        <v>955.54542339200339</v>
      </c>
      <c r="S102" s="59">
        <f ca="1">AVERAGE(OFFSET($R$3,0,0,'Données projet'!$E$9+1,1))-AVERAGE(OFFSET($H$3,0,0,'Données projet'!$E$9+1,1))</f>
        <v>226.0452828290525</v>
      </c>
      <c r="T102" s="59">
        <f t="shared" si="88"/>
        <v>179.89696397462069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2.3144262712685331</v>
      </c>
      <c r="AA102" s="21">
        <f>EXP(-LN(2)/25)*AA101+(1-EXP(-LN(2)/25))/(LN(2)/25)*Calculateur!V102*Calculateur!X102*VLOOKUP('Données projet'!$B$9,Paramètres!$A$1:$I$89,3,0)*0.475*44/12</f>
        <v>1.6462034176451972</v>
      </c>
      <c r="AB102" s="21">
        <f>EXP(-LN(2)/2)*AB101+(1-EXP(-LN(2)/2))/(LN(2)/2)*V102*Y102*VLOOKUP('Données projet'!$B$9,Paramètres!$A$1:$I$89,3,0)*0.475*44/12</f>
        <v>4.545244824492743E-10</v>
      </c>
      <c r="AC102" s="22">
        <f t="shared" si="57"/>
        <v>3.9606296893682549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-2.2737367544323206E-13</v>
      </c>
      <c r="AJ102" s="13">
        <f>AI102*VLOOKUP('Données projet'!$B$10,Paramètres!$A$1:$I$89,3,0)*VLOOKUP('Données projet'!$B$10,Paramètres!$A$1:$I$89,5,0)</f>
        <v>-1.2710188457276673E-13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365.13032894303285</v>
      </c>
      <c r="AO102" s="59">
        <f t="shared" si="90"/>
        <v>471.89239871617241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1.1232268462820543</v>
      </c>
      <c r="AV102" s="21">
        <f>EXP(-LN(2)/25)*AV101+(1-EXP(-LN(2)/25))/(LN(2)/25)*Calculateur!AQ102*Calculateur!AS102*VLOOKUP('Données projet'!$B$10,Paramètres!$A$1:$I$89,3,0)*0.475*44/12</f>
        <v>3.0707869191778245</v>
      </c>
      <c r="AW102" s="21">
        <f>EXP(-LN(2)/2)*AW101+(1-EXP(-LN(2)/2))/(LN(2)/2)*AQ102*AT102*VLOOKUP('Données projet'!$B$10,Paramètres!$A$1:$I$89,3,0)*0.475*44/12</f>
        <v>4.3054779424451214E-10</v>
      </c>
      <c r="AX102" s="21">
        <f t="shared" si="60"/>
        <v>4.1940137658904266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675.5</v>
      </c>
      <c r="L103" s="12">
        <f>VLOOKUP(A103,'Données projet'!$A$35:$I$55,9,0)</f>
        <v>18.5</v>
      </c>
      <c r="M103" s="12">
        <f t="array" ref="M103">INDEX(L:L,MIN(IF(ISNUMBER(L103:L299),ROW(L103:L299),"")))</f>
        <v>18.5</v>
      </c>
      <c r="N103" s="13">
        <f>IF('Données projet'!$A$36&gt;35,N102+M103-V102,IF(A103&lt;'Données projet'!$A$36,$K$205^A103,IF(A103='Données projet'!$A$36,'Données projet'!$B$36,N102+M103-V102)))</f>
        <v>675.49999999999989</v>
      </c>
      <c r="O103" s="13">
        <f>N103*VLOOKUP('Données projet'!$B$9,Paramètres!$A$1:$I$89,3,0)*VLOOKUP('Données projet'!$B$9,Paramètres!$A$1:$I$89,5,0)</f>
        <v>316.13399999999996</v>
      </c>
      <c r="P103" s="13">
        <f t="shared" si="87"/>
        <v>74.548389024136753</v>
      </c>
      <c r="Q103" s="20">
        <f t="shared" si="107"/>
        <v>680.43849421703806</v>
      </c>
      <c r="R103" s="59">
        <f t="shared" si="55"/>
        <v>973.77182755037143</v>
      </c>
      <c r="S103" s="59">
        <f ca="1">AVERAGE(OFFSET($R$3,0,0,'Données projet'!$E$9+1,1))-AVERAGE(OFFSET($H$3,0,0,'Données projet'!$E$9+1,1))</f>
        <v>226.0452828290525</v>
      </c>
      <c r="T103" s="59">
        <f t="shared" si="88"/>
        <v>179.89696397462069</v>
      </c>
      <c r="U103" s="15">
        <f>IF(ISNA(VLOOKUP(A103,'Données projet'!$A$35:$I$55,3,0)),0,VLOOKUP(A103,'Données projet'!$A$35:$I$55,3,0))</f>
        <v>9</v>
      </c>
      <c r="V103" s="15">
        <f>IF(ISNA(VLOOKUP(A103,'Données projet'!$A$35:$I$55,4,0)),0,VLOOKUP(A103,'Données projet'!$A$35:$I$55,4,0))</f>
        <v>675.5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2.2690417837495929</v>
      </c>
      <c r="AA103" s="21">
        <f>EXP(-LN(2)/25)*AA102+(1-EXP(-LN(2)/25))/(LN(2)/25)*Calculateur!V103*Calculateur!X103*VLOOKUP('Données projet'!$B$9,Paramètres!$A$1:$I$89,3,0)*0.475*44/12</f>
        <v>1.601187898619614</v>
      </c>
      <c r="AB103" s="21">
        <f>EXP(-LN(2)/2)*AB102+(1-EXP(-LN(2)/2))/(LN(2)/2)*V103*Y103*VLOOKUP('Données projet'!$B$9,Paramètres!$A$1:$I$89,3,0)*0.475*44/12</f>
        <v>3.213973437551878E-10</v>
      </c>
      <c r="AC103" s="22">
        <f t="shared" si="57"/>
        <v>3.8702296826906037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-2.2737367544323206E-13</v>
      </c>
      <c r="AJ103" s="13">
        <f>AI103*VLOOKUP('Données projet'!$B$10,Paramètres!$A$1:$I$89,3,0)*VLOOKUP('Données projet'!$B$10,Paramètres!$A$1:$I$89,5,0)</f>
        <v>-1.2710188457276673E-13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365.13032894303285</v>
      </c>
      <c r="AO103" s="59">
        <f t="shared" si="90"/>
        <v>471.89239871617241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1.1012010529271914</v>
      </c>
      <c r="AV103" s="21">
        <f>EXP(-LN(2)/25)*AV102+(1-EXP(-LN(2)/25))/(LN(2)/25)*Calculateur!AQ103*Calculateur!AS103*VLOOKUP('Données projet'!$B$10,Paramètres!$A$1:$I$89,3,0)*0.475*44/12</f>
        <v>2.9868160893872413</v>
      </c>
      <c r="AW103" s="21">
        <f>EXP(-LN(2)/2)*AW102+(1-EXP(-LN(2)/2))/(LN(2)/2)*AQ103*AT103*VLOOKUP('Données projet'!$B$10,Paramètres!$A$1:$I$89,3,0)*0.475*44/12</f>
        <v>3.0444326493520493E-10</v>
      </c>
      <c r="AX103" s="21">
        <f t="shared" si="60"/>
        <v>4.0880171426188765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-1.1368683772161603E-13</v>
      </c>
      <c r="O104" s="13">
        <f>N104*VLOOKUP('Données projet'!$B$9,Paramètres!$A$1:$I$89,3,0)*VLOOKUP('Données projet'!$B$9,Paramètres!$A$1:$I$89,5,0)</f>
        <v>-5.3205440053716299E-14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226.0452828290525</v>
      </c>
      <c r="T104" s="59">
        <f t="shared" si="88"/>
        <v>179.89696397462069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2.2245472583490948</v>
      </c>
      <c r="AA104" s="21">
        <f>EXP(-LN(2)/25)*AA103+(1-EXP(-LN(2)/25))/(LN(2)/25)*Calculateur!V104*Calculateur!X104*VLOOKUP('Données projet'!$B$9,Paramètres!$A$1:$I$89,3,0)*0.475*44/12</f>
        <v>1.5574033313290485</v>
      </c>
      <c r="AB104" s="21">
        <f>EXP(-LN(2)/2)*AB103+(1-EXP(-LN(2)/2))/(LN(2)/2)*V104*Y104*VLOOKUP('Données projet'!$B$9,Paramètres!$A$1:$I$89,3,0)*0.475*44/12</f>
        <v>2.272622412246372E-10</v>
      </c>
      <c r="AC104" s="22">
        <f t="shared" si="57"/>
        <v>3.7819505899054056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-2.2737367544323206E-13</v>
      </c>
      <c r="AJ104" s="13">
        <f>AI104*VLOOKUP('Données projet'!$B$10,Paramètres!$A$1:$I$89,3,0)*VLOOKUP('Données projet'!$B$10,Paramètres!$A$1:$I$89,5,0)</f>
        <v>-1.2710188457276673E-13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365.13032894303285</v>
      </c>
      <c r="AO104" s="59">
        <f t="shared" si="90"/>
        <v>471.89239871617241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1.07960717194561</v>
      </c>
      <c r="AV104" s="21">
        <f>EXP(-LN(2)/25)*AV103+(1-EXP(-LN(2)/25))/(LN(2)/25)*Calculateur!AQ104*Calculateur!AS104*VLOOKUP('Données projet'!$B$10,Paramètres!$A$1:$I$89,3,0)*0.475*44/12</f>
        <v>2.9051414463531153</v>
      </c>
      <c r="AW104" s="21">
        <f>EXP(-LN(2)/2)*AW103+(1-EXP(-LN(2)/2))/(LN(2)/2)*AQ104*AT104*VLOOKUP('Données projet'!$B$10,Paramètres!$A$1:$I$89,3,0)*0.475*44/12</f>
        <v>2.1527389712225607E-10</v>
      </c>
      <c r="AX104" s="21">
        <f t="shared" si="60"/>
        <v>3.9847486185139993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-1.1368683772161603E-13</v>
      </c>
      <c r="O105" s="13">
        <f>N105*VLOOKUP('Données projet'!$B$9,Paramètres!$A$1:$I$89,3,0)*VLOOKUP('Données projet'!$B$9,Paramètres!$A$1:$I$89,5,0)</f>
        <v>-5.3205440053716299E-14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226.0452828290525</v>
      </c>
      <c r="T105" s="59">
        <f t="shared" si="88"/>
        <v>179.89696397462069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2.18092524345272</v>
      </c>
      <c r="AA105" s="21">
        <f>EXP(-LN(2)/25)*AA104+(1-EXP(-LN(2)/25))/(LN(2)/25)*Calculateur!V105*Calculateur!X105*VLOOKUP('Données projet'!$B$9,Paramètres!$A$1:$I$89,3,0)*0.475*44/12</f>
        <v>1.5148160553335739</v>
      </c>
      <c r="AB105" s="21">
        <f>EXP(-LN(2)/2)*AB104+(1-EXP(-LN(2)/2))/(LN(2)/2)*V105*Y105*VLOOKUP('Données projet'!$B$9,Paramètres!$A$1:$I$89,3,0)*0.475*44/12</f>
        <v>1.6069867187759392E-10</v>
      </c>
      <c r="AC105" s="22">
        <f t="shared" si="57"/>
        <v>3.6957412989469924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-2.2737367544323206E-13</v>
      </c>
      <c r="AJ105" s="13">
        <f>AI105*VLOOKUP('Données projet'!$B$10,Paramètres!$A$1:$I$89,3,0)*VLOOKUP('Données projet'!$B$10,Paramètres!$A$1:$I$89,5,0)</f>
        <v>-1.2710188457276673E-13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365.13032894303285</v>
      </c>
      <c r="AO105" s="59">
        <f t="shared" si="90"/>
        <v>471.89239871617241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1.0584367337991105</v>
      </c>
      <c r="AV105" s="21">
        <f>EXP(-LN(2)/25)*AV104+(1-EXP(-LN(2)/25))/(LN(2)/25)*Calculateur!AQ105*Calculateur!AS105*VLOOKUP('Données projet'!$B$10,Paramètres!$A$1:$I$89,3,0)*0.475*44/12</f>
        <v>2.8257002007278404</v>
      </c>
      <c r="AW105" s="21">
        <f>EXP(-LN(2)/2)*AW104+(1-EXP(-LN(2)/2))/(LN(2)/2)*AQ105*AT105*VLOOKUP('Données projet'!$B$10,Paramètres!$A$1:$I$89,3,0)*0.475*44/12</f>
        <v>1.5222163246760246E-10</v>
      </c>
      <c r="AX105" s="21">
        <f t="shared" si="60"/>
        <v>3.8841369346791725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-1.1368683772161603E-13</v>
      </c>
      <c r="O106" s="13">
        <f>N106*VLOOKUP('Données projet'!$B$9,Paramètres!$A$1:$I$89,3,0)*VLOOKUP('Données projet'!$B$9,Paramètres!$A$1:$I$89,5,0)</f>
        <v>-5.3205440053716299E-14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226.0452828290525</v>
      </c>
      <c r="T106" s="59">
        <f t="shared" si="88"/>
        <v>179.89696397462069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2.1381586296616613</v>
      </c>
      <c r="AA106" s="21">
        <f>EXP(-LN(2)/25)*AA105+(1-EXP(-LN(2)/25))/(LN(2)/25)*Calculateur!V106*Calculateur!X106*VLOOKUP('Données projet'!$B$9,Paramètres!$A$1:$I$89,3,0)*0.475*44/12</f>
        <v>1.4733933306397631</v>
      </c>
      <c r="AB106" s="21">
        <f>EXP(-LN(2)/2)*AB105+(1-EXP(-LN(2)/2))/(LN(2)/2)*V106*Y106*VLOOKUP('Données projet'!$B$9,Paramètres!$A$1:$I$89,3,0)*0.475*44/12</f>
        <v>1.1363112061231861E-10</v>
      </c>
      <c r="AC106" s="22">
        <f t="shared" si="57"/>
        <v>3.6115519604150559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-2.2737367544323206E-13</v>
      </c>
      <c r="AJ106" s="13">
        <f>AI106*VLOOKUP('Données projet'!$B$10,Paramètres!$A$1:$I$89,3,0)*VLOOKUP('Données projet'!$B$10,Paramètres!$A$1:$I$89,5,0)</f>
        <v>-1.2710188457276673E-13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365.13032894303285</v>
      </c>
      <c r="AO106" s="59">
        <f t="shared" si="90"/>
        <v>471.89239871617241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1.0376814350319716</v>
      </c>
      <c r="AV106" s="21">
        <f>EXP(-LN(2)/25)*AV105+(1-EXP(-LN(2)/25))/(LN(2)/25)*Calculateur!AQ106*Calculateur!AS106*VLOOKUP('Données projet'!$B$10,Paramètres!$A$1:$I$89,3,0)*0.475*44/12</f>
        <v>2.7484312801418223</v>
      </c>
      <c r="AW106" s="21">
        <f>EXP(-LN(2)/2)*AW105+(1-EXP(-LN(2)/2))/(LN(2)/2)*AQ106*AT106*VLOOKUP('Données projet'!$B$10,Paramètres!$A$1:$I$89,3,0)*0.475*44/12</f>
        <v>1.0763694856112804E-10</v>
      </c>
      <c r="AX106" s="21">
        <f t="shared" si="60"/>
        <v>3.7861127152814311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-1.1368683772161603E-13</v>
      </c>
      <c r="O107" s="13">
        <f>N107*VLOOKUP('Données projet'!$B$9,Paramètres!$A$1:$I$89,3,0)*VLOOKUP('Données projet'!$B$9,Paramètres!$A$1:$I$89,5,0)</f>
        <v>-5.3205440053716299E-14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226.0452828290525</v>
      </c>
      <c r="T107" s="59">
        <f t="shared" si="88"/>
        <v>179.89696397462069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2.0962306430819861</v>
      </c>
      <c r="AA107" s="21">
        <f>EXP(-LN(2)/25)*AA106+(1-EXP(-LN(2)/25))/(LN(2)/25)*Calculateur!V107*Calculateur!X107*VLOOKUP('Données projet'!$B$9,Paramètres!$A$1:$I$89,3,0)*0.475*44/12</f>
        <v>1.4331033125310311</v>
      </c>
      <c r="AB107" s="21">
        <f>EXP(-LN(2)/2)*AB106+(1-EXP(-LN(2)/2))/(LN(2)/2)*V107*Y107*VLOOKUP('Données projet'!$B$9,Paramètres!$A$1:$I$89,3,0)*0.475*44/12</f>
        <v>8.0349335938796975E-11</v>
      </c>
      <c r="AC107" s="22">
        <f t="shared" si="57"/>
        <v>3.5293339556933669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-2.2737367544323206E-13</v>
      </c>
      <c r="AJ107" s="13">
        <f>AI107*VLOOKUP('Données projet'!$B$10,Paramètres!$A$1:$I$89,3,0)*VLOOKUP('Données projet'!$B$10,Paramètres!$A$1:$I$89,5,0)</f>
        <v>-1.2710188457276673E-13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365.13032894303285</v>
      </c>
      <c r="AO107" s="59">
        <f t="shared" si="90"/>
        <v>471.89239871617241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1.0173331350141741</v>
      </c>
      <c r="AV107" s="21">
        <f>EXP(-LN(2)/25)*AV106+(1-EXP(-LN(2)/25))/(LN(2)/25)*Calculateur!AQ107*Calculateur!AS107*VLOOKUP('Données projet'!$B$10,Paramètres!$A$1:$I$89,3,0)*0.475*44/12</f>
        <v>2.6732752822526247</v>
      </c>
      <c r="AW107" s="21">
        <f>EXP(-LN(2)/2)*AW106+(1-EXP(-LN(2)/2))/(LN(2)/2)*AQ107*AT107*VLOOKUP('Données projet'!$B$10,Paramètres!$A$1:$I$89,3,0)*0.475*44/12</f>
        <v>7.6110816233801232E-11</v>
      </c>
      <c r="AX107" s="21">
        <f t="shared" si="60"/>
        <v>3.6906084173429097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-1.1368683772161603E-13</v>
      </c>
      <c r="O108" s="13">
        <f>N108*VLOOKUP('Données projet'!$B$9,Paramètres!$A$1:$I$89,3,0)*VLOOKUP('Données projet'!$B$9,Paramètres!$A$1:$I$89,5,0)</f>
        <v>-5.3205440053716299E-14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226.0452828290525</v>
      </c>
      <c r="T108" s="59">
        <f t="shared" si="88"/>
        <v>179.89696397462069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2.0551248387455918</v>
      </c>
      <c r="AA108" s="21">
        <f>EXP(-LN(2)/25)*AA107+(1-EXP(-LN(2)/25))/(LN(2)/25)*Calculateur!V108*Calculateur!X108*VLOOKUP('Données projet'!$B$9,Paramètres!$A$1:$I$89,3,0)*0.475*44/12</f>
        <v>1.3939150270862422</v>
      </c>
      <c r="AB108" s="21">
        <f>EXP(-LN(2)/2)*AB107+(1-EXP(-LN(2)/2))/(LN(2)/2)*V108*Y108*VLOOKUP('Données projet'!$B$9,Paramètres!$A$1:$I$89,3,0)*0.475*44/12</f>
        <v>5.6815560306159313E-11</v>
      </c>
      <c r="AC108" s="22">
        <f t="shared" si="57"/>
        <v>3.4490398658886492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-2.2737367544323206E-13</v>
      </c>
      <c r="AJ108" s="13">
        <f>AI108*VLOOKUP('Données projet'!$B$10,Paramètres!$A$1:$I$89,3,0)*VLOOKUP('Données projet'!$B$10,Paramètres!$A$1:$I$89,5,0)</f>
        <v>-1.2710188457276673E-13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365.13032894303285</v>
      </c>
      <c r="AO108" s="59">
        <f t="shared" si="90"/>
        <v>471.89239871617241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0.99738385274848806</v>
      </c>
      <c r="AV108" s="21">
        <f>EXP(-LN(2)/25)*AV107+(1-EXP(-LN(2)/25))/(LN(2)/25)*Calculateur!AQ108*Calculateur!AS108*VLOOKUP('Données projet'!$B$10,Paramètres!$A$1:$I$89,3,0)*0.475*44/12</f>
        <v>2.6001744290779896</v>
      </c>
      <c r="AW108" s="21">
        <f>EXP(-LN(2)/2)*AW107+(1-EXP(-LN(2)/2))/(LN(2)/2)*AQ108*AT108*VLOOKUP('Données projet'!$B$10,Paramètres!$A$1:$I$89,3,0)*0.475*44/12</f>
        <v>5.3818474280564018E-11</v>
      </c>
      <c r="AX108" s="21">
        <f t="shared" si="60"/>
        <v>3.5975582818802958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-1.1368683772161603E-13</v>
      </c>
      <c r="O109" s="13">
        <f>N109*VLOOKUP('Données projet'!$B$9,Paramètres!$A$1:$I$89,3,0)*VLOOKUP('Données projet'!$B$9,Paramètres!$A$1:$I$89,5,0)</f>
        <v>-5.3205440053716299E-14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226.0452828290525</v>
      </c>
      <c r="T109" s="59">
        <f t="shared" si="88"/>
        <v>179.89696397462069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2.0148250941601695</v>
      </c>
      <c r="AA109" s="21">
        <f>EXP(-LN(2)/25)*AA108+(1-EXP(-LN(2)/25))/(LN(2)/25)*Calculateur!V109*Calculateur!X109*VLOOKUP('Données projet'!$B$9,Paramètres!$A$1:$I$89,3,0)*0.475*44/12</f>
        <v>1.3557983473677635</v>
      </c>
      <c r="AB109" s="21">
        <f>EXP(-LN(2)/2)*AB108+(1-EXP(-LN(2)/2))/(LN(2)/2)*V109*Y109*VLOOKUP('Données projet'!$B$9,Paramètres!$A$1:$I$89,3,0)*0.475*44/12</f>
        <v>4.0174667969398494E-11</v>
      </c>
      <c r="AC109" s="22">
        <f t="shared" si="57"/>
        <v>3.3706234415681076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-2.2737367544323206E-13</v>
      </c>
      <c r="AJ109" s="13">
        <f>AI109*VLOOKUP('Données projet'!$B$10,Paramètres!$A$1:$I$89,3,0)*VLOOKUP('Données projet'!$B$10,Paramètres!$A$1:$I$89,5,0)</f>
        <v>-1.2710188457276673E-13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365.13032894303285</v>
      </c>
      <c r="AO109" s="59">
        <f t="shared" si="90"/>
        <v>471.89239871617241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0.97782576374017138</v>
      </c>
      <c r="AV109" s="21">
        <f>EXP(-LN(2)/25)*AV108+(1-EXP(-LN(2)/25))/(LN(2)/25)*Calculateur!AQ109*Calculateur!AS109*VLOOKUP('Données projet'!$B$10,Paramètres!$A$1:$I$89,3,0)*0.475*44/12</f>
        <v>2.5290725225776214</v>
      </c>
      <c r="AW109" s="21">
        <f>EXP(-LN(2)/2)*AW108+(1-EXP(-LN(2)/2))/(LN(2)/2)*AQ109*AT109*VLOOKUP('Données projet'!$B$10,Paramètres!$A$1:$I$89,3,0)*0.475*44/12</f>
        <v>3.8055408116900616E-11</v>
      </c>
      <c r="AX109" s="21">
        <f t="shared" si="60"/>
        <v>3.506898286355848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-1.1368683772161603E-13</v>
      </c>
      <c r="O110" s="13">
        <f>N110*VLOOKUP('Données projet'!$B$9,Paramètres!$A$1:$I$89,3,0)*VLOOKUP('Données projet'!$B$9,Paramètres!$A$1:$I$89,5,0)</f>
        <v>-5.3205440053716299E-14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226.0452828290525</v>
      </c>
      <c r="T110" s="59">
        <f t="shared" si="88"/>
        <v>179.89696397462069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1.97531560298565</v>
      </c>
      <c r="AA110" s="21">
        <f>EXP(-LN(2)/25)*AA109+(1-EXP(-LN(2)/25))/(LN(2)/25)*Calculateur!V110*Calculateur!X110*VLOOKUP('Données projet'!$B$9,Paramètres!$A$1:$I$89,3,0)*0.475*44/12</f>
        <v>1.3187239702606557</v>
      </c>
      <c r="AB110" s="21">
        <f>EXP(-LN(2)/2)*AB109+(1-EXP(-LN(2)/2))/(LN(2)/2)*V110*Y110*VLOOKUP('Données projet'!$B$9,Paramètres!$A$1:$I$89,3,0)*0.475*44/12</f>
        <v>2.8407780153079663E-11</v>
      </c>
      <c r="AC110" s="22">
        <f t="shared" si="57"/>
        <v>3.2940395732747136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-2.2737367544323206E-13</v>
      </c>
      <c r="AJ110" s="13">
        <f>AI110*VLOOKUP('Données projet'!$B$10,Paramètres!$A$1:$I$89,3,0)*VLOOKUP('Données projet'!$B$10,Paramètres!$A$1:$I$89,5,0)</f>
        <v>-1.2710188457276673E-13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365.13032894303285</v>
      </c>
      <c r="AO110" s="59">
        <f t="shared" si="90"/>
        <v>471.89239871617241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0.95865119692805145</v>
      </c>
      <c r="AV110" s="21">
        <f>EXP(-LN(2)/25)*AV109+(1-EXP(-LN(2)/25))/(LN(2)/25)*Calculateur!AQ110*Calculateur!AS110*VLOOKUP('Données projet'!$B$10,Paramètres!$A$1:$I$89,3,0)*0.475*44/12</f>
        <v>2.4599149014495927</v>
      </c>
      <c r="AW110" s="21">
        <f>EXP(-LN(2)/2)*AW109+(1-EXP(-LN(2)/2))/(LN(2)/2)*AQ110*AT110*VLOOKUP('Données projet'!$B$10,Paramètres!$A$1:$I$89,3,0)*0.475*44/12</f>
        <v>2.6909237140282009E-11</v>
      </c>
      <c r="AX110" s="21">
        <f t="shared" si="60"/>
        <v>3.4185660984045532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-1.1368683772161603E-13</v>
      </c>
      <c r="O111" s="13">
        <f>N111*VLOOKUP('Données projet'!$B$9,Paramètres!$A$1:$I$89,3,0)*VLOOKUP('Données projet'!$B$9,Paramètres!$A$1:$I$89,5,0)</f>
        <v>-5.3205440053716299E-14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226.0452828290525</v>
      </c>
      <c r="T111" s="59">
        <f t="shared" si="88"/>
        <v>179.89696397462069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1.9365808688346529</v>
      </c>
      <c r="AA111" s="21">
        <f>EXP(-LN(2)/25)*AA110+(1-EXP(-LN(2)/25))/(LN(2)/25)*Calculateur!V111*Calculateur!X111*VLOOKUP('Données projet'!$B$9,Paramètres!$A$1:$I$89,3,0)*0.475*44/12</f>
        <v>1.2826633939451983</v>
      </c>
      <c r="AB111" s="21">
        <f>EXP(-LN(2)/2)*AB110+(1-EXP(-LN(2)/2))/(LN(2)/2)*V111*Y111*VLOOKUP('Données projet'!$B$9,Paramètres!$A$1:$I$89,3,0)*0.475*44/12</f>
        <v>2.008733398469925E-11</v>
      </c>
      <c r="AC111" s="22">
        <f t="shared" si="57"/>
        <v>3.2192442627999385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-2.2737367544323206E-13</v>
      </c>
      <c r="AJ111" s="13">
        <f>AI111*VLOOKUP('Données projet'!$B$10,Paramètres!$A$1:$I$89,3,0)*VLOOKUP('Données projet'!$B$10,Paramètres!$A$1:$I$89,5,0)</f>
        <v>-1.2710188457276673E-13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365.13032894303285</v>
      </c>
      <c r="AO111" s="59">
        <f t="shared" si="90"/>
        <v>471.89239871617241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0.93985263167578625</v>
      </c>
      <c r="AV111" s="21">
        <f>EXP(-LN(2)/25)*AV110+(1-EXP(-LN(2)/25))/(LN(2)/25)*Calculateur!AQ111*Calculateur!AS111*VLOOKUP('Données projet'!$B$10,Paramètres!$A$1:$I$89,3,0)*0.475*44/12</f>
        <v>2.3926483991081513</v>
      </c>
      <c r="AW111" s="21">
        <f>EXP(-LN(2)/2)*AW110+(1-EXP(-LN(2)/2))/(LN(2)/2)*AQ111*AT111*VLOOKUP('Données projet'!$B$10,Paramètres!$A$1:$I$89,3,0)*0.475*44/12</f>
        <v>1.9027704058450308E-11</v>
      </c>
      <c r="AX111" s="21">
        <f t="shared" si="60"/>
        <v>3.3325010308029657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-1.1368683772161603E-13</v>
      </c>
      <c r="O112" s="13">
        <f>N112*VLOOKUP('Données projet'!$B$9,Paramètres!$A$1:$I$89,3,0)*VLOOKUP('Données projet'!$B$9,Paramètres!$A$1:$I$89,5,0)</f>
        <v>-5.3205440053716299E-14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226.0452828290525</v>
      </c>
      <c r="T112" s="59">
        <f t="shared" si="88"/>
        <v>179.89696397462069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1.8986056991945017</v>
      </c>
      <c r="AA112" s="21">
        <f>EXP(-LN(2)/25)*AA111+(1-EXP(-LN(2)/25))/(LN(2)/25)*Calculateur!V112*Calculateur!X112*VLOOKUP('Données projet'!$B$9,Paramètres!$A$1:$I$89,3,0)*0.475*44/12</f>
        <v>1.2475888959854307</v>
      </c>
      <c r="AB112" s="21">
        <f>EXP(-LN(2)/2)*AB111+(1-EXP(-LN(2)/2))/(LN(2)/2)*V112*Y112*VLOOKUP('Données projet'!$B$9,Paramètres!$A$1:$I$89,3,0)*0.475*44/12</f>
        <v>1.4203890076539833E-11</v>
      </c>
      <c r="AC112" s="22">
        <f t="shared" si="57"/>
        <v>3.1461945951941361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-2.2737367544323206E-13</v>
      </c>
      <c r="AJ112" s="13">
        <f>AI112*VLOOKUP('Données projet'!$B$10,Paramètres!$A$1:$I$89,3,0)*VLOOKUP('Données projet'!$B$10,Paramètres!$A$1:$I$89,5,0)</f>
        <v>-1.2710188457276673E-13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365.13032894303285</v>
      </c>
      <c r="AO112" s="59">
        <f t="shared" si="90"/>
        <v>471.89239871617241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0.92142269482212535</v>
      </c>
      <c r="AV112" s="21">
        <f>EXP(-LN(2)/25)*AV111+(1-EXP(-LN(2)/25))/(LN(2)/25)*Calculateur!AQ112*Calculateur!AS112*VLOOKUP('Données projet'!$B$10,Paramètres!$A$1:$I$89,3,0)*0.475*44/12</f>
        <v>2.3272213028106279</v>
      </c>
      <c r="AW112" s="21">
        <f>EXP(-LN(2)/2)*AW111+(1-EXP(-LN(2)/2))/(LN(2)/2)*AQ112*AT112*VLOOKUP('Données projet'!$B$10,Paramètres!$A$1:$I$89,3,0)*0.475*44/12</f>
        <v>1.3454618570141004E-11</v>
      </c>
      <c r="AX112" s="21">
        <f t="shared" si="60"/>
        <v>3.2486439976462078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-1.1368683772161603E-13</v>
      </c>
      <c r="O113" s="13">
        <f>N113*VLOOKUP('Données projet'!$B$9,Paramètres!$A$1:$I$89,3,0)*VLOOKUP('Données projet'!$B$9,Paramètres!$A$1:$I$89,5,0)</f>
        <v>-5.3205440053716299E-14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226.0452828290525</v>
      </c>
      <c r="T113" s="59">
        <f t="shared" si="88"/>
        <v>179.89696397462069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1.8613751994684276</v>
      </c>
      <c r="AA113" s="21">
        <f>EXP(-LN(2)/25)*AA112+(1-EXP(-LN(2)/25))/(LN(2)/25)*Calculateur!V113*Calculateur!X113*VLOOKUP('Données projet'!$B$9,Paramètres!$A$1:$I$89,3,0)*0.475*44/12</f>
        <v>1.2134735120168605</v>
      </c>
      <c r="AB113" s="21">
        <f>EXP(-LN(2)/2)*AB112+(1-EXP(-LN(2)/2))/(LN(2)/2)*V113*Y113*VLOOKUP('Données projet'!$B$9,Paramètres!$A$1:$I$89,3,0)*0.475*44/12</f>
        <v>1.0043666992349627E-11</v>
      </c>
      <c r="AC113" s="22">
        <f t="shared" si="57"/>
        <v>3.0748487114953313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-2.2737367544323206E-13</v>
      </c>
      <c r="AJ113" s="13">
        <f>AI113*VLOOKUP('Données projet'!$B$10,Paramètres!$A$1:$I$89,3,0)*VLOOKUP('Données projet'!$B$10,Paramètres!$A$1:$I$89,5,0)</f>
        <v>-1.2710188457276673E-13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365.13032894303285</v>
      </c>
      <c r="AO113" s="59">
        <f t="shared" si="90"/>
        <v>471.89239871617241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0.90335415778901318</v>
      </c>
      <c r="AV113" s="21">
        <f>EXP(-LN(2)/25)*AV112+(1-EXP(-LN(2)/25))/(LN(2)/25)*Calculateur!AQ113*Calculateur!AS113*VLOOKUP('Données projet'!$B$10,Paramètres!$A$1:$I$89,3,0)*0.475*44/12</f>
        <v>2.2635833139020218</v>
      </c>
      <c r="AW113" s="21">
        <f>EXP(-LN(2)/2)*AW112+(1-EXP(-LN(2)/2))/(LN(2)/2)*AQ113*AT113*VLOOKUP('Données projet'!$B$10,Paramètres!$A$1:$I$89,3,0)*0.475*44/12</f>
        <v>9.513852029225154E-12</v>
      </c>
      <c r="AX113" s="21">
        <f t="shared" si="60"/>
        <v>3.1669374717005487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-1.1368683772161603E-13</v>
      </c>
      <c r="O114" s="13">
        <f>N114*VLOOKUP('Données projet'!$B$9,Paramètres!$A$1:$I$89,3,0)*VLOOKUP('Données projet'!$B$9,Paramètres!$A$1:$I$89,5,0)</f>
        <v>-5.3205440053716299E-14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226.0452828290525</v>
      </c>
      <c r="T114" s="59">
        <f t="shared" si="88"/>
        <v>179.89696397462069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1.8248747671336192</v>
      </c>
      <c r="AA114" s="21">
        <f>EXP(-LN(2)/25)*AA113+(1-EXP(-LN(2)/25))/(LN(2)/25)*Calculateur!V114*Calculateur!X114*VLOOKUP('Données projet'!$B$9,Paramètres!$A$1:$I$89,3,0)*0.475*44/12</f>
        <v>1.1802910150169608</v>
      </c>
      <c r="AB114" s="21">
        <f>EXP(-LN(2)/2)*AB113+(1-EXP(-LN(2)/2))/(LN(2)/2)*V114*Y114*VLOOKUP('Données projet'!$B$9,Paramètres!$A$1:$I$89,3,0)*0.475*44/12</f>
        <v>7.1019450382699182E-12</v>
      </c>
      <c r="AC114" s="22">
        <f t="shared" si="57"/>
        <v>3.0051657821576816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-2.2737367544323206E-13</v>
      </c>
      <c r="AJ114" s="13">
        <f>AI114*VLOOKUP('Données projet'!$B$10,Paramètres!$A$1:$I$89,3,0)*VLOOKUP('Données projet'!$B$10,Paramètres!$A$1:$I$89,5,0)</f>
        <v>-1.2710188457276673E-13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365.13032894303285</v>
      </c>
      <c r="AO114" s="59">
        <f t="shared" si="90"/>
        <v>471.89239871617241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0.88563993374640093</v>
      </c>
      <c r="AV114" s="21">
        <f>EXP(-LN(2)/25)*AV113+(1-EXP(-LN(2)/25))/(LN(2)/25)*Calculateur!AQ114*Calculateur!AS114*VLOOKUP('Données projet'!$B$10,Paramètres!$A$1:$I$89,3,0)*0.475*44/12</f>
        <v>2.201685509146698</v>
      </c>
      <c r="AW114" s="21">
        <f>EXP(-LN(2)/2)*AW113+(1-EXP(-LN(2)/2))/(LN(2)/2)*AQ114*AT114*VLOOKUP('Données projet'!$B$10,Paramètres!$A$1:$I$89,3,0)*0.475*44/12</f>
        <v>6.7273092850705022E-12</v>
      </c>
      <c r="AX114" s="21">
        <f t="shared" si="60"/>
        <v>3.0873254428998265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-1.1368683772161603E-13</v>
      </c>
      <c r="O115" s="13">
        <f>N115*VLOOKUP('Données projet'!$B$9,Paramètres!$A$1:$I$89,3,0)*VLOOKUP('Données projet'!$B$9,Paramètres!$A$1:$I$89,5,0)</f>
        <v>-5.3205440053716299E-14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226.0452828290525</v>
      </c>
      <c r="T115" s="59">
        <f t="shared" si="88"/>
        <v>179.89696397462069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1.789090086013831</v>
      </c>
      <c r="AA115" s="21">
        <f>EXP(-LN(2)/25)*AA114+(1-EXP(-LN(2)/25))/(LN(2)/25)*Calculateur!V115*Calculateur!X115*VLOOKUP('Données projet'!$B$9,Paramètres!$A$1:$I$89,3,0)*0.475*44/12</f>
        <v>1.148015895142515</v>
      </c>
      <c r="AB115" s="21">
        <f>EXP(-LN(2)/2)*AB114+(1-EXP(-LN(2)/2))/(LN(2)/2)*V115*Y115*VLOOKUP('Données projet'!$B$9,Paramètres!$A$1:$I$89,3,0)*0.475*44/12</f>
        <v>5.0218334961748141E-12</v>
      </c>
      <c r="AC115" s="22">
        <f t="shared" si="57"/>
        <v>2.937105981161368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-2.2737367544323206E-13</v>
      </c>
      <c r="AJ115" s="13">
        <f>AI115*VLOOKUP('Données projet'!$B$10,Paramètres!$A$1:$I$89,3,0)*VLOOKUP('Données projet'!$B$10,Paramètres!$A$1:$I$89,5,0)</f>
        <v>-1.2710188457276673E-13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365.13032894303285</v>
      </c>
      <c r="AO115" s="59">
        <f t="shared" si="90"/>
        <v>471.89239871617241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0.86827307483265459</v>
      </c>
      <c r="AV115" s="21">
        <f>EXP(-LN(2)/25)*AV114+(1-EXP(-LN(2)/25))/(LN(2)/25)*Calculateur!AQ115*Calculateur!AS115*VLOOKUP('Données projet'!$B$10,Paramètres!$A$1:$I$89,3,0)*0.475*44/12</f>
        <v>2.1414803031174725</v>
      </c>
      <c r="AW115" s="21">
        <f>EXP(-LN(2)/2)*AW114+(1-EXP(-LN(2)/2))/(LN(2)/2)*AQ115*AT115*VLOOKUP('Données projet'!$B$10,Paramètres!$A$1:$I$89,3,0)*0.475*44/12</f>
        <v>4.756926014612577E-12</v>
      </c>
      <c r="AX115" s="21">
        <f t="shared" si="60"/>
        <v>3.0097533779548842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-1.1368683772161603E-13</v>
      </c>
      <c r="O116" s="13">
        <f>N116*VLOOKUP('Données projet'!$B$9,Paramètres!$A$1:$I$89,3,0)*VLOOKUP('Données projet'!$B$9,Paramètres!$A$1:$I$89,5,0)</f>
        <v>-5.3205440053716299E-14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226.0452828290525</v>
      </c>
      <c r="T116" s="59">
        <f t="shared" si="88"/>
        <v>179.89696397462069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1.7540071206643015</v>
      </c>
      <c r="AA116" s="21">
        <f>EXP(-LN(2)/25)*AA115+(1-EXP(-LN(2)/25))/(LN(2)/25)*Calculateur!V116*Calculateur!X116*VLOOKUP('Données projet'!$B$9,Paramètres!$A$1:$I$89,3,0)*0.475*44/12</f>
        <v>1.1166233401183108</v>
      </c>
      <c r="AB116" s="21">
        <f>EXP(-LN(2)/2)*AB115+(1-EXP(-LN(2)/2))/(LN(2)/2)*V116*Y116*VLOOKUP('Données projet'!$B$9,Paramètres!$A$1:$I$89,3,0)*0.475*44/12</f>
        <v>3.5509725191349595E-12</v>
      </c>
      <c r="AC116" s="22">
        <f t="shared" si="57"/>
        <v>2.8706304607861632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-2.2737367544323206E-13</v>
      </c>
      <c r="AJ116" s="13">
        <f>AI116*VLOOKUP('Données projet'!$B$10,Paramètres!$A$1:$I$89,3,0)*VLOOKUP('Données projet'!$B$10,Paramètres!$A$1:$I$89,5,0)</f>
        <v>-1.2710188457276673E-13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365.13032894303285</v>
      </c>
      <c r="AO116" s="59">
        <f t="shared" si="90"/>
        <v>471.89239871617241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0.85124676942946875</v>
      </c>
      <c r="AV116" s="21">
        <f>EXP(-LN(2)/25)*AV115+(1-EXP(-LN(2)/25))/(LN(2)/25)*Calculateur!AQ116*Calculateur!AS116*VLOOKUP('Données projet'!$B$10,Paramètres!$A$1:$I$89,3,0)*0.475*44/12</f>
        <v>2.0829214116131705</v>
      </c>
      <c r="AW116" s="21">
        <f>EXP(-LN(2)/2)*AW115+(1-EXP(-LN(2)/2))/(LN(2)/2)*AQ116*AT116*VLOOKUP('Données projet'!$B$10,Paramètres!$A$1:$I$89,3,0)*0.475*44/12</f>
        <v>3.3636546425352511E-12</v>
      </c>
      <c r="AX116" s="21">
        <f t="shared" si="60"/>
        <v>2.9341681810460027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-1.1368683772161603E-13</v>
      </c>
      <c r="O117" s="13">
        <f>N117*VLOOKUP('Données projet'!$B$9,Paramètres!$A$1:$I$89,3,0)*VLOOKUP('Données projet'!$B$9,Paramètres!$A$1:$I$89,5,0)</f>
        <v>-5.3205440053716299E-14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226.0452828290525</v>
      </c>
      <c r="T117" s="59">
        <f t="shared" si="88"/>
        <v>179.89696397462069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1.7196121108667803</v>
      </c>
      <c r="AA117" s="21">
        <f>EXP(-LN(2)/25)*AA116+(1-EXP(-LN(2)/25))/(LN(2)/25)*Calculateur!V117*Calculateur!X117*VLOOKUP('Données projet'!$B$9,Paramètres!$A$1:$I$89,3,0)*0.475*44/12</f>
        <v>1.0860892161621061</v>
      </c>
      <c r="AB117" s="21">
        <f>EXP(-LN(2)/2)*AB116+(1-EXP(-LN(2)/2))/(LN(2)/2)*V117*Y117*VLOOKUP('Données projet'!$B$9,Paramètres!$A$1:$I$89,3,0)*0.475*44/12</f>
        <v>2.5109167480874075E-12</v>
      </c>
      <c r="AC117" s="22">
        <f t="shared" si="57"/>
        <v>2.8057013270313975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-2.2737367544323206E-13</v>
      </c>
      <c r="AJ117" s="13">
        <f>AI117*VLOOKUP('Données projet'!$B$10,Paramètres!$A$1:$I$89,3,0)*VLOOKUP('Données projet'!$B$10,Paramètres!$A$1:$I$89,5,0)</f>
        <v>-1.2710188457276673E-13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365.13032894303285</v>
      </c>
      <c r="AO117" s="59">
        <f t="shared" si="90"/>
        <v>471.89239871617241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0.83455433949021851</v>
      </c>
      <c r="AV117" s="21">
        <f>EXP(-LN(2)/25)*AV116+(1-EXP(-LN(2)/25))/(LN(2)/25)*Calculateur!AQ117*Calculateur!AS117*VLOOKUP('Données projet'!$B$10,Paramètres!$A$1:$I$89,3,0)*0.475*44/12</f>
        <v>2.0259638160765316</v>
      </c>
      <c r="AW117" s="21">
        <f>EXP(-LN(2)/2)*AW116+(1-EXP(-LN(2)/2))/(LN(2)/2)*AQ117*AT117*VLOOKUP('Données projet'!$B$10,Paramètres!$A$1:$I$89,3,0)*0.475*44/12</f>
        <v>2.3784630073062885E-12</v>
      </c>
      <c r="AX117" s="21">
        <f t="shared" si="60"/>
        <v>2.8605181555691286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-1.1368683772161603E-13</v>
      </c>
      <c r="O118" s="13">
        <f>N118*VLOOKUP('Données projet'!$B$9,Paramètres!$A$1:$I$89,3,0)*VLOOKUP('Données projet'!$B$9,Paramètres!$A$1:$I$89,5,0)</f>
        <v>-5.3205440053716299E-14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226.0452828290525</v>
      </c>
      <c r="T118" s="59">
        <f t="shared" si="88"/>
        <v>179.89696397462069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1.685891566232504</v>
      </c>
      <c r="AA118" s="21">
        <f>EXP(-LN(2)/25)*AA117+(1-EXP(-LN(2)/25))/(LN(2)/25)*Calculateur!V118*Calculateur!X118*VLOOKUP('Données projet'!$B$9,Paramètres!$A$1:$I$89,3,0)*0.475*44/12</f>
        <v>1.0563900494312037</v>
      </c>
      <c r="AB118" s="21">
        <f>EXP(-LN(2)/2)*AB117+(1-EXP(-LN(2)/2))/(LN(2)/2)*V118*Y118*VLOOKUP('Données projet'!$B$9,Paramètres!$A$1:$I$89,3,0)*0.475*44/12</f>
        <v>1.7754862595674799E-12</v>
      </c>
      <c r="AC118" s="22">
        <f t="shared" si="57"/>
        <v>2.7422816156654832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-2.2737367544323206E-13</v>
      </c>
      <c r="AJ118" s="13">
        <f>AI118*VLOOKUP('Données projet'!$B$10,Paramètres!$A$1:$I$89,3,0)*VLOOKUP('Données projet'!$B$10,Paramètres!$A$1:$I$89,5,0)</f>
        <v>-1.2710188457276673E-13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365.13032894303285</v>
      </c>
      <c r="AO118" s="59">
        <f t="shared" si="90"/>
        <v>471.89239871617241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0.81818923792070009</v>
      </c>
      <c r="AV118" s="21">
        <f>EXP(-LN(2)/25)*AV117+(1-EXP(-LN(2)/25))/(LN(2)/25)*Calculateur!AQ118*Calculateur!AS118*VLOOKUP('Données projet'!$B$10,Paramètres!$A$1:$I$89,3,0)*0.475*44/12</f>
        <v>1.9705637289851121</v>
      </c>
      <c r="AW118" s="21">
        <f>EXP(-LN(2)/2)*AW117+(1-EXP(-LN(2)/2))/(LN(2)/2)*AQ118*AT118*VLOOKUP('Données projet'!$B$10,Paramètres!$A$1:$I$89,3,0)*0.475*44/12</f>
        <v>1.6818273212676256E-12</v>
      </c>
      <c r="AX118" s="21">
        <f t="shared" si="60"/>
        <v>2.7887529669074937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-1.1368683772161603E-13</v>
      </c>
      <c r="O119" s="13">
        <f>N119*VLOOKUP('Données projet'!$B$9,Paramètres!$A$1:$I$89,3,0)*VLOOKUP('Données projet'!$B$9,Paramètres!$A$1:$I$89,5,0)</f>
        <v>-5.3205440053716299E-14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226.0452828290525</v>
      </c>
      <c r="T119" s="59">
        <f t="shared" si="88"/>
        <v>179.89696397462069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1.6528322609110047</v>
      </c>
      <c r="AA119" s="21">
        <f>EXP(-LN(2)/25)*AA118+(1-EXP(-LN(2)/25))/(LN(2)/25)*Calculateur!V119*Calculateur!X119*VLOOKUP('Données projet'!$B$9,Paramètres!$A$1:$I$89,3,0)*0.475*44/12</f>
        <v>1.0275030079763692</v>
      </c>
      <c r="AB119" s="21">
        <f>EXP(-LN(2)/2)*AB118+(1-EXP(-LN(2)/2))/(LN(2)/2)*V119*Y119*VLOOKUP('Données projet'!$B$9,Paramètres!$A$1:$I$89,3,0)*0.475*44/12</f>
        <v>1.2554583740437039E-12</v>
      </c>
      <c r="AC119" s="22">
        <f t="shared" si="57"/>
        <v>2.6803352688886295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-2.2737367544323206E-13</v>
      </c>
      <c r="AJ119" s="13">
        <f>AI119*VLOOKUP('Données projet'!$B$10,Paramètres!$A$1:$I$89,3,0)*VLOOKUP('Données projet'!$B$10,Paramètres!$A$1:$I$89,5,0)</f>
        <v>-1.2710188457276673E-13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365.13032894303285</v>
      </c>
      <c r="AO119" s="59">
        <f t="shared" si="90"/>
        <v>471.89239871617241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0.8021450460112336</v>
      </c>
      <c r="AV119" s="21">
        <f>EXP(-LN(2)/25)*AV118+(1-EXP(-LN(2)/25))/(LN(2)/25)*Calculateur!AQ119*Calculateur!AS119*VLOOKUP('Données projet'!$B$10,Paramètres!$A$1:$I$89,3,0)*0.475*44/12</f>
        <v>1.9166785601885714</v>
      </c>
      <c r="AW119" s="21">
        <f>EXP(-LN(2)/2)*AW118+(1-EXP(-LN(2)/2))/(LN(2)/2)*AQ119*AT119*VLOOKUP('Données projet'!$B$10,Paramètres!$A$1:$I$89,3,0)*0.475*44/12</f>
        <v>1.1892315036531443E-12</v>
      </c>
      <c r="AX119" s="21">
        <f t="shared" si="60"/>
        <v>2.7188236062009943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-1.1368683772161603E-13</v>
      </c>
      <c r="O120" s="13">
        <f>N120*VLOOKUP('Données projet'!$B$9,Paramètres!$A$1:$I$89,3,0)*VLOOKUP('Données projet'!$B$9,Paramètres!$A$1:$I$89,5,0)</f>
        <v>-5.3205440053716299E-14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226.0452828290525</v>
      </c>
      <c r="T120" s="59">
        <f t="shared" si="88"/>
        <v>179.89696397462069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1.6204212284026747</v>
      </c>
      <c r="AA120" s="21">
        <f>EXP(-LN(2)/25)*AA119+(1-EXP(-LN(2)/25))/(LN(2)/25)*Calculateur!V120*Calculateur!X120*VLOOKUP('Données projet'!$B$9,Paramètres!$A$1:$I$89,3,0)*0.475*44/12</f>
        <v>0.99940588418922061</v>
      </c>
      <c r="AB120" s="21">
        <f>EXP(-LN(2)/2)*AB119+(1-EXP(-LN(2)/2))/(LN(2)/2)*V120*Y120*VLOOKUP('Données projet'!$B$9,Paramètres!$A$1:$I$89,3,0)*0.475*44/12</f>
        <v>8.8774312978374017E-13</v>
      </c>
      <c r="AC120" s="22">
        <f t="shared" si="57"/>
        <v>2.619827112592783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-2.2737367544323206E-13</v>
      </c>
      <c r="AJ120" s="13">
        <f>AI120*VLOOKUP('Données projet'!$B$10,Paramètres!$A$1:$I$89,3,0)*VLOOKUP('Données projet'!$B$10,Paramètres!$A$1:$I$89,5,0)</f>
        <v>-1.2710188457276673E-13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365.13032894303285</v>
      </c>
      <c r="AO120" s="59">
        <f t="shared" si="90"/>
        <v>471.89239871617241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0.7864154709191209</v>
      </c>
      <c r="AV120" s="21">
        <f>EXP(-LN(2)/25)*AV119+(1-EXP(-LN(2)/25))/(LN(2)/25)*Calculateur!AQ120*Calculateur!AS120*VLOOKUP('Données projet'!$B$10,Paramètres!$A$1:$I$89,3,0)*0.475*44/12</f>
        <v>1.86426688416647</v>
      </c>
      <c r="AW120" s="21">
        <f>EXP(-LN(2)/2)*AW119+(1-EXP(-LN(2)/2))/(LN(2)/2)*AQ120*AT120*VLOOKUP('Données projet'!$B$10,Paramètres!$A$1:$I$89,3,0)*0.475*44/12</f>
        <v>8.4091366063381278E-13</v>
      </c>
      <c r="AX120" s="21">
        <f t="shared" si="60"/>
        <v>2.650682355086432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-1.1368683772161603E-13</v>
      </c>
      <c r="O121" s="13">
        <f>N121*VLOOKUP('Données projet'!$B$9,Paramètres!$A$1:$I$89,3,0)*VLOOKUP('Données projet'!$B$9,Paramètres!$A$1:$I$89,5,0)</f>
        <v>-5.3205440053716299E-14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226.0452828290525</v>
      </c>
      <c r="T121" s="59">
        <f t="shared" si="88"/>
        <v>179.89696397462069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1.5886457564730552</v>
      </c>
      <c r="AA121" s="21">
        <f>EXP(-LN(2)/25)*AA120+(1-EXP(-LN(2)/25))/(LN(2)/25)*Calculateur!V121*Calculateur!X121*VLOOKUP('Données projet'!$B$9,Paramètres!$A$1:$I$89,3,0)*0.475*44/12</f>
        <v>0.97207707772959506</v>
      </c>
      <c r="AB121" s="21">
        <f>EXP(-LN(2)/2)*AB120+(1-EXP(-LN(2)/2))/(LN(2)/2)*V121*Y121*VLOOKUP('Données projet'!$B$9,Paramètres!$A$1:$I$89,3,0)*0.475*44/12</f>
        <v>6.2772918702185207E-13</v>
      </c>
      <c r="AC121" s="22">
        <f t="shared" si="57"/>
        <v>2.5607228342032782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-2.2737367544323206E-13</v>
      </c>
      <c r="AJ121" s="13">
        <f>AI121*VLOOKUP('Données projet'!$B$10,Paramètres!$A$1:$I$89,3,0)*VLOOKUP('Données projet'!$B$10,Paramètres!$A$1:$I$89,5,0)</f>
        <v>-1.2710188457276673E-13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365.13032894303285</v>
      </c>
      <c r="AO121" s="59">
        <f t="shared" si="90"/>
        <v>471.89239871617241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0.77099434320047111</v>
      </c>
      <c r="AV121" s="21">
        <f>EXP(-LN(2)/25)*AV120+(1-EXP(-LN(2)/25))/(LN(2)/25)*Calculateur!AQ121*Calculateur!AS121*VLOOKUP('Données projet'!$B$10,Paramètres!$A$1:$I$89,3,0)*0.475*44/12</f>
        <v>1.8132884081814034</v>
      </c>
      <c r="AW121" s="21">
        <f>EXP(-LN(2)/2)*AW120+(1-EXP(-LN(2)/2))/(LN(2)/2)*AQ121*AT121*VLOOKUP('Données projet'!$B$10,Paramètres!$A$1:$I$89,3,0)*0.475*44/12</f>
        <v>5.9461575182657213E-13</v>
      </c>
      <c r="AX121" s="21">
        <f t="shared" si="60"/>
        <v>2.5842827513824691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-1.1368683772161603E-13</v>
      </c>
      <c r="O122" s="13">
        <f>N122*VLOOKUP('Données projet'!$B$9,Paramètres!$A$1:$I$89,3,0)*VLOOKUP('Données projet'!$B$9,Paramètres!$A$1:$I$89,5,0)</f>
        <v>-5.3205440053716299E-14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226.0452828290525</v>
      </c>
      <c r="T122" s="59">
        <f t="shared" si="88"/>
        <v>179.89696397462069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1.5574933821668513</v>
      </c>
      <c r="AA122" s="21">
        <f>EXP(-LN(2)/25)*AA121+(1-EXP(-LN(2)/25))/(LN(2)/25)*Calculateur!V122*Calculateur!X122*VLOOKUP('Données projet'!$B$9,Paramètres!$A$1:$I$89,3,0)*0.475*44/12</f>
        <v>0.94549557891976743</v>
      </c>
      <c r="AB122" s="21">
        <f>EXP(-LN(2)/2)*AB121+(1-EXP(-LN(2)/2))/(LN(2)/2)*V122*Y122*VLOOKUP('Données projet'!$B$9,Paramètres!$A$1:$I$89,3,0)*0.475*44/12</f>
        <v>4.4387156489187014E-13</v>
      </c>
      <c r="AC122" s="22">
        <f t="shared" si="57"/>
        <v>2.5029889610870626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-2.2737367544323206E-13</v>
      </c>
      <c r="AJ122" s="13">
        <f>AI122*VLOOKUP('Données projet'!$B$10,Paramètres!$A$1:$I$89,3,0)*VLOOKUP('Données projet'!$B$10,Paramètres!$A$1:$I$89,5,0)</f>
        <v>-1.2710188457276673E-13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365.13032894303285</v>
      </c>
      <c r="AO122" s="59">
        <f t="shared" si="90"/>
        <v>471.89239871617241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0.75587561439042494</v>
      </c>
      <c r="AV122" s="21">
        <f>EXP(-LN(2)/25)*AV121+(1-EXP(-LN(2)/25))/(LN(2)/25)*Calculateur!AQ122*Calculateur!AS122*VLOOKUP('Données projet'!$B$10,Paramètres!$A$1:$I$89,3,0)*0.475*44/12</f>
        <v>1.7637039413029898</v>
      </c>
      <c r="AW122" s="21">
        <f>EXP(-LN(2)/2)*AW121+(1-EXP(-LN(2)/2))/(LN(2)/2)*AQ122*AT122*VLOOKUP('Données projet'!$B$10,Paramètres!$A$1:$I$89,3,0)*0.475*44/12</f>
        <v>4.2045683031690639E-13</v>
      </c>
      <c r="AX122" s="21">
        <f t="shared" si="60"/>
        <v>2.5195795556938352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-1.1368683772161603E-13</v>
      </c>
      <c r="O123" s="13">
        <f>N123*VLOOKUP('Données projet'!$B$9,Paramètres!$A$1:$I$89,3,0)*VLOOKUP('Données projet'!$B$9,Paramètres!$A$1:$I$89,5,0)</f>
        <v>-5.3205440053716299E-14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226.0452828290525</v>
      </c>
      <c r="T123" s="59">
        <f t="shared" si="88"/>
        <v>179.89696397462069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1.5269518869197201</v>
      </c>
      <c r="AA123" s="21">
        <f>EXP(-LN(2)/25)*AA122+(1-EXP(-LN(2)/25))/(LN(2)/25)*Calculateur!V123*Calculateur!X123*VLOOKUP('Données projet'!$B$9,Paramètres!$A$1:$I$89,3,0)*0.475*44/12</f>
        <v>0.9196409525927548</v>
      </c>
      <c r="AB123" s="21">
        <f>EXP(-LN(2)/2)*AB122+(1-EXP(-LN(2)/2))/(LN(2)/2)*V123*Y123*VLOOKUP('Données projet'!$B$9,Paramètres!$A$1:$I$89,3,0)*0.475*44/12</f>
        <v>3.1386459351092609E-13</v>
      </c>
      <c r="AC123" s="22">
        <f t="shared" si="57"/>
        <v>2.4465928395127889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-2.2737367544323206E-13</v>
      </c>
      <c r="AJ123" s="13">
        <f>AI123*VLOOKUP('Données projet'!$B$10,Paramètres!$A$1:$I$89,3,0)*VLOOKUP('Données projet'!$B$10,Paramètres!$A$1:$I$89,5,0)</f>
        <v>-1.2710188457276673E-13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365.13032894303285</v>
      </c>
      <c r="AO123" s="59">
        <f t="shared" si="90"/>
        <v>471.89239871617241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0.74105335463082966</v>
      </c>
      <c r="AV123" s="21">
        <f>EXP(-LN(2)/25)*AV122+(1-EXP(-LN(2)/25))/(LN(2)/25)*Calculateur!AQ123*Calculateur!AS123*VLOOKUP('Données projet'!$B$10,Paramètres!$A$1:$I$89,3,0)*0.475*44/12</f>
        <v>1.7154753642789002</v>
      </c>
      <c r="AW123" s="21">
        <f>EXP(-LN(2)/2)*AW122+(1-EXP(-LN(2)/2))/(LN(2)/2)*AQ123*AT123*VLOOKUP('Données projet'!$B$10,Paramètres!$A$1:$I$89,3,0)*0.475*44/12</f>
        <v>2.9730787591328606E-13</v>
      </c>
      <c r="AX123" s="21">
        <f t="shared" si="60"/>
        <v>2.4565287189100271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-5.3205440053716299E-14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226.0452828290525</v>
      </c>
      <c r="T124" s="59">
        <f t="shared" si="88"/>
        <v>179.89696397462069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1.4970092917659124</v>
      </c>
      <c r="AA124" s="21">
        <f>EXP(-LN(2)/25)*AA123+(1-EXP(-LN(2)/25))/(LN(2)/25)*Calculateur!V124*Calculateur!X124*VLOOKUP('Données projet'!$B$9,Paramètres!$A$1:$I$89,3,0)*0.475*44/12</f>
        <v>0.89449332238229007</v>
      </c>
      <c r="AB124" s="21">
        <f>EXP(-LN(2)/2)*AB123+(1-EXP(-LN(2)/2))/(LN(2)/2)*V124*Y124*VLOOKUP('Données projet'!$B$9,Paramètres!$A$1:$I$89,3,0)*0.475*44/12</f>
        <v>2.2193578244593512E-13</v>
      </c>
      <c r="AC124" s="22">
        <f t="shared" si="57"/>
        <v>2.3915026141484246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-2.2737367544323206E-13</v>
      </c>
      <c r="AJ124" s="13">
        <f>AI124*VLOOKUP('Données projet'!$B$10,Paramètres!$A$1:$I$89,3,0)*VLOOKUP('Données projet'!$B$10,Paramètres!$A$1:$I$89,5,0)</f>
        <v>-1.2710188457276673E-13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365.13032894303285</v>
      </c>
      <c r="AO124" s="59">
        <f t="shared" si="90"/>
        <v>471.89239871617241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0.72652175034443434</v>
      </c>
      <c r="AV124" s="21">
        <f>EXP(-LN(2)/25)*AV123+(1-EXP(-LN(2)/25))/(LN(2)/25)*Calculateur!AQ124*Calculateur!AS124*VLOOKUP('Données projet'!$B$10,Paramètres!$A$1:$I$89,3,0)*0.475*44/12</f>
        <v>1.6685656002297651</v>
      </c>
      <c r="AW124" s="21">
        <f>EXP(-LN(2)/2)*AW123+(1-EXP(-LN(2)/2))/(LN(2)/2)*AQ124*AT124*VLOOKUP('Données projet'!$B$10,Paramètres!$A$1:$I$89,3,0)*0.475*44/12</f>
        <v>2.1022841515845319E-13</v>
      </c>
      <c r="AX124" s="21">
        <f t="shared" si="60"/>
        <v>2.3950873505744092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-5.3205440053716299E-14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226.0452828290525</v>
      </c>
      <c r="T125" s="59">
        <f t="shared" si="88"/>
        <v>179.89696397462069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1.467653852639891</v>
      </c>
      <c r="AA125" s="21">
        <f>EXP(-LN(2)/25)*AA124+(1-EXP(-LN(2)/25))/(LN(2)/25)*Calculateur!V125*Calculateur!X125*VLOOKUP('Données projet'!$B$9,Paramètres!$A$1:$I$89,3,0)*0.475*44/12</f>
        <v>0.87003335544238691</v>
      </c>
      <c r="AB125" s="21">
        <f>EXP(-LN(2)/2)*AB124+(1-EXP(-LN(2)/2))/(LN(2)/2)*V125*Y125*VLOOKUP('Données projet'!$B$9,Paramètres!$A$1:$I$89,3,0)*0.475*44/12</f>
        <v>1.5693229675546307E-13</v>
      </c>
      <c r="AC125" s="22">
        <f t="shared" si="57"/>
        <v>2.3376872080824347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-2.2737367544323206E-13</v>
      </c>
      <c r="AJ125" s="13">
        <f>AI125*VLOOKUP('Données projet'!$B$10,Paramètres!$A$1:$I$89,3,0)*VLOOKUP('Données projet'!$B$10,Paramètres!$A$1:$I$89,5,0)</f>
        <v>-1.2710188457276673E-13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365.13032894303285</v>
      </c>
      <c r="AO125" s="59">
        <f t="shared" si="90"/>
        <v>471.89239871617241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0.71227510195469179</v>
      </c>
      <c r="AV125" s="21">
        <f>EXP(-LN(2)/25)*AV124+(1-EXP(-LN(2)/25))/(LN(2)/25)*Calculateur!AQ125*Calculateur!AS125*VLOOKUP('Données projet'!$B$10,Paramètres!$A$1:$I$89,3,0)*0.475*44/12</f>
        <v>1.6229385861454309</v>
      </c>
      <c r="AW125" s="21">
        <f>EXP(-LN(2)/2)*AW124+(1-EXP(-LN(2)/2))/(LN(2)/2)*AQ125*AT125*VLOOKUP('Données projet'!$B$10,Paramètres!$A$1:$I$89,3,0)*0.475*44/12</f>
        <v>1.4865393795664303E-13</v>
      </c>
      <c r="AX125" s="21">
        <f t="shared" si="60"/>
        <v>2.3352136881002714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-5.3205440053716299E-14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226.0452828290525</v>
      </c>
      <c r="T126" s="59">
        <f t="shared" si="88"/>
        <v>179.89696397462069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1.4388740557700812</v>
      </c>
      <c r="AA126" s="21">
        <f>EXP(-LN(2)/25)*AA125+(1-EXP(-LN(2)/25))/(LN(2)/25)*Calculateur!V126*Calculateur!X126*VLOOKUP('Données projet'!$B$9,Paramètres!$A$1:$I$89,3,0)*0.475*44/12</f>
        <v>0.8462422475847492</v>
      </c>
      <c r="AB126" s="21">
        <f>EXP(-LN(2)/2)*AB125+(1-EXP(-LN(2)/2))/(LN(2)/2)*V126*Y126*VLOOKUP('Données projet'!$B$9,Paramètres!$A$1:$I$89,3,0)*0.475*44/12</f>
        <v>1.1096789122296757E-13</v>
      </c>
      <c r="AC126" s="22">
        <f t="shared" si="57"/>
        <v>2.2851163033549415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-2.2737367544323206E-13</v>
      </c>
      <c r="AJ126" s="13">
        <f>AI126*VLOOKUP('Données projet'!$B$10,Paramètres!$A$1:$I$89,3,0)*VLOOKUP('Données projet'!$B$10,Paramètres!$A$1:$I$89,5,0)</f>
        <v>-1.2710188457276673E-13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365.13032894303285</v>
      </c>
      <c r="AO126" s="59">
        <f t="shared" si="90"/>
        <v>471.89239871617241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0.69830782165027461</v>
      </c>
      <c r="AV126" s="21">
        <f>EXP(-LN(2)/25)*AV125+(1-EXP(-LN(2)/25))/(LN(2)/25)*Calculateur!AQ126*Calculateur!AS126*VLOOKUP('Données projet'!$B$10,Paramètres!$A$1:$I$89,3,0)*0.475*44/12</f>
        <v>1.5785592451606532</v>
      </c>
      <c r="AW126" s="21">
        <f>EXP(-LN(2)/2)*AW125+(1-EXP(-LN(2)/2))/(LN(2)/2)*AQ126*AT126*VLOOKUP('Données projet'!$B$10,Paramètres!$A$1:$I$89,3,0)*0.475*44/12</f>
        <v>1.051142075792266E-13</v>
      </c>
      <c r="AX126" s="21">
        <f t="shared" si="60"/>
        <v>2.2768670668110329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-5.3205440053716299E-14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226.0452828290525</v>
      </c>
      <c r="T127" s="59">
        <f t="shared" si="88"/>
        <v>179.89696397462069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1.4106586131629455</v>
      </c>
      <c r="AA127" s="21">
        <f>EXP(-LN(2)/25)*AA126+(1-EXP(-LN(2)/25))/(LN(2)/25)*Calculateur!V127*Calculateur!X127*VLOOKUP('Données projet'!$B$9,Paramètres!$A$1:$I$89,3,0)*0.475*44/12</f>
        <v>0.82310170882259859</v>
      </c>
      <c r="AB127" s="21">
        <f>EXP(-LN(2)/2)*AB126+(1-EXP(-LN(2)/2))/(LN(2)/2)*V127*Y127*VLOOKUP('Données projet'!$B$9,Paramètres!$A$1:$I$89,3,0)*0.475*44/12</f>
        <v>7.8466148377731547E-14</v>
      </c>
      <c r="AC127" s="22">
        <f t="shared" si="57"/>
        <v>2.2337603219856228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-2.2737367544323206E-13</v>
      </c>
      <c r="AJ127" s="13">
        <f>AI127*VLOOKUP('Données projet'!$B$10,Paramètres!$A$1:$I$89,3,0)*VLOOKUP('Données projet'!$B$10,Paramètres!$A$1:$I$89,5,0)</f>
        <v>-1.2710188457276673E-13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365.13032894303285</v>
      </c>
      <c r="AO127" s="59">
        <f t="shared" si="90"/>
        <v>471.89239871617241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0.68461443119342724</v>
      </c>
      <c r="AV127" s="21">
        <f>EXP(-LN(2)/25)*AV126+(1-EXP(-LN(2)/25))/(LN(2)/25)*Calculateur!AQ127*Calculateur!AS127*VLOOKUP('Données projet'!$B$10,Paramètres!$A$1:$I$89,3,0)*0.475*44/12</f>
        <v>1.5353934595889123</v>
      </c>
      <c r="AW127" s="21">
        <f>EXP(-LN(2)/2)*AW126+(1-EXP(-LN(2)/2))/(LN(2)/2)*AQ127*AT127*VLOOKUP('Données projet'!$B$10,Paramètres!$A$1:$I$89,3,0)*0.475*44/12</f>
        <v>7.4326968978321516E-14</v>
      </c>
      <c r="AX127" s="21">
        <f t="shared" si="60"/>
        <v>2.2200078907824135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-5.3205440053716299E-14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226.0452828290525</v>
      </c>
      <c r="T128" s="59">
        <f t="shared" si="88"/>
        <v>179.89696397462069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1.3829964581756151</v>
      </c>
      <c r="AA128" s="21">
        <f>EXP(-LN(2)/25)*AA127+(1-EXP(-LN(2)/25))/(LN(2)/25)*Calculateur!V128*Calculateur!X128*VLOOKUP('Données projet'!$B$9,Paramètres!$A$1:$I$89,3,0)*0.475*44/12</f>
        <v>0.80059394930980698</v>
      </c>
      <c r="AB128" s="21">
        <f>EXP(-LN(2)/2)*AB127+(1-EXP(-LN(2)/2))/(LN(2)/2)*V128*Y128*VLOOKUP('Données projet'!$B$9,Paramètres!$A$1:$I$89,3,0)*0.475*44/12</f>
        <v>5.5483945611483799E-14</v>
      </c>
      <c r="AC128" s="22">
        <f t="shared" si="57"/>
        <v>2.1835904074854775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-2.2737367544323206E-13</v>
      </c>
      <c r="AJ128" s="13">
        <f>AI128*VLOOKUP('Données projet'!$B$10,Paramètres!$A$1:$I$89,3,0)*VLOOKUP('Données projet'!$B$10,Paramètres!$A$1:$I$89,5,0)</f>
        <v>-1.2710188457276673E-13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365.13032894303285</v>
      </c>
      <c r="AO128" s="59">
        <f t="shared" si="90"/>
        <v>471.89239871617241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0.67118955977129524</v>
      </c>
      <c r="AV128" s="21">
        <f>EXP(-LN(2)/25)*AV127+(1-EXP(-LN(2)/25))/(LN(2)/25)*Calculateur!AQ128*Calculateur!AS128*VLOOKUP('Données projet'!$B$10,Paramètres!$A$1:$I$89,3,0)*0.475*44/12</f>
        <v>1.4934080446936207</v>
      </c>
      <c r="AW128" s="21">
        <f>EXP(-LN(2)/2)*AW127+(1-EXP(-LN(2)/2))/(LN(2)/2)*AQ128*AT128*VLOOKUP('Données projet'!$B$10,Paramètres!$A$1:$I$89,3,0)*0.475*44/12</f>
        <v>5.2557103789613299E-14</v>
      </c>
      <c r="AX128" s="21">
        <f t="shared" si="60"/>
        <v>2.1645976044649684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-5.3205440053716299E-14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226.0452828290525</v>
      </c>
      <c r="T129" s="59">
        <f t="shared" si="88"/>
        <v>179.89696397462069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1.3558767411753376</v>
      </c>
      <c r="AA129" s="21">
        <f>EXP(-LN(2)/25)*AA128+(1-EXP(-LN(2)/25))/(LN(2)/25)*Calculateur!V129*Calculateur!X129*VLOOKUP('Données projet'!$B$9,Paramètres!$A$1:$I$89,3,0)*0.475*44/12</f>
        <v>0.77870166566452426</v>
      </c>
      <c r="AB129" s="21">
        <f>EXP(-LN(2)/2)*AB128+(1-EXP(-LN(2)/2))/(LN(2)/2)*V129*Y129*VLOOKUP('Données projet'!$B$9,Paramètres!$A$1:$I$89,3,0)*0.475*44/12</f>
        <v>3.923307418886578E-14</v>
      </c>
      <c r="AC129" s="22">
        <f t="shared" si="57"/>
        <v>2.1345784068399007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-2.2737367544323206E-13</v>
      </c>
      <c r="AJ129" s="13">
        <f>AI129*VLOOKUP('Données projet'!$B$10,Paramètres!$A$1:$I$89,3,0)*VLOOKUP('Données projet'!$B$10,Paramètres!$A$1:$I$89,5,0)</f>
        <v>-1.2710188457276673E-13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365.13032894303285</v>
      </c>
      <c r="AO129" s="59">
        <f t="shared" si="90"/>
        <v>471.89239871617241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0.65802794188938818</v>
      </c>
      <c r="AV129" s="21">
        <f>EXP(-LN(2)/25)*AV128+(1-EXP(-LN(2)/25))/(LN(2)/25)*Calculateur!AQ129*Calculateur!AS129*VLOOKUP('Données projet'!$B$10,Paramètres!$A$1:$I$89,3,0)*0.475*44/12</f>
        <v>1.4525707231765577</v>
      </c>
      <c r="AW129" s="21">
        <f>EXP(-LN(2)/2)*AW128+(1-EXP(-LN(2)/2))/(LN(2)/2)*AQ129*AT129*VLOOKUP('Données projet'!$B$10,Paramètres!$A$1:$I$89,3,0)*0.475*44/12</f>
        <v>3.7163484489160758E-14</v>
      </c>
      <c r="AX129" s="21">
        <f t="shared" si="60"/>
        <v>2.1105986650659831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-5.3205440053716299E-14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226.0452828290525</v>
      </c>
      <c r="T130" s="59">
        <f t="shared" si="88"/>
        <v>179.89696397462069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1.3292888252840416</v>
      </c>
      <c r="AA130" s="21">
        <f>EXP(-LN(2)/25)*AA129+(1-EXP(-LN(2)/25))/(LN(2)/25)*Calculateur!V130*Calculateur!X130*VLOOKUP('Données projet'!$B$9,Paramètres!$A$1:$I$89,3,0)*0.475*44/12</f>
        <v>0.75740802766678694</v>
      </c>
      <c r="AB130" s="21">
        <f>EXP(-LN(2)/2)*AB129+(1-EXP(-LN(2)/2))/(LN(2)/2)*V130*Y130*VLOOKUP('Données projet'!$B$9,Paramètres!$A$1:$I$89,3,0)*0.475*44/12</f>
        <v>2.7741972805741903E-14</v>
      </c>
      <c r="AC130" s="22">
        <f t="shared" si="57"/>
        <v>2.0866968529508561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-2.2737367544323206E-13</v>
      </c>
      <c r="AJ130" s="13">
        <f>AI130*VLOOKUP('Données projet'!$B$10,Paramètres!$A$1:$I$89,3,0)*VLOOKUP('Données projet'!$B$10,Paramètres!$A$1:$I$89,5,0)</f>
        <v>-1.2710188457276673E-13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365.13032894303285</v>
      </c>
      <c r="AO130" s="59">
        <f t="shared" si="90"/>
        <v>471.89239871617241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0.64512441530635112</v>
      </c>
      <c r="AV130" s="21">
        <f>EXP(-LN(2)/25)*AV129+(1-EXP(-LN(2)/25))/(LN(2)/25)*Calculateur!AQ130*Calculateur!AS130*VLOOKUP('Données projet'!$B$10,Paramètres!$A$1:$I$89,3,0)*0.475*44/12</f>
        <v>1.4128501003639202</v>
      </c>
      <c r="AW130" s="21">
        <f>EXP(-LN(2)/2)*AW129+(1-EXP(-LN(2)/2))/(LN(2)/2)*AQ130*AT130*VLOOKUP('Données projet'!$B$10,Paramètres!$A$1:$I$89,3,0)*0.475*44/12</f>
        <v>2.6278551894806649E-14</v>
      </c>
      <c r="AX130" s="21">
        <f t="shared" si="60"/>
        <v>2.0579745156702978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-5.3205440053716299E-14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226.0452828290525</v>
      </c>
      <c r="T131" s="59">
        <f t="shared" si="88"/>
        <v>179.89696397462069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1.3032222822063464</v>
      </c>
      <c r="AA131" s="21">
        <f>EXP(-LN(2)/25)*AA130+(1-EXP(-LN(2)/25))/(LN(2)/25)*Calculateur!V131*Calculateur!X131*VLOOKUP('Données projet'!$B$9,Paramètres!$A$1:$I$89,3,0)*0.475*44/12</f>
        <v>0.73669666531988154</v>
      </c>
      <c r="AB131" s="21">
        <f>EXP(-LN(2)/2)*AB130+(1-EXP(-LN(2)/2))/(LN(2)/2)*V131*Y131*VLOOKUP('Données projet'!$B$9,Paramètres!$A$1:$I$89,3,0)*0.475*44/12</f>
        <v>1.9616537094432893E-14</v>
      </c>
      <c r="AC131" s="22">
        <f t="shared" si="57"/>
        <v>2.0399189475262474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-2.2737367544323206E-13</v>
      </c>
      <c r="AJ131" s="13">
        <f>AI131*VLOOKUP('Données projet'!$B$10,Paramètres!$A$1:$I$89,3,0)*VLOOKUP('Données projet'!$B$10,Paramètres!$A$1:$I$89,5,0)</f>
        <v>-1.2710188457276673E-13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365.13032894303285</v>
      </c>
      <c r="AO131" s="59">
        <f t="shared" si="90"/>
        <v>471.89239871617241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0.63247391900923333</v>
      </c>
      <c r="AV131" s="21">
        <f>EXP(-LN(2)/25)*AV130+(1-EXP(-LN(2)/25))/(LN(2)/25)*Calculateur!AQ131*Calculateur!AS131*VLOOKUP('Données projet'!$B$10,Paramètres!$A$1:$I$89,3,0)*0.475*44/12</f>
        <v>1.3742156400709111</v>
      </c>
      <c r="AW131" s="21">
        <f>EXP(-LN(2)/2)*AW130+(1-EXP(-LN(2)/2))/(LN(2)/2)*AQ131*AT131*VLOOKUP('Données projet'!$B$10,Paramètres!$A$1:$I$89,3,0)*0.475*44/12</f>
        <v>1.8581742244580379E-14</v>
      </c>
      <c r="AX131" s="21">
        <f t="shared" si="60"/>
        <v>2.0066895590801632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-5.3205440053716299E-14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226.0452828290525</v>
      </c>
      <c r="T132" s="59">
        <f t="shared" si="88"/>
        <v>179.89696397462069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1.2776668881393836</v>
      </c>
      <c r="AA132" s="21">
        <f>EXP(-LN(2)/25)*AA131+(1-EXP(-LN(2)/25))/(LN(2)/25)*Calculateur!V132*Calculateur!X132*VLOOKUP('Données projet'!$B$9,Paramètres!$A$1:$I$89,3,0)*0.475*44/12</f>
        <v>0.71655165626551554</v>
      </c>
      <c r="AB132" s="21">
        <f>EXP(-LN(2)/2)*AB131+(1-EXP(-LN(2)/2))/(LN(2)/2)*V132*Y132*VLOOKUP('Données projet'!$B$9,Paramètres!$A$1:$I$89,3,0)*0.475*44/12</f>
        <v>1.3870986402870953E-14</v>
      </c>
      <c r="AC132" s="22">
        <f t="shared" ref="AC132:AC153" si="111">SUM(Z132:AB132)</f>
        <v>1.9942185444049128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-2.2737367544323206E-13</v>
      </c>
      <c r="AJ132" s="13">
        <f>AI132*VLOOKUP('Données projet'!$B$10,Paramètres!$A$1:$I$89,3,0)*VLOOKUP('Données projet'!$B$10,Paramètres!$A$1:$I$89,5,0)</f>
        <v>-1.2710188457276673E-13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365.13032894303285</v>
      </c>
      <c r="AO132" s="59">
        <f t="shared" si="90"/>
        <v>471.89239871617241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0.62007149122846117</v>
      </c>
      <c r="AV132" s="21">
        <f>EXP(-LN(2)/25)*AV131+(1-EXP(-LN(2)/25))/(LN(2)/25)*Calculateur!AQ132*Calculateur!AS132*VLOOKUP('Données projet'!$B$10,Paramètres!$A$1:$I$89,3,0)*0.475*44/12</f>
        <v>1.3366376411263123</v>
      </c>
      <c r="AW132" s="21">
        <f>EXP(-LN(2)/2)*AW131+(1-EXP(-LN(2)/2))/(LN(2)/2)*AQ132*AT132*VLOOKUP('Données projet'!$B$10,Paramètres!$A$1:$I$89,3,0)*0.475*44/12</f>
        <v>1.3139275947403325E-14</v>
      </c>
      <c r="AX132" s="21">
        <f t="shared" ref="AX132:AX153" si="114">SUM(AU132:AW132)</f>
        <v>1.9567091323547865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-5.3205440053716299E-14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226.0452828290525</v>
      </c>
      <c r="T133" s="59">
        <f t="shared" ref="T133:T196" si="142">$T$3</f>
        <v>179.89696397462069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1.2526126197628225</v>
      </c>
      <c r="AA133" s="21">
        <f>EXP(-LN(2)/25)*AA132+(1-EXP(-LN(2)/25))/(LN(2)/25)*Calculateur!V133*Calculateur!X133*VLOOKUP('Données projet'!$B$9,Paramètres!$A$1:$I$89,3,0)*0.475*44/12</f>
        <v>0.69695751354312108</v>
      </c>
      <c r="AB133" s="21">
        <f>EXP(-LN(2)/2)*AB132+(1-EXP(-LN(2)/2))/(LN(2)/2)*V133*Y133*VLOOKUP('Données projet'!$B$9,Paramètres!$A$1:$I$89,3,0)*0.475*44/12</f>
        <v>9.8082685472164481E-15</v>
      </c>
      <c r="AC133" s="22">
        <f t="shared" si="111"/>
        <v>1.9495701333059534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-2.2737367544323206E-13</v>
      </c>
      <c r="AJ133" s="13">
        <f>AI133*VLOOKUP('Données projet'!$B$10,Paramètres!$A$1:$I$89,3,0)*VLOOKUP('Données projet'!$B$10,Paramètres!$A$1:$I$89,5,0)</f>
        <v>-1.2710188457276673E-13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365.13032894303285</v>
      </c>
      <c r="AO133" s="59">
        <f t="shared" ref="AO133:AO196" si="144">$AO$3</f>
        <v>471.89239871617241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0.60791226749173588</v>
      </c>
      <c r="AV133" s="21">
        <f>EXP(-LN(2)/25)*AV132+(1-EXP(-LN(2)/25))/(LN(2)/25)*Calculateur!AQ133*Calculateur!AS133*VLOOKUP('Données projet'!$B$10,Paramètres!$A$1:$I$89,3,0)*0.475*44/12</f>
        <v>1.3000872145389948</v>
      </c>
      <c r="AW133" s="21">
        <f>EXP(-LN(2)/2)*AW132+(1-EXP(-LN(2)/2))/(LN(2)/2)*AQ133*AT133*VLOOKUP('Données projet'!$B$10,Paramètres!$A$1:$I$89,3,0)*0.475*44/12</f>
        <v>9.2908711222901895E-15</v>
      </c>
      <c r="AX133" s="21">
        <f t="shared" si="114"/>
        <v>1.90799948203074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-5.3205440053716299E-14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226.0452828290525</v>
      </c>
      <c r="T134" s="59">
        <f t="shared" si="142"/>
        <v>179.89696397462069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1.2280496503075311</v>
      </c>
      <c r="AA134" s="21">
        <f>EXP(-LN(2)/25)*AA133+(1-EXP(-LN(2)/25))/(LN(2)/25)*Calculateur!V134*Calculateur!X134*VLOOKUP('Données projet'!$B$9,Paramètres!$A$1:$I$89,3,0)*0.475*44/12</f>
        <v>0.67789917368388175</v>
      </c>
      <c r="AB134" s="21">
        <f>EXP(-LN(2)/2)*AB133+(1-EXP(-LN(2)/2))/(LN(2)/2)*V134*Y134*VLOOKUP('Données projet'!$B$9,Paramètres!$A$1:$I$89,3,0)*0.475*44/12</f>
        <v>6.935493201435478E-15</v>
      </c>
      <c r="AC134" s="22">
        <f t="shared" si="111"/>
        <v>1.9059488239914197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-2.2737367544323206E-13</v>
      </c>
      <c r="AJ134" s="13">
        <f>AI134*VLOOKUP('Données projet'!$B$10,Paramètres!$A$1:$I$89,3,0)*VLOOKUP('Données projet'!$B$10,Paramètres!$A$1:$I$89,5,0)</f>
        <v>-1.2710188457276673E-13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365.13032894303285</v>
      </c>
      <c r="AO134" s="59">
        <f t="shared" si="144"/>
        <v>471.89239871617241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0.5959914787160937</v>
      </c>
      <c r="AV134" s="21">
        <f>EXP(-LN(2)/25)*AV133+(1-EXP(-LN(2)/25))/(LN(2)/25)*Calculateur!AQ134*Calculateur!AS134*VLOOKUP('Données projet'!$B$10,Paramètres!$A$1:$I$89,3,0)*0.475*44/12</f>
        <v>1.2645362612888107</v>
      </c>
      <c r="AW134" s="21">
        <f>EXP(-LN(2)/2)*AW133+(1-EXP(-LN(2)/2))/(LN(2)/2)*AQ134*AT134*VLOOKUP('Données projet'!$B$10,Paramètres!$A$1:$I$89,3,0)*0.475*44/12</f>
        <v>6.5696379737016623E-15</v>
      </c>
      <c r="AX134" s="21">
        <f t="shared" si="114"/>
        <v>1.8605277400049109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-5.3205440053716299E-14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226.0452828290525</v>
      </c>
      <c r="T135" s="59">
        <f t="shared" si="142"/>
        <v>179.89696397462069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1.2039683457013259</v>
      </c>
      <c r="AA135" s="21">
        <f>EXP(-LN(2)/25)*AA134+(1-EXP(-LN(2)/25))/(LN(2)/25)*Calculateur!V135*Calculateur!X135*VLOOKUP('Données projet'!$B$9,Paramètres!$A$1:$I$89,3,0)*0.475*44/12</f>
        <v>0.65936198513032784</v>
      </c>
      <c r="AB135" s="21">
        <f>EXP(-LN(2)/2)*AB134+(1-EXP(-LN(2)/2))/(LN(2)/2)*V135*Y135*VLOOKUP('Données projet'!$B$9,Paramètres!$A$1:$I$89,3,0)*0.475*44/12</f>
        <v>4.9041342736082248E-15</v>
      </c>
      <c r="AC135" s="22">
        <f t="shared" si="111"/>
        <v>1.8633303308316587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-2.2737367544323206E-13</v>
      </c>
      <c r="AJ135" s="13">
        <f>AI135*VLOOKUP('Données projet'!$B$10,Paramètres!$A$1:$I$89,3,0)*VLOOKUP('Données projet'!$B$10,Paramètres!$A$1:$I$89,5,0)</f>
        <v>-1.2710188457276673E-13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365.13032894303285</v>
      </c>
      <c r="AO135" s="59">
        <f t="shared" si="144"/>
        <v>471.89239871617241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0.58430444933737857</v>
      </c>
      <c r="AV135" s="21">
        <f>EXP(-LN(2)/25)*AV134+(1-EXP(-LN(2)/25))/(LN(2)/25)*Calculateur!AQ135*Calculateur!AS135*VLOOKUP('Données projet'!$B$10,Paramètres!$A$1:$I$89,3,0)*0.475*44/12</f>
        <v>1.2299574507247963</v>
      </c>
      <c r="AW135" s="21">
        <f>EXP(-LN(2)/2)*AW134+(1-EXP(-LN(2)/2))/(LN(2)/2)*AQ135*AT135*VLOOKUP('Données projet'!$B$10,Paramètres!$A$1:$I$89,3,0)*0.475*44/12</f>
        <v>4.6454355611450947E-15</v>
      </c>
      <c r="AX135" s="21">
        <f t="shared" si="114"/>
        <v>1.8142619000621796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-5.3205440053716299E-14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226.0452828290525</v>
      </c>
      <c r="T136" s="59">
        <f t="shared" si="142"/>
        <v>179.89696397462069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1.1803592607903028</v>
      </c>
      <c r="AA136" s="21">
        <f>EXP(-LN(2)/25)*AA135+(1-EXP(-LN(2)/25))/(LN(2)/25)*Calculateur!V136*Calculateur!X136*VLOOKUP('Données projet'!$B$9,Paramètres!$A$1:$I$89,3,0)*0.475*44/12</f>
        <v>0.64133169697259917</v>
      </c>
      <c r="AB136" s="21">
        <f>EXP(-LN(2)/2)*AB135+(1-EXP(-LN(2)/2))/(LN(2)/2)*V136*Y136*VLOOKUP('Données projet'!$B$9,Paramètres!$A$1:$I$89,3,0)*0.475*44/12</f>
        <v>3.4677466007177394E-15</v>
      </c>
      <c r="AC136" s="22">
        <f t="shared" si="111"/>
        <v>1.8216909577629057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-2.2737367544323206E-13</v>
      </c>
      <c r="AJ136" s="13">
        <f>AI136*VLOOKUP('Données projet'!$B$10,Paramètres!$A$1:$I$89,3,0)*VLOOKUP('Données projet'!$B$10,Paramètres!$A$1:$I$89,5,0)</f>
        <v>-1.2710188457276673E-13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365.13032894303285</v>
      </c>
      <c r="AO136" s="59">
        <f t="shared" si="144"/>
        <v>471.89239871617241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0.57284659547639605</v>
      </c>
      <c r="AV136" s="21">
        <f>EXP(-LN(2)/25)*AV135+(1-EXP(-LN(2)/25))/(LN(2)/25)*Calculateur!AQ136*Calculateur!AS136*VLOOKUP('Données projet'!$B$10,Paramètres!$A$1:$I$89,3,0)*0.475*44/12</f>
        <v>1.1963241995540757</v>
      </c>
      <c r="AW136" s="21">
        <f>EXP(-LN(2)/2)*AW135+(1-EXP(-LN(2)/2))/(LN(2)/2)*AQ136*AT136*VLOOKUP('Données projet'!$B$10,Paramètres!$A$1:$I$89,3,0)*0.475*44/12</f>
        <v>3.2848189868508312E-15</v>
      </c>
      <c r="AX136" s="21">
        <f t="shared" si="114"/>
        <v>1.7691707950304749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-5.3205440053716299E-14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226.0452828290525</v>
      </c>
      <c r="T137" s="59">
        <f t="shared" si="142"/>
        <v>179.89696397462069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1.1572131356342652</v>
      </c>
      <c r="AA137" s="21">
        <f>EXP(-LN(2)/25)*AA136+(1-EXP(-LN(2)/25))/(LN(2)/25)*Calculateur!V137*Calculateur!X137*VLOOKUP('Données projet'!$B$9,Paramètres!$A$1:$I$89,3,0)*0.475*44/12</f>
        <v>0.62379444799271533</v>
      </c>
      <c r="AB137" s="21">
        <f>EXP(-LN(2)/2)*AB136+(1-EXP(-LN(2)/2))/(LN(2)/2)*V137*Y137*VLOOKUP('Données projet'!$B$9,Paramètres!$A$1:$I$89,3,0)*0.475*44/12</f>
        <v>2.4520671368041128E-15</v>
      </c>
      <c r="AC137" s="22">
        <f t="shared" si="111"/>
        <v>1.781007583626983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-2.2737367544323206E-13</v>
      </c>
      <c r="AJ137" s="13">
        <f>AI137*VLOOKUP('Données projet'!$B$10,Paramètres!$A$1:$I$89,3,0)*VLOOKUP('Données projet'!$B$10,Paramètres!$A$1:$I$89,5,0)</f>
        <v>-1.2710188457276673E-13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365.13032894303285</v>
      </c>
      <c r="AO137" s="59">
        <f t="shared" si="144"/>
        <v>471.89239871617241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0.56161342314102658</v>
      </c>
      <c r="AV137" s="21">
        <f>EXP(-LN(2)/25)*AV136+(1-EXP(-LN(2)/25))/(LN(2)/25)*Calculateur!AQ137*Calculateur!AS137*VLOOKUP('Données projet'!$B$10,Paramètres!$A$1:$I$89,3,0)*0.475*44/12</f>
        <v>1.1636106514053139</v>
      </c>
      <c r="AW137" s="21">
        <f>EXP(-LN(2)/2)*AW136+(1-EXP(-LN(2)/2))/(LN(2)/2)*AQ137*AT137*VLOOKUP('Données projet'!$B$10,Paramètres!$A$1:$I$89,3,0)*0.475*44/12</f>
        <v>2.3227177805725474E-15</v>
      </c>
      <c r="AX137" s="21">
        <f t="shared" si="114"/>
        <v>1.7252240745463427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-5.3205440053716299E-14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226.0452828290525</v>
      </c>
      <c r="T138" s="59">
        <f t="shared" si="142"/>
        <v>179.89696397462069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1.1345208918747951</v>
      </c>
      <c r="AA138" s="21">
        <f>EXP(-LN(2)/25)*AA137+(1-EXP(-LN(2)/25))/(LN(2)/25)*Calculateur!V138*Calculateur!X138*VLOOKUP('Données projet'!$B$9,Paramètres!$A$1:$I$89,3,0)*0.475*44/12</f>
        <v>0.60673675600843024</v>
      </c>
      <c r="AB138" s="21">
        <f>EXP(-LN(2)/2)*AB137+(1-EXP(-LN(2)/2))/(LN(2)/2)*V138*Y138*VLOOKUP('Données projet'!$B$9,Paramètres!$A$1:$I$89,3,0)*0.475*44/12</f>
        <v>1.7338733003588701E-15</v>
      </c>
      <c r="AC138" s="22">
        <f t="shared" si="111"/>
        <v>1.7412576478832271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-2.2737367544323206E-13</v>
      </c>
      <c r="AJ138" s="13">
        <f>AI138*VLOOKUP('Données projet'!$B$10,Paramètres!$A$1:$I$89,3,0)*VLOOKUP('Données projet'!$B$10,Paramètres!$A$1:$I$89,5,0)</f>
        <v>-1.2710188457276673E-13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365.13032894303285</v>
      </c>
      <c r="AO138" s="59">
        <f t="shared" si="144"/>
        <v>471.89239871617241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0.55060052646359514</v>
      </c>
      <c r="AV138" s="21">
        <f>EXP(-LN(2)/25)*AV137+(1-EXP(-LN(2)/25))/(LN(2)/25)*Calculateur!AQ138*Calculateur!AS138*VLOOKUP('Données projet'!$B$10,Paramètres!$A$1:$I$89,3,0)*0.475*44/12</f>
        <v>1.1317916569510109</v>
      </c>
      <c r="AW138" s="21">
        <f>EXP(-LN(2)/2)*AW137+(1-EXP(-LN(2)/2))/(LN(2)/2)*AQ138*AT138*VLOOKUP('Données projet'!$B$10,Paramètres!$A$1:$I$89,3,0)*0.475*44/12</f>
        <v>1.6424094934254156E-15</v>
      </c>
      <c r="AX138" s="21">
        <f t="shared" si="114"/>
        <v>1.6823921834146076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-5.3205440053716299E-14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226.0452828290525</v>
      </c>
      <c r="T139" s="59">
        <f t="shared" si="142"/>
        <v>179.89696397462069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1.1122736291745461</v>
      </c>
      <c r="AA139" s="21">
        <f>EXP(-LN(2)/25)*AA138+(1-EXP(-LN(2)/25))/(LN(2)/25)*Calculateur!V139*Calculateur!X139*VLOOKUP('Données projet'!$B$9,Paramètres!$A$1:$I$89,3,0)*0.475*44/12</f>
        <v>0.59014550750848038</v>
      </c>
      <c r="AB139" s="21">
        <f>EXP(-LN(2)/2)*AB138+(1-EXP(-LN(2)/2))/(LN(2)/2)*V139*Y139*VLOOKUP('Données projet'!$B$9,Paramètres!$A$1:$I$89,3,0)*0.475*44/12</f>
        <v>1.2260335684020566E-15</v>
      </c>
      <c r="AC139" s="22">
        <f t="shared" si="111"/>
        <v>1.7024191366830279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-2.2737367544323206E-13</v>
      </c>
      <c r="AJ139" s="13">
        <f>AI139*VLOOKUP('Données projet'!$B$10,Paramètres!$A$1:$I$89,3,0)*VLOOKUP('Données projet'!$B$10,Paramètres!$A$1:$I$89,5,0)</f>
        <v>-1.2710188457276673E-13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365.13032894303285</v>
      </c>
      <c r="AO139" s="59">
        <f t="shared" si="144"/>
        <v>471.89239871617241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0.53980358597280442</v>
      </c>
      <c r="AV139" s="21">
        <f>EXP(-LN(2)/25)*AV138+(1-EXP(-LN(2)/25))/(LN(2)/25)*Calculateur!AQ139*Calculateur!AS139*VLOOKUP('Données projet'!$B$10,Paramètres!$A$1:$I$89,3,0)*0.475*44/12</f>
        <v>1.100842754573349</v>
      </c>
      <c r="AW139" s="21">
        <f>EXP(-LN(2)/2)*AW138+(1-EXP(-LN(2)/2))/(LN(2)/2)*AQ139*AT139*VLOOKUP('Données projet'!$B$10,Paramètres!$A$1:$I$89,3,0)*0.475*44/12</f>
        <v>1.1613588902862737E-15</v>
      </c>
      <c r="AX139" s="21">
        <f t="shared" si="114"/>
        <v>1.6406463405461544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-5.3205440053716299E-14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226.0452828290525</v>
      </c>
      <c r="T140" s="59">
        <f t="shared" si="142"/>
        <v>179.89696397462069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1.0904626217263587</v>
      </c>
      <c r="AA140" s="21">
        <f>EXP(-LN(2)/25)*AA139+(1-EXP(-LN(2)/25))/(LN(2)/25)*Calculateur!V140*Calculateur!X140*VLOOKUP('Données projet'!$B$9,Paramètres!$A$1:$I$89,3,0)*0.475*44/12</f>
        <v>0.5740079475712575</v>
      </c>
      <c r="AB140" s="21">
        <f>EXP(-LN(2)/2)*AB139+(1-EXP(-LN(2)/2))/(LN(2)/2)*V140*Y140*VLOOKUP('Données projet'!$B$9,Paramètres!$A$1:$I$89,3,0)*0.475*44/12</f>
        <v>8.6693665017943514E-16</v>
      </c>
      <c r="AC140" s="22">
        <f t="shared" si="111"/>
        <v>1.6644705692976172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-2.2737367544323206E-13</v>
      </c>
      <c r="AJ140" s="13">
        <f>AI140*VLOOKUP('Données projet'!$B$10,Paramètres!$A$1:$I$89,3,0)*VLOOKUP('Données projet'!$B$10,Paramètres!$A$1:$I$89,5,0)</f>
        <v>-1.2710188457276673E-13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365.13032894303285</v>
      </c>
      <c r="AO140" s="59">
        <f t="shared" si="144"/>
        <v>471.89239871617241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0.5292183668995547</v>
      </c>
      <c r="AV140" s="21">
        <f>EXP(-LN(2)/25)*AV139+(1-EXP(-LN(2)/25))/(LN(2)/25)*Calculateur!AQ140*Calculateur!AS140*VLOOKUP('Données projet'!$B$10,Paramètres!$A$1:$I$89,3,0)*0.475*44/12</f>
        <v>1.0707401515587363</v>
      </c>
      <c r="AW140" s="21">
        <f>EXP(-LN(2)/2)*AW139+(1-EXP(-LN(2)/2))/(LN(2)/2)*AQ140*AT140*VLOOKUP('Données projet'!$B$10,Paramètres!$A$1:$I$89,3,0)*0.475*44/12</f>
        <v>8.2120474671270779E-16</v>
      </c>
      <c r="AX140" s="21">
        <f t="shared" si="114"/>
        <v>1.5999585184582918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-5.3205440053716299E-14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226.0452828290525</v>
      </c>
      <c r="T141" s="59">
        <f t="shared" si="142"/>
        <v>179.89696397462069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1.0690793148308293</v>
      </c>
      <c r="AA141" s="21">
        <f>EXP(-LN(2)/25)*AA140+(1-EXP(-LN(2)/25))/(LN(2)/25)*Calculateur!V141*Calculateur!X141*VLOOKUP('Données projet'!$B$9,Paramètres!$A$1:$I$89,3,0)*0.475*44/12</f>
        <v>0.55831167005915538</v>
      </c>
      <c r="AB141" s="21">
        <f>EXP(-LN(2)/2)*AB140+(1-EXP(-LN(2)/2))/(LN(2)/2)*V141*Y141*VLOOKUP('Données projet'!$B$9,Paramètres!$A$1:$I$89,3,0)*0.475*44/12</f>
        <v>6.130167842010284E-16</v>
      </c>
      <c r="AC141" s="22">
        <f t="shared" si="111"/>
        <v>1.6273909848899855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-2.2737367544323206E-13</v>
      </c>
      <c r="AJ141" s="13">
        <f>AI141*VLOOKUP('Données projet'!$B$10,Paramètres!$A$1:$I$89,3,0)*VLOOKUP('Données projet'!$B$10,Paramètres!$A$1:$I$89,5,0)</f>
        <v>-1.2710188457276673E-13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365.13032894303285</v>
      </c>
      <c r="AO141" s="59">
        <f t="shared" si="144"/>
        <v>471.89239871617241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0.51884071751598526</v>
      </c>
      <c r="AV141" s="21">
        <f>EXP(-LN(2)/25)*AV140+(1-EXP(-LN(2)/25))/(LN(2)/25)*Calculateur!AQ141*Calculateur!AS141*VLOOKUP('Données projet'!$B$10,Paramètres!$A$1:$I$89,3,0)*0.475*44/12</f>
        <v>1.0414607058065852</v>
      </c>
      <c r="AW141" s="21">
        <f>EXP(-LN(2)/2)*AW140+(1-EXP(-LN(2)/2))/(LN(2)/2)*AQ141*AT141*VLOOKUP('Données projet'!$B$10,Paramètres!$A$1:$I$89,3,0)*0.475*44/12</f>
        <v>5.8067944514313684E-16</v>
      </c>
      <c r="AX141" s="21">
        <f t="shared" si="114"/>
        <v>1.5603014233225712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-5.3205440053716299E-14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226.0452828290525</v>
      </c>
      <c r="T142" s="59">
        <f t="shared" si="142"/>
        <v>179.89696397462069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1.0481153215409917</v>
      </c>
      <c r="AA142" s="21">
        <f>EXP(-LN(2)/25)*AA141+(1-EXP(-LN(2)/25))/(LN(2)/25)*Calculateur!V142*Calculateur!X142*VLOOKUP('Données projet'!$B$9,Paramètres!$A$1:$I$89,3,0)*0.475*44/12</f>
        <v>0.54304460808105304</v>
      </c>
      <c r="AB142" s="21">
        <f>EXP(-LN(2)/2)*AB141+(1-EXP(-LN(2)/2))/(LN(2)/2)*V142*Y142*VLOOKUP('Données projet'!$B$9,Paramètres!$A$1:$I$89,3,0)*0.475*44/12</f>
        <v>4.3346832508971762E-16</v>
      </c>
      <c r="AC142" s="22">
        <f t="shared" si="111"/>
        <v>1.5911599296220453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-2.2737367544323206E-13</v>
      </c>
      <c r="AJ142" s="13">
        <f>AI142*VLOOKUP('Données projet'!$B$10,Paramètres!$A$1:$I$89,3,0)*VLOOKUP('Données projet'!$B$10,Paramètres!$A$1:$I$89,5,0)</f>
        <v>-1.2710188457276673E-13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365.13032894303285</v>
      </c>
      <c r="AO142" s="59">
        <f t="shared" si="144"/>
        <v>471.89239871617241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0.5086665675070865</v>
      </c>
      <c r="AV142" s="21">
        <f>EXP(-LN(2)/25)*AV141+(1-EXP(-LN(2)/25))/(LN(2)/25)*Calculateur!AQ142*Calculateur!AS142*VLOOKUP('Données projet'!$B$10,Paramètres!$A$1:$I$89,3,0)*0.475*44/12</f>
        <v>1.0129819080382658</v>
      </c>
      <c r="AW142" s="21">
        <f>EXP(-LN(2)/2)*AW141+(1-EXP(-LN(2)/2))/(LN(2)/2)*AQ142*AT142*VLOOKUP('Données projet'!$B$10,Paramètres!$A$1:$I$89,3,0)*0.475*44/12</f>
        <v>4.1060237335635389E-16</v>
      </c>
      <c r="AX142" s="21">
        <f t="shared" si="114"/>
        <v>1.5216484755453528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-5.3205440053716299E-14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226.0452828290525</v>
      </c>
      <c r="T143" s="59">
        <f t="shared" si="142"/>
        <v>179.89696397462069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1.0275624193727946</v>
      </c>
      <c r="AA143" s="21">
        <f>EXP(-LN(2)/25)*AA142+(1-EXP(-LN(2)/25))/(LN(2)/25)*Calculateur!V143*Calculateur!X143*VLOOKUP('Données projet'!$B$9,Paramètres!$A$1:$I$89,3,0)*0.475*44/12</f>
        <v>0.52819502471560187</v>
      </c>
      <c r="AB143" s="21">
        <f>EXP(-LN(2)/2)*AB142+(1-EXP(-LN(2)/2))/(LN(2)/2)*V143*Y143*VLOOKUP('Données projet'!$B$9,Paramètres!$A$1:$I$89,3,0)*0.475*44/12</f>
        <v>3.0650839210051425E-16</v>
      </c>
      <c r="AC143" s="22">
        <f t="shared" si="111"/>
        <v>1.5557574440883968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-2.2737367544323206E-13</v>
      </c>
      <c r="AJ143" s="13">
        <f>AI143*VLOOKUP('Données projet'!$B$10,Paramètres!$A$1:$I$89,3,0)*VLOOKUP('Données projet'!$B$10,Paramètres!$A$1:$I$89,5,0)</f>
        <v>-1.2710188457276673E-13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365.13032894303285</v>
      </c>
      <c r="AO143" s="59">
        <f t="shared" si="144"/>
        <v>471.89239871617241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0.49869192637424348</v>
      </c>
      <c r="AV143" s="21">
        <f>EXP(-LN(2)/25)*AV142+(1-EXP(-LN(2)/25))/(LN(2)/25)*Calculateur!AQ143*Calculateur!AS143*VLOOKUP('Données projet'!$B$10,Paramètres!$A$1:$I$89,3,0)*0.475*44/12</f>
        <v>0.98528186449255606</v>
      </c>
      <c r="AW143" s="21">
        <f>EXP(-LN(2)/2)*AW142+(1-EXP(-LN(2)/2))/(LN(2)/2)*AQ143*AT143*VLOOKUP('Données projet'!$B$10,Paramètres!$A$1:$I$89,3,0)*0.475*44/12</f>
        <v>2.9033972257156842E-16</v>
      </c>
      <c r="AX143" s="21">
        <f t="shared" si="114"/>
        <v>1.4839737908667998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-5.3205440053716299E-14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226.0452828290525</v>
      </c>
      <c r="T144" s="59">
        <f t="shared" si="142"/>
        <v>179.89696397462069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1.0074125470800834</v>
      </c>
      <c r="AA144" s="21">
        <f>EXP(-LN(2)/25)*AA143+(1-EXP(-LN(2)/25))/(LN(2)/25)*Calculateur!V144*Calculateur!X144*VLOOKUP('Données projet'!$B$9,Paramètres!$A$1:$I$89,3,0)*0.475*44/12</f>
        <v>0.51375150398818459</v>
      </c>
      <c r="AB144" s="21">
        <f>EXP(-LN(2)/2)*AB143+(1-EXP(-LN(2)/2))/(LN(2)/2)*V144*Y144*VLOOKUP('Données projet'!$B$9,Paramètres!$A$1:$I$89,3,0)*0.475*44/12</f>
        <v>2.1673416254485886E-16</v>
      </c>
      <c r="AC144" s="22">
        <f t="shared" si="111"/>
        <v>1.5211640510682682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-2.2737367544323206E-13</v>
      </c>
      <c r="AJ144" s="13">
        <f>AI144*VLOOKUP('Données projet'!$B$10,Paramètres!$A$1:$I$89,3,0)*VLOOKUP('Données projet'!$B$10,Paramètres!$A$1:$I$89,5,0)</f>
        <v>-1.2710188457276673E-13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365.13032894303285</v>
      </c>
      <c r="AO144" s="59">
        <f t="shared" si="144"/>
        <v>471.89239871617241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0.48891288187008514</v>
      </c>
      <c r="AV144" s="21">
        <f>EXP(-LN(2)/25)*AV143+(1-EXP(-LN(2)/25))/(LN(2)/25)*Calculateur!AQ144*Calculateur!AS144*VLOOKUP('Données projet'!$B$10,Paramètres!$A$1:$I$89,3,0)*0.475*44/12</f>
        <v>0.95833928009428571</v>
      </c>
      <c r="AW144" s="21">
        <f>EXP(-LN(2)/2)*AW143+(1-EXP(-LN(2)/2))/(LN(2)/2)*AQ144*AT144*VLOOKUP('Données projet'!$B$10,Paramètres!$A$1:$I$89,3,0)*0.475*44/12</f>
        <v>2.0530118667817695E-16</v>
      </c>
      <c r="AX144" s="21">
        <f t="shared" si="114"/>
        <v>1.447252161964371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-5.3205440053716299E-14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226.0452828290525</v>
      </c>
      <c r="T145" s="59">
        <f t="shared" si="142"/>
        <v>179.89696397462069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0.98765780149282378</v>
      </c>
      <c r="AA145" s="21">
        <f>EXP(-LN(2)/25)*AA144+(1-EXP(-LN(2)/25))/(LN(2)/25)*Calculateur!V145*Calculateur!X145*VLOOKUP('Données projet'!$B$9,Paramètres!$A$1:$I$89,3,0)*0.475*44/12</f>
        <v>0.4997029420946103</v>
      </c>
      <c r="AB145" s="21">
        <f>EXP(-LN(2)/2)*AB144+(1-EXP(-LN(2)/2))/(LN(2)/2)*V145*Y145*VLOOKUP('Données projet'!$B$9,Paramètres!$A$1:$I$89,3,0)*0.475*44/12</f>
        <v>1.5325419605025715E-16</v>
      </c>
      <c r="AC145" s="22">
        <f t="shared" si="111"/>
        <v>1.4873607435874343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-2.2737367544323206E-13</v>
      </c>
      <c r="AJ145" s="13">
        <f>AI145*VLOOKUP('Données projet'!$B$10,Paramètres!$A$1:$I$89,3,0)*VLOOKUP('Données projet'!$B$10,Paramètres!$A$1:$I$89,5,0)</f>
        <v>-1.2710188457276673E-13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365.13032894303285</v>
      </c>
      <c r="AO145" s="59">
        <f t="shared" si="144"/>
        <v>471.89239871617241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0.47932559846402517</v>
      </c>
      <c r="AV145" s="21">
        <f>EXP(-LN(2)/25)*AV144+(1-EXP(-LN(2)/25))/(LN(2)/25)*Calculateur!AQ145*Calculateur!AS145*VLOOKUP('Données projet'!$B$10,Paramètres!$A$1:$I$89,3,0)*0.475*44/12</f>
        <v>0.93213344208323501</v>
      </c>
      <c r="AW145" s="21">
        <f>EXP(-LN(2)/2)*AW144+(1-EXP(-LN(2)/2))/(LN(2)/2)*AQ145*AT145*VLOOKUP('Données projet'!$B$10,Paramètres!$A$1:$I$89,3,0)*0.475*44/12</f>
        <v>1.4516986128578421E-16</v>
      </c>
      <c r="AX145" s="21">
        <f t="shared" si="114"/>
        <v>1.4114590405472605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-5.3205440053716299E-14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226.0452828290525</v>
      </c>
      <c r="T146" s="59">
        <f t="shared" si="142"/>
        <v>179.89696397462069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0.96829043441732521</v>
      </c>
      <c r="AA146" s="21">
        <f>EXP(-LN(2)/25)*AA145+(1-EXP(-LN(2)/25))/(LN(2)/25)*Calculateur!V146*Calculateur!X146*VLOOKUP('Données projet'!$B$9,Paramètres!$A$1:$I$89,3,0)*0.475*44/12</f>
        <v>0.48603853886479753</v>
      </c>
      <c r="AB146" s="21">
        <f>EXP(-LN(2)/2)*AB145+(1-EXP(-LN(2)/2))/(LN(2)/2)*V146*Y146*VLOOKUP('Données projet'!$B$9,Paramètres!$A$1:$I$89,3,0)*0.475*44/12</f>
        <v>1.0836708127242944E-16</v>
      </c>
      <c r="AC146" s="22">
        <f t="shared" si="111"/>
        <v>1.4543289732821227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-2.2737367544323206E-13</v>
      </c>
      <c r="AJ146" s="13">
        <f>AI146*VLOOKUP('Données projet'!$B$10,Paramètres!$A$1:$I$89,3,0)*VLOOKUP('Données projet'!$B$10,Paramètres!$A$1:$I$89,5,0)</f>
        <v>-1.2710188457276673E-13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365.13032894303285</v>
      </c>
      <c r="AO146" s="59">
        <f t="shared" si="144"/>
        <v>471.89239871617241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0.46992631583789257</v>
      </c>
      <c r="AV146" s="21">
        <f>EXP(-LN(2)/25)*AV145+(1-EXP(-LN(2)/25))/(LN(2)/25)*Calculateur!AQ146*Calculateur!AS146*VLOOKUP('Données projet'!$B$10,Paramètres!$A$1:$I$89,3,0)*0.475*44/12</f>
        <v>0.90664420409070168</v>
      </c>
      <c r="AW146" s="21">
        <f>EXP(-LN(2)/2)*AW145+(1-EXP(-LN(2)/2))/(LN(2)/2)*AQ146*AT146*VLOOKUP('Données projet'!$B$10,Paramètres!$A$1:$I$89,3,0)*0.475*44/12</f>
        <v>1.0265059333908847E-16</v>
      </c>
      <c r="AX146" s="21">
        <f t="shared" si="114"/>
        <v>1.3765705199285942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-5.3205440053716299E-14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226.0452828290525</v>
      </c>
      <c r="T147" s="59">
        <f t="shared" si="142"/>
        <v>179.89696397462069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0.94930284959724964</v>
      </c>
      <c r="AA147" s="21">
        <f>EXP(-LN(2)/25)*AA146+(1-EXP(-LN(2)/25))/(LN(2)/25)*Calculateur!V147*Calculateur!X147*VLOOKUP('Données projet'!$B$9,Paramètres!$A$1:$I$89,3,0)*0.475*44/12</f>
        <v>0.47274778945988372</v>
      </c>
      <c r="AB147" s="21">
        <f>EXP(-LN(2)/2)*AB146+(1-EXP(-LN(2)/2))/(LN(2)/2)*V147*Y147*VLOOKUP('Données projet'!$B$9,Paramètres!$A$1:$I$89,3,0)*0.475*44/12</f>
        <v>7.6627098025128587E-17</v>
      </c>
      <c r="AC147" s="22">
        <f t="shared" si="111"/>
        <v>1.4220506390571335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-2.2737367544323206E-13</v>
      </c>
      <c r="AJ147" s="13">
        <f>AI147*VLOOKUP('Données projet'!$B$10,Paramètres!$A$1:$I$89,3,0)*VLOOKUP('Données projet'!$B$10,Paramètres!$A$1:$I$89,5,0)</f>
        <v>-1.2710188457276673E-13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365.13032894303285</v>
      </c>
      <c r="AO147" s="59">
        <f t="shared" si="144"/>
        <v>471.89239871617241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0.46071134741106212</v>
      </c>
      <c r="AV147" s="21">
        <f>EXP(-LN(2)/25)*AV146+(1-EXP(-LN(2)/25))/(LN(2)/25)*Calculateur!AQ147*Calculateur!AS147*VLOOKUP('Données projet'!$B$10,Paramètres!$A$1:$I$89,3,0)*0.475*44/12</f>
        <v>0.8818519706514949</v>
      </c>
      <c r="AW147" s="21">
        <f>EXP(-LN(2)/2)*AW146+(1-EXP(-LN(2)/2))/(LN(2)/2)*AQ147*AT147*VLOOKUP('Données projet'!$B$10,Paramètres!$A$1:$I$89,3,0)*0.475*44/12</f>
        <v>7.2584930642892105E-17</v>
      </c>
      <c r="AX147" s="21">
        <f t="shared" si="114"/>
        <v>1.3425633180625569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-5.3205440053716299E-14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226.0452828290525</v>
      </c>
      <c r="T148" s="59">
        <f t="shared" si="142"/>
        <v>179.89696397462069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0.93068759973421256</v>
      </c>
      <c r="AA148" s="21">
        <f>EXP(-LN(2)/25)*AA147+(1-EXP(-LN(2)/25))/(LN(2)/25)*Calculateur!V148*Calculateur!X148*VLOOKUP('Données projet'!$B$9,Paramètres!$A$1:$I$89,3,0)*0.475*44/12</f>
        <v>0.4598204762963774</v>
      </c>
      <c r="AB148" s="21">
        <f>EXP(-LN(2)/2)*AB147+(1-EXP(-LN(2)/2))/(LN(2)/2)*V148*Y148*VLOOKUP('Données projet'!$B$9,Paramètres!$A$1:$I$89,3,0)*0.475*44/12</f>
        <v>5.4183540636214733E-17</v>
      </c>
      <c r="AC148" s="22">
        <f t="shared" si="111"/>
        <v>1.3905080760305899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-2.2737367544323206E-13</v>
      </c>
      <c r="AJ148" s="13">
        <f>AI148*VLOOKUP('Données projet'!$B$10,Paramètres!$A$1:$I$89,3,0)*VLOOKUP('Données projet'!$B$10,Paramètres!$A$1:$I$89,5,0)</f>
        <v>-1.2710188457276673E-13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365.13032894303285</v>
      </c>
      <c r="AO148" s="59">
        <f t="shared" si="144"/>
        <v>471.89239871617241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0.45167707889450603</v>
      </c>
      <c r="AV148" s="21">
        <f>EXP(-LN(2)/25)*AV147+(1-EXP(-LN(2)/25))/(LN(2)/25)*Calculateur!AQ148*Calculateur!AS148*VLOOKUP('Données projet'!$B$10,Paramètres!$A$1:$I$89,3,0)*0.475*44/12</f>
        <v>0.85773768213945012</v>
      </c>
      <c r="AW148" s="21">
        <f>EXP(-LN(2)/2)*AW147+(1-EXP(-LN(2)/2))/(LN(2)/2)*AQ148*AT148*VLOOKUP('Données projet'!$B$10,Paramètres!$A$1:$I$89,3,0)*0.475*44/12</f>
        <v>5.1325296669544237E-17</v>
      </c>
      <c r="AX148" s="21">
        <f t="shared" si="114"/>
        <v>1.3094147610339562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-5.3205440053716299E-14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226.0452828290525</v>
      </c>
      <c r="T149" s="59">
        <f t="shared" si="142"/>
        <v>179.89696397462069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0.91243738356680837</v>
      </c>
      <c r="AA149" s="21">
        <f>EXP(-LN(2)/25)*AA148+(1-EXP(-LN(2)/25))/(LN(2)/25)*Calculateur!V149*Calculateur!X149*VLOOKUP('Données projet'!$B$9,Paramètres!$A$1:$I$89,3,0)*0.475*44/12</f>
        <v>0.44724666119114503</v>
      </c>
      <c r="AB149" s="21">
        <f>EXP(-LN(2)/2)*AB148+(1-EXP(-LN(2)/2))/(LN(2)/2)*V149*Y149*VLOOKUP('Données projet'!$B$9,Paramètres!$A$1:$I$89,3,0)*0.475*44/12</f>
        <v>3.83135490125643E-17</v>
      </c>
      <c r="AC149" s="22">
        <f t="shared" si="111"/>
        <v>1.3596840447579535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-2.2737367544323206E-13</v>
      </c>
      <c r="AJ149" s="13">
        <f>AI149*VLOOKUP('Données projet'!$B$10,Paramètres!$A$1:$I$89,3,0)*VLOOKUP('Données projet'!$B$10,Paramètres!$A$1:$I$89,5,0)</f>
        <v>-1.2710188457276673E-13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365.13032894303285</v>
      </c>
      <c r="AO149" s="59">
        <f t="shared" si="144"/>
        <v>471.89239871617241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0.44281996687319997</v>
      </c>
      <c r="AV149" s="21">
        <f>EXP(-LN(2)/25)*AV148+(1-EXP(-LN(2)/25))/(LN(2)/25)*Calculateur!AQ149*Calculateur!AS149*VLOOKUP('Données projet'!$B$10,Paramètres!$A$1:$I$89,3,0)*0.475*44/12</f>
        <v>0.83428280011488254</v>
      </c>
      <c r="AW149" s="21">
        <f>EXP(-LN(2)/2)*AW148+(1-EXP(-LN(2)/2))/(LN(2)/2)*AQ149*AT149*VLOOKUP('Données projet'!$B$10,Paramètres!$A$1:$I$89,3,0)*0.475*44/12</f>
        <v>3.6292465321446053E-17</v>
      </c>
      <c r="AX149" s="21">
        <f t="shared" si="114"/>
        <v>1.2771027669880826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-5.3205440053716299E-14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226.0452828290525</v>
      </c>
      <c r="T150" s="59">
        <f t="shared" si="142"/>
        <v>179.89696397462069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0.89454504300691429</v>
      </c>
      <c r="AA150" s="21">
        <f>EXP(-LN(2)/25)*AA149+(1-EXP(-LN(2)/25))/(LN(2)/25)*Calculateur!V150*Calculateur!X150*VLOOKUP('Données projet'!$B$9,Paramètres!$A$1:$I$89,3,0)*0.475*44/12</f>
        <v>0.43501667772119346</v>
      </c>
      <c r="AB150" s="21">
        <f>EXP(-LN(2)/2)*AB149+(1-EXP(-LN(2)/2))/(LN(2)/2)*V150*Y150*VLOOKUP('Données projet'!$B$9,Paramètres!$A$1:$I$89,3,0)*0.475*44/12</f>
        <v>2.709177031810737E-17</v>
      </c>
      <c r="AC150" s="22">
        <f t="shared" si="111"/>
        <v>1.3295617207281079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-2.2737367544323206E-13</v>
      </c>
      <c r="AJ150" s="13">
        <f>AI150*VLOOKUP('Données projet'!$B$10,Paramètres!$A$1:$I$89,3,0)*VLOOKUP('Données projet'!$B$10,Paramètres!$A$1:$I$89,5,0)</f>
        <v>-1.2710188457276673E-13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365.13032894303285</v>
      </c>
      <c r="AO150" s="59">
        <f t="shared" si="144"/>
        <v>471.89239871617241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0.4341365374163268</v>
      </c>
      <c r="AV150" s="21">
        <f>EXP(-LN(2)/25)*AV149+(1-EXP(-LN(2)/25))/(LN(2)/25)*Calculateur!AQ150*Calculateur!AS150*VLOOKUP('Données projet'!$B$10,Paramètres!$A$1:$I$89,3,0)*0.475*44/12</f>
        <v>0.81146929307271543</v>
      </c>
      <c r="AW150" s="21">
        <f>EXP(-LN(2)/2)*AW149+(1-EXP(-LN(2)/2))/(LN(2)/2)*AQ150*AT150*VLOOKUP('Données projet'!$B$10,Paramètres!$A$1:$I$89,3,0)*0.475*44/12</f>
        <v>2.5662648334772118E-17</v>
      </c>
      <c r="AX150" s="21">
        <f t="shared" si="114"/>
        <v>1.2456058304890423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-5.3205440053716299E-14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226.0452828290525</v>
      </c>
      <c r="T151" s="59">
        <f t="shared" si="142"/>
        <v>179.89696397462069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0.87700356033214955</v>
      </c>
      <c r="AA151" s="21">
        <f>EXP(-LN(2)/25)*AA150+(1-EXP(-LN(2)/25))/(LN(2)/25)*Calculateur!V151*Calculateur!X151*VLOOKUP('Données projet'!$B$9,Paramètres!$A$1:$I$89,3,0)*0.475*44/12</f>
        <v>0.4231211237923746</v>
      </c>
      <c r="AB151" s="21">
        <f>EXP(-LN(2)/2)*AB150+(1-EXP(-LN(2)/2))/(LN(2)/2)*V151*Y151*VLOOKUP('Données projet'!$B$9,Paramètres!$A$1:$I$89,3,0)*0.475*44/12</f>
        <v>1.9156774506282153E-17</v>
      </c>
      <c r="AC151" s="22">
        <f t="shared" si="111"/>
        <v>1.3001246841245242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-2.2737367544323206E-13</v>
      </c>
      <c r="AJ151" s="13">
        <f>AI151*VLOOKUP('Données projet'!$B$10,Paramètres!$A$1:$I$89,3,0)*VLOOKUP('Données projet'!$B$10,Paramètres!$A$1:$I$89,5,0)</f>
        <v>-1.2710188457276673E-13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365.13032894303285</v>
      </c>
      <c r="AO151" s="59">
        <f t="shared" si="144"/>
        <v>471.89239871617241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0.42562338471473393</v>
      </c>
      <c r="AV151" s="21">
        <f>EXP(-LN(2)/25)*AV150+(1-EXP(-LN(2)/25))/(LN(2)/25)*Calculateur!AQ151*Calculateur!AS151*VLOOKUP('Données projet'!$B$10,Paramètres!$A$1:$I$89,3,0)*0.475*44/12</f>
        <v>0.78927962258032658</v>
      </c>
      <c r="AW151" s="21">
        <f>EXP(-LN(2)/2)*AW150+(1-EXP(-LN(2)/2))/(LN(2)/2)*AQ151*AT151*VLOOKUP('Données projet'!$B$10,Paramètres!$A$1:$I$89,3,0)*0.475*44/12</f>
        <v>1.8146232660723026E-17</v>
      </c>
      <c r="AX151" s="21">
        <f t="shared" si="114"/>
        <v>1.2149030072950606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-5.3205440053716299E-14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226.0452828290525</v>
      </c>
      <c r="T152" s="59">
        <f t="shared" si="142"/>
        <v>179.89696397462069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0.85980605543338895</v>
      </c>
      <c r="AA152" s="21">
        <f>EXP(-LN(2)/25)*AA151+(1-EXP(-LN(2)/25))/(LN(2)/25)*Calculateur!V152*Calculateur!X152*VLOOKUP('Données projet'!$B$9,Paramètres!$A$1:$I$89,3,0)*0.475*44/12</f>
        <v>0.41155085441129929</v>
      </c>
      <c r="AB152" s="21">
        <f>EXP(-LN(2)/2)*AB151+(1-EXP(-LN(2)/2))/(LN(2)/2)*V152*Y152*VLOOKUP('Données projet'!$B$9,Paramètres!$A$1:$I$89,3,0)*0.475*44/12</f>
        <v>1.3545885159053686E-17</v>
      </c>
      <c r="AC152" s="22">
        <f t="shared" si="111"/>
        <v>1.2713569098446882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-2.2737367544323206E-13</v>
      </c>
      <c r="AJ152" s="13">
        <f>AI152*VLOOKUP('Données projet'!$B$10,Paramètres!$A$1:$I$89,3,0)*VLOOKUP('Données projet'!$B$10,Paramètres!$A$1:$I$89,5,0)</f>
        <v>-1.2710188457276673E-13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365.13032894303285</v>
      </c>
      <c r="AO152" s="59">
        <f t="shared" si="144"/>
        <v>471.89239871617241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0.41727716974510887</v>
      </c>
      <c r="AV152" s="21">
        <f>EXP(-LN(2)/25)*AV151+(1-EXP(-LN(2)/25))/(LN(2)/25)*Calculateur!AQ152*Calculateur!AS152*VLOOKUP('Données projet'!$B$10,Paramètres!$A$1:$I$89,3,0)*0.475*44/12</f>
        <v>0.76769672979445613</v>
      </c>
      <c r="AW152" s="21">
        <f>EXP(-LN(2)/2)*AW151+(1-EXP(-LN(2)/2))/(LN(2)/2)*AQ152*AT152*VLOOKUP('Données projet'!$B$10,Paramètres!$A$1:$I$89,3,0)*0.475*44/12</f>
        <v>1.2831324167386059E-17</v>
      </c>
      <c r="AX152" s="21">
        <f t="shared" si="114"/>
        <v>1.1849738995395649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-5.3205440053716299E-14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226.0452828290525</v>
      </c>
      <c r="T153" s="59">
        <f t="shared" si="142"/>
        <v>179.89696397462069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0.8429457831162509</v>
      </c>
      <c r="AA153" s="21">
        <f>EXP(-LN(2)/25)*AA152+(1-EXP(-LN(2)/25))/(LN(2)/25)*Calculateur!V153*Calculateur!X153*VLOOKUP('Données projet'!$B$9,Paramètres!$A$1:$I$89,3,0)*0.475*44/12</f>
        <v>0.40029697465490349</v>
      </c>
      <c r="AB153" s="21">
        <f>EXP(-LN(2)/2)*AB152+(1-EXP(-LN(2)/2))/(LN(2)/2)*V153*Y153*VLOOKUP('Données projet'!$B$9,Paramètres!$A$1:$I$89,3,0)*0.475*44/12</f>
        <v>9.578387253141078E-18</v>
      </c>
      <c r="AC153" s="22">
        <f t="shared" si="111"/>
        <v>1.2432427577711544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-2.2737367544323206E-13</v>
      </c>
      <c r="AJ153" s="13">
        <f>AI153*VLOOKUP('Données projet'!$B$10,Paramètres!$A$1:$I$89,3,0)*VLOOKUP('Données projet'!$B$10,Paramètres!$A$1:$I$89,5,0)</f>
        <v>-1.2710188457276673E-13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365.13032894303285</v>
      </c>
      <c r="AO153" s="59">
        <f t="shared" si="144"/>
        <v>471.89239871617241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0.40909461896034965</v>
      </c>
      <c r="AV153" s="21">
        <f>EXP(-LN(2)/25)*AV152+(1-EXP(-LN(2)/25))/(LN(2)/25)*Calculateur!AQ153*Calculateur!AS153*VLOOKUP('Données projet'!$B$10,Paramètres!$A$1:$I$89,3,0)*0.475*44/12</f>
        <v>0.74670402234681033</v>
      </c>
      <c r="AW153" s="21">
        <f>EXP(-LN(2)/2)*AW152+(1-EXP(-LN(2)/2))/(LN(2)/2)*AQ153*AT153*VLOOKUP('Données projet'!$B$10,Paramètres!$A$1:$I$89,3,0)*0.475*44/12</f>
        <v>9.0731163303615131E-18</v>
      </c>
      <c r="AX153" s="21">
        <f t="shared" si="114"/>
        <v>1.1557986413071599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-5.3205440053716299E-14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226.0452828290525</v>
      </c>
      <c r="T154" s="59">
        <f t="shared" si="142"/>
        <v>179.89696397462069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0.82641613045550122</v>
      </c>
      <c r="AA154" s="21">
        <f>EXP(-LN(2)/25)*AA153+(1-EXP(-LN(2)/25))/(LN(2)/25)*Calculateur!V154*Calculateur!X154*VLOOKUP('Données projet'!$B$9,Paramètres!$A$1:$I$89,3,0)*0.475*44/12</f>
        <v>0.38935083283226213</v>
      </c>
      <c r="AB154" s="21">
        <f>EXP(-LN(2)/2)*AB153+(1-EXP(-LN(2)/2))/(LN(2)/2)*V154*Y154*VLOOKUP('Données projet'!$B$9,Paramètres!$A$1:$I$89,3,0)*0.475*44/12</f>
        <v>6.7729425795268448E-18</v>
      </c>
      <c r="AC154" s="22">
        <f t="shared" ref="AC154:AC203" si="163">SUM(Z154:AB154)</f>
        <v>1.2157669632877632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-2.2737367544323206E-13</v>
      </c>
      <c r="AJ154" s="13">
        <f>AI154*VLOOKUP('Données projet'!$B$10,Paramètres!$A$1:$I$89,3,0)*VLOOKUP('Données projet'!$B$10,Paramètres!$A$1:$I$89,5,0)</f>
        <v>-1.2710188457276673E-13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365.13032894303285</v>
      </c>
      <c r="AO154" s="59">
        <f t="shared" si="144"/>
        <v>471.89239871617241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0.40107252300561641</v>
      </c>
      <c r="AV154" s="21">
        <f>EXP(-LN(2)/25)*AV153+(1-EXP(-LN(2)/25))/(LN(2)/25)*Calculateur!AQ154*Calculateur!AS154*VLOOKUP('Données projet'!$B$10,Paramètres!$A$1:$I$89,3,0)*0.475*44/12</f>
        <v>0.72628536158827883</v>
      </c>
      <c r="AW154" s="21">
        <f>EXP(-LN(2)/2)*AW153+(1-EXP(-LN(2)/2))/(LN(2)/2)*AQ154*AT154*VLOOKUP('Données projet'!$B$10,Paramètres!$A$1:$I$89,3,0)*0.475*44/12</f>
        <v>6.4156620836930296E-18</v>
      </c>
      <c r="AX154" s="21">
        <f t="shared" ref="AX154:AX203" si="166">SUM(AU154:AW154)</f>
        <v>1.1273578845938952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-5.3205440053716299E-14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226.0452828290525</v>
      </c>
      <c r="T155" s="59">
        <f t="shared" si="142"/>
        <v>179.89696397462069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0.81021061420133622</v>
      </c>
      <c r="AA155" s="21">
        <f>EXP(-LN(2)/25)*AA154+(1-EXP(-LN(2)/25))/(LN(2)/25)*Calculateur!V155*Calculateur!X155*VLOOKUP('Données projet'!$B$9,Paramètres!$A$1:$I$89,3,0)*0.475*44/12</f>
        <v>0.37870401383339347</v>
      </c>
      <c r="AB155" s="21">
        <f>EXP(-LN(2)/2)*AB154+(1-EXP(-LN(2)/2))/(LN(2)/2)*V155*Y155*VLOOKUP('Données projet'!$B$9,Paramètres!$A$1:$I$89,3,0)*0.475*44/12</f>
        <v>4.7891936265705398E-18</v>
      </c>
      <c r="AC155" s="22">
        <f t="shared" si="163"/>
        <v>1.1889146280347296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-2.2737367544323206E-13</v>
      </c>
      <c r="AJ155" s="13">
        <f>AI155*VLOOKUP('Données projet'!$B$10,Paramètres!$A$1:$I$89,3,0)*VLOOKUP('Données projet'!$B$10,Paramètres!$A$1:$I$89,5,0)</f>
        <v>-1.2710188457276673E-13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365.13032894303285</v>
      </c>
      <c r="AO155" s="59">
        <f t="shared" si="144"/>
        <v>471.89239871617241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0.39320773545956011</v>
      </c>
      <c r="AV155" s="21">
        <f>EXP(-LN(2)/25)*AV154+(1-EXP(-LN(2)/25))/(LN(2)/25)*Calculateur!AQ155*Calculateur!AS155*VLOOKUP('Données projet'!$B$10,Paramètres!$A$1:$I$89,3,0)*0.475*44/12</f>
        <v>0.70642505018196011</v>
      </c>
      <c r="AW155" s="21">
        <f>EXP(-LN(2)/2)*AW154+(1-EXP(-LN(2)/2))/(LN(2)/2)*AQ155*AT155*VLOOKUP('Données projet'!$B$10,Paramètres!$A$1:$I$89,3,0)*0.475*44/12</f>
        <v>4.5365581651807566E-18</v>
      </c>
      <c r="AX155" s="21">
        <f t="shared" si="166"/>
        <v>1.0996327856415202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-5.3205440053716299E-14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226.0452828290525</v>
      </c>
      <c r="T156" s="59">
        <f t="shared" si="142"/>
        <v>179.89696397462069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0.79432287823652648</v>
      </c>
      <c r="AA156" s="21">
        <f>EXP(-LN(2)/25)*AA155+(1-EXP(-LN(2)/25))/(LN(2)/25)*Calculateur!V156*Calculateur!X156*VLOOKUP('Données projet'!$B$9,Paramètres!$A$1:$I$89,3,0)*0.475*44/12</f>
        <v>0.36834833265994077</v>
      </c>
      <c r="AB156" s="21">
        <f>EXP(-LN(2)/2)*AB155+(1-EXP(-LN(2)/2))/(LN(2)/2)*V156*Y156*VLOOKUP('Données projet'!$B$9,Paramètres!$A$1:$I$89,3,0)*0.475*44/12</f>
        <v>3.3864712897634228E-18</v>
      </c>
      <c r="AC156" s="22">
        <f t="shared" si="163"/>
        <v>1.1626712108964672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-2.2737367544323206E-13</v>
      </c>
      <c r="AJ156" s="13">
        <f>AI156*VLOOKUP('Données projet'!$B$10,Paramètres!$A$1:$I$89,3,0)*VLOOKUP('Données projet'!$B$10,Paramètres!$A$1:$I$89,5,0)</f>
        <v>-1.2710188457276673E-13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365.13032894303285</v>
      </c>
      <c r="AO156" s="59">
        <f t="shared" si="144"/>
        <v>471.89239871617241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0.38549717160023522</v>
      </c>
      <c r="AV156" s="21">
        <f>EXP(-LN(2)/25)*AV155+(1-EXP(-LN(2)/25))/(LN(2)/25)*Calculateur!AQ156*Calculateur!AS156*VLOOKUP('Données projet'!$B$10,Paramètres!$A$1:$I$89,3,0)*0.475*44/12</f>
        <v>0.68710782003545556</v>
      </c>
      <c r="AW156" s="21">
        <f>EXP(-LN(2)/2)*AW155+(1-EXP(-LN(2)/2))/(LN(2)/2)*AQ156*AT156*VLOOKUP('Données projet'!$B$10,Paramètres!$A$1:$I$89,3,0)*0.475*44/12</f>
        <v>3.2078310418465148E-18</v>
      </c>
      <c r="AX156" s="21">
        <f t="shared" si="166"/>
        <v>1.0726049916356908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-5.3205440053716299E-14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226.0452828290525</v>
      </c>
      <c r="T157" s="59">
        <f t="shared" si="142"/>
        <v>179.89696397462069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0.77874669108342454</v>
      </c>
      <c r="AA157" s="21">
        <f>EXP(-LN(2)/25)*AA156+(1-EXP(-LN(2)/25))/(LN(2)/25)*Calculateur!V157*Calculateur!X157*VLOOKUP('Données projet'!$B$9,Paramètres!$A$1:$I$89,3,0)*0.475*44/12</f>
        <v>0.35827582813275777</v>
      </c>
      <c r="AB157" s="21">
        <f>EXP(-LN(2)/2)*AB156+(1-EXP(-LN(2)/2))/(LN(2)/2)*V157*Y157*VLOOKUP('Données projet'!$B$9,Paramètres!$A$1:$I$89,3,0)*0.475*44/12</f>
        <v>2.3945968132852703E-18</v>
      </c>
      <c r="AC157" s="22">
        <f t="shared" si="163"/>
        <v>1.1370225192161822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-2.2737367544323206E-13</v>
      </c>
      <c r="AJ157" s="13">
        <f>AI157*VLOOKUP('Données projet'!$B$10,Paramètres!$A$1:$I$89,3,0)*VLOOKUP('Données projet'!$B$10,Paramètres!$A$1:$I$89,5,0)</f>
        <v>-1.2710188457276673E-13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365.13032894303285</v>
      </c>
      <c r="AO157" s="59">
        <f t="shared" si="144"/>
        <v>471.89239871617241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0.37793780719521214</v>
      </c>
      <c r="AV157" s="21">
        <f>EXP(-LN(2)/25)*AV156+(1-EXP(-LN(2)/25))/(LN(2)/25)*Calculateur!AQ157*Calculateur!AS157*VLOOKUP('Données projet'!$B$10,Paramètres!$A$1:$I$89,3,0)*0.475*44/12</f>
        <v>0.66831882056315617</v>
      </c>
      <c r="AW157" s="21">
        <f>EXP(-LN(2)/2)*AW156+(1-EXP(-LN(2)/2))/(LN(2)/2)*AQ157*AT157*VLOOKUP('Données projet'!$B$10,Paramètres!$A$1:$I$89,3,0)*0.475*44/12</f>
        <v>2.2682790825903783E-18</v>
      </c>
      <c r="AX157" s="21">
        <f t="shared" si="166"/>
        <v>1.0462566277583683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-5.3205440053716299E-14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226.0452828290525</v>
      </c>
      <c r="T158" s="59">
        <f t="shared" si="142"/>
        <v>179.89696397462069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0.76347594345985892</v>
      </c>
      <c r="AA158" s="21">
        <f>EXP(-LN(2)/25)*AA157+(1-EXP(-LN(2)/25))/(LN(2)/25)*Calculateur!V158*Calculateur!X158*VLOOKUP('Données projet'!$B$9,Paramètres!$A$1:$I$89,3,0)*0.475*44/12</f>
        <v>0.34847875677156054</v>
      </c>
      <c r="AB158" s="21">
        <f>EXP(-LN(2)/2)*AB157+(1-EXP(-LN(2)/2))/(LN(2)/2)*V158*Y158*VLOOKUP('Données projet'!$B$9,Paramètres!$A$1:$I$89,3,0)*0.475*44/12</f>
        <v>1.6932356448817118E-18</v>
      </c>
      <c r="AC158" s="22">
        <f t="shared" si="163"/>
        <v>1.1119547002314194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-2.2737367544323206E-13</v>
      </c>
      <c r="AJ158" s="13">
        <f>AI158*VLOOKUP('Données projet'!$B$10,Paramètres!$A$1:$I$89,3,0)*VLOOKUP('Données projet'!$B$10,Paramètres!$A$1:$I$89,5,0)</f>
        <v>-1.2710188457276673E-13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365.13032894303285</v>
      </c>
      <c r="AO158" s="59">
        <f t="shared" si="144"/>
        <v>471.89239871617241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0.37052667731541455</v>
      </c>
      <c r="AV158" s="21">
        <f>EXP(-LN(2)/25)*AV157+(1-EXP(-LN(2)/25))/(LN(2)/25)*Calculateur!AQ158*Calculateur!AS158*VLOOKUP('Données projet'!$B$10,Paramètres!$A$1:$I$89,3,0)*0.475*44/12</f>
        <v>0.65004360726949739</v>
      </c>
      <c r="AW158" s="21">
        <f>EXP(-LN(2)/2)*AW157+(1-EXP(-LN(2)/2))/(LN(2)/2)*AQ158*AT158*VLOOKUP('Données projet'!$B$10,Paramètres!$A$1:$I$89,3,0)*0.475*44/12</f>
        <v>1.6039155209232574E-18</v>
      </c>
      <c r="AX158" s="21">
        <f t="shared" si="166"/>
        <v>1.0205702845849118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-5.3205440053716299E-14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226.0452828290525</v>
      </c>
      <c r="T159" s="59">
        <f t="shared" si="142"/>
        <v>179.89696397462069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0.74850464588295507</v>
      </c>
      <c r="AA159" s="21">
        <f>EXP(-LN(2)/25)*AA158+(1-EXP(-LN(2)/25))/(LN(2)/25)*Calculateur!V159*Calculateur!X159*VLOOKUP('Données projet'!$B$9,Paramètres!$A$1:$I$89,3,0)*0.475*44/12</f>
        <v>0.33894958684194088</v>
      </c>
      <c r="AB159" s="21">
        <f>EXP(-LN(2)/2)*AB158+(1-EXP(-LN(2)/2))/(LN(2)/2)*V159*Y159*VLOOKUP('Données projet'!$B$9,Paramètres!$A$1:$I$89,3,0)*0.475*44/12</f>
        <v>1.1972984066426353E-18</v>
      </c>
      <c r="AC159" s="22">
        <f t="shared" si="163"/>
        <v>1.0874542327248959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-2.2737367544323206E-13</v>
      </c>
      <c r="AJ159" s="13">
        <f>AI159*VLOOKUP('Données projet'!$B$10,Paramètres!$A$1:$I$89,3,0)*VLOOKUP('Données projet'!$B$10,Paramètres!$A$1:$I$89,5,0)</f>
        <v>-1.2710188457276673E-13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365.13032894303285</v>
      </c>
      <c r="AO159" s="59">
        <f t="shared" si="144"/>
        <v>471.89239871617241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0.36326087517221689</v>
      </c>
      <c r="AV159" s="21">
        <f>EXP(-LN(2)/25)*AV158+(1-EXP(-LN(2)/25))/(LN(2)/25)*Calculateur!AQ159*Calculateur!AS159*VLOOKUP('Données projet'!$B$10,Paramètres!$A$1:$I$89,3,0)*0.475*44/12</f>
        <v>0.63226813064440535</v>
      </c>
      <c r="AW159" s="21">
        <f>EXP(-LN(2)/2)*AW158+(1-EXP(-LN(2)/2))/(LN(2)/2)*AQ159*AT159*VLOOKUP('Données projet'!$B$10,Paramètres!$A$1:$I$89,3,0)*0.475*44/12</f>
        <v>1.1341395412951891E-18</v>
      </c>
      <c r="AX159" s="21">
        <f t="shared" si="166"/>
        <v>0.99552900581662218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-5.3205440053716299E-14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226.0452828290525</v>
      </c>
      <c r="T160" s="59">
        <f t="shared" si="142"/>
        <v>179.89696397462069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0.73382692631994451</v>
      </c>
      <c r="AA160" s="21">
        <f>EXP(-LN(2)/25)*AA159+(1-EXP(-LN(2)/25))/(LN(2)/25)*Calculateur!V160*Calculateur!X160*VLOOKUP('Données projet'!$B$9,Paramètres!$A$1:$I$89,3,0)*0.475*44/12</f>
        <v>0.32968099256516392</v>
      </c>
      <c r="AB160" s="21">
        <f>EXP(-LN(2)/2)*AB159+(1-EXP(-LN(2)/2))/(LN(2)/2)*V160*Y160*VLOOKUP('Données projet'!$B$9,Paramètres!$A$1:$I$89,3,0)*0.475*44/12</f>
        <v>8.4661782244085598E-19</v>
      </c>
      <c r="AC160" s="22">
        <f t="shared" si="163"/>
        <v>1.0635079188851084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-2.2737367544323206E-13</v>
      </c>
      <c r="AJ160" s="13">
        <f>AI160*VLOOKUP('Données projet'!$B$10,Paramètres!$A$1:$I$89,3,0)*VLOOKUP('Données projet'!$B$10,Paramètres!$A$1:$I$89,5,0)</f>
        <v>-1.2710188457276673E-13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365.13032894303285</v>
      </c>
      <c r="AO160" s="59">
        <f t="shared" si="144"/>
        <v>471.89239871617241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0.35613755097734562</v>
      </c>
      <c r="AV160" s="21">
        <f>EXP(-LN(2)/25)*AV159+(1-EXP(-LN(2)/25))/(LN(2)/25)*Calculateur!AQ160*Calculateur!AS160*VLOOKUP('Données projet'!$B$10,Paramètres!$A$1:$I$89,3,0)*0.475*44/12</f>
        <v>0.61497872536239817</v>
      </c>
      <c r="AW160" s="21">
        <f>EXP(-LN(2)/2)*AW159+(1-EXP(-LN(2)/2))/(LN(2)/2)*AQ160*AT160*VLOOKUP('Données projet'!$B$10,Paramètres!$A$1:$I$89,3,0)*0.475*44/12</f>
        <v>8.019577604616287E-19</v>
      </c>
      <c r="AX160" s="21">
        <f t="shared" si="166"/>
        <v>0.97111627633974384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-5.3205440053716299E-14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226.0452828290525</v>
      </c>
      <c r="T161" s="59">
        <f t="shared" si="142"/>
        <v>179.89696397462069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0.7194370278850396</v>
      </c>
      <c r="AA161" s="21">
        <f>EXP(-LN(2)/25)*AA160+(1-EXP(-LN(2)/25))/(LN(2)/25)*Calculateur!V161*Calculateur!X161*VLOOKUP('Données projet'!$B$9,Paramètres!$A$1:$I$89,3,0)*0.475*44/12</f>
        <v>0.32066584848629959</v>
      </c>
      <c r="AB161" s="21">
        <f>EXP(-LN(2)/2)*AB160+(1-EXP(-LN(2)/2))/(LN(2)/2)*V161*Y161*VLOOKUP('Données projet'!$B$9,Paramètres!$A$1:$I$89,3,0)*0.475*44/12</f>
        <v>5.9864920332131776E-19</v>
      </c>
      <c r="AC161" s="22">
        <f t="shared" si="163"/>
        <v>1.0401028763713391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-2.2737367544323206E-13</v>
      </c>
      <c r="AJ161" s="13">
        <f>AI161*VLOOKUP('Données projet'!$B$10,Paramètres!$A$1:$I$89,3,0)*VLOOKUP('Données projet'!$B$10,Paramètres!$A$1:$I$89,5,0)</f>
        <v>-1.2710188457276673E-13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365.13032894303285</v>
      </c>
      <c r="AO161" s="59">
        <f t="shared" si="144"/>
        <v>471.89239871617241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0.34915391082513703</v>
      </c>
      <c r="AV161" s="21">
        <f>EXP(-LN(2)/25)*AV160+(1-EXP(-LN(2)/25))/(LN(2)/25)*Calculateur!AQ161*Calculateur!AS161*VLOOKUP('Données projet'!$B$10,Paramètres!$A$1:$I$89,3,0)*0.475*44/12</f>
        <v>0.59816209977703783</v>
      </c>
      <c r="AW161" s="21">
        <f>EXP(-LN(2)/2)*AW160+(1-EXP(-LN(2)/2))/(LN(2)/2)*AQ161*AT161*VLOOKUP('Données projet'!$B$10,Paramètres!$A$1:$I$89,3,0)*0.475*44/12</f>
        <v>5.6706977064759457E-19</v>
      </c>
      <c r="AX161" s="21">
        <f t="shared" si="166"/>
        <v>0.94731601060217485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-5.3205440053716299E-14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226.0452828290525</v>
      </c>
      <c r="T162" s="59">
        <f t="shared" si="142"/>
        <v>179.89696397462069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0.70532930658147175</v>
      </c>
      <c r="AA162" s="21">
        <f>EXP(-LN(2)/25)*AA161+(1-EXP(-LN(2)/25))/(LN(2)/25)*Calculateur!V162*Calculateur!X162*VLOOKUP('Données projet'!$B$9,Paramètres!$A$1:$I$89,3,0)*0.475*44/12</f>
        <v>0.31189722399635766</v>
      </c>
      <c r="AB162" s="21">
        <f>EXP(-LN(2)/2)*AB161+(1-EXP(-LN(2)/2))/(LN(2)/2)*V162*Y162*VLOOKUP('Données projet'!$B$9,Paramètres!$A$1:$I$89,3,0)*0.475*44/12</f>
        <v>4.2330891122042809E-19</v>
      </c>
      <c r="AC162" s="22">
        <f t="shared" si="163"/>
        <v>1.0172265305778294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-2.2737367544323206E-13</v>
      </c>
      <c r="AJ162" s="13">
        <f>AI162*VLOOKUP('Données projet'!$B$10,Paramètres!$A$1:$I$89,3,0)*VLOOKUP('Données projet'!$B$10,Paramètres!$A$1:$I$89,5,0)</f>
        <v>-1.2710188457276673E-13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365.13032894303285</v>
      </c>
      <c r="AO162" s="59">
        <f t="shared" si="144"/>
        <v>471.89239871617241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0.34230721559671334</v>
      </c>
      <c r="AV162" s="21">
        <f>EXP(-LN(2)/25)*AV161+(1-EXP(-LN(2)/25))/(LN(2)/25)*Calculateur!AQ162*Calculateur!AS162*VLOOKUP('Données projet'!$B$10,Paramètres!$A$1:$I$89,3,0)*0.475*44/12</f>
        <v>0.58180532570265697</v>
      </c>
      <c r="AW162" s="21">
        <f>EXP(-LN(2)/2)*AW161+(1-EXP(-LN(2)/2))/(LN(2)/2)*AQ162*AT162*VLOOKUP('Données projet'!$B$10,Paramètres!$A$1:$I$89,3,0)*0.475*44/12</f>
        <v>4.0097888023081435E-19</v>
      </c>
      <c r="AX162" s="21">
        <f t="shared" si="166"/>
        <v>0.92411254129937026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-5.3205440053716299E-14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226.0452828290525</v>
      </c>
      <c r="T163" s="59">
        <f t="shared" si="142"/>
        <v>179.89696397462069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0.69149822908780656</v>
      </c>
      <c r="AA163" s="21">
        <f>EXP(-LN(2)/25)*AA162+(1-EXP(-LN(2)/25))/(LN(2)/25)*Calculateur!V163*Calculateur!X163*VLOOKUP('Données projet'!$B$9,Paramètres!$A$1:$I$89,3,0)*0.475*44/12</f>
        <v>0.30336837800421512</v>
      </c>
      <c r="AB163" s="21">
        <f>EXP(-LN(2)/2)*AB162+(1-EXP(-LN(2)/2))/(LN(2)/2)*V163*Y163*VLOOKUP('Données projet'!$B$9,Paramètres!$A$1:$I$89,3,0)*0.475*44/12</f>
        <v>2.9932460166065893E-19</v>
      </c>
      <c r="AC163" s="22">
        <f t="shared" si="163"/>
        <v>0.99486660709202168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-2.2737367544323206E-13</v>
      </c>
      <c r="AJ163" s="13">
        <f>AI163*VLOOKUP('Données projet'!$B$10,Paramètres!$A$1:$I$89,3,0)*VLOOKUP('Données projet'!$B$10,Paramètres!$A$1:$I$89,5,0)</f>
        <v>-1.2710188457276673E-13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365.13032894303285</v>
      </c>
      <c r="AO163" s="59">
        <f t="shared" si="144"/>
        <v>471.89239871617241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0.33559477988564734</v>
      </c>
      <c r="AV163" s="21">
        <f>EXP(-LN(2)/25)*AV162+(1-EXP(-LN(2)/25))/(LN(2)/25)*Calculateur!AQ163*Calculateur!AS163*VLOOKUP('Données projet'!$B$10,Paramètres!$A$1:$I$89,3,0)*0.475*44/12</f>
        <v>0.56589582847550546</v>
      </c>
      <c r="AW163" s="21">
        <f>EXP(-LN(2)/2)*AW162+(1-EXP(-LN(2)/2))/(LN(2)/2)*AQ163*AT163*VLOOKUP('Données projet'!$B$10,Paramètres!$A$1:$I$89,3,0)*0.475*44/12</f>
        <v>2.8353488532379729E-19</v>
      </c>
      <c r="AX163" s="21">
        <f t="shared" si="166"/>
        <v>0.9014906083611528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-5.3205440053716299E-14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226.0452828290525</v>
      </c>
      <c r="T164" s="59">
        <f t="shared" si="142"/>
        <v>179.89696397462069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0.67793837058766782</v>
      </c>
      <c r="AA164" s="21">
        <f>EXP(-LN(2)/25)*AA163+(1-EXP(-LN(2)/25))/(LN(2)/25)*Calculateur!V164*Calculateur!X164*VLOOKUP('Données projet'!$B$9,Paramètres!$A$1:$I$89,3,0)*0.475*44/12</f>
        <v>0.29507275375424019</v>
      </c>
      <c r="AB164" s="21">
        <f>EXP(-LN(2)/2)*AB163+(1-EXP(-LN(2)/2))/(LN(2)/2)*V164*Y164*VLOOKUP('Données projet'!$B$9,Paramètres!$A$1:$I$89,3,0)*0.475*44/12</f>
        <v>2.1165445561021407E-19</v>
      </c>
      <c r="AC164" s="22">
        <f t="shared" si="163"/>
        <v>0.97301112434190795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-2.2737367544323206E-13</v>
      </c>
      <c r="AJ164" s="13">
        <f>AI164*VLOOKUP('Données projet'!$B$10,Paramètres!$A$1:$I$89,3,0)*VLOOKUP('Données projet'!$B$10,Paramètres!$A$1:$I$89,5,0)</f>
        <v>-1.2710188457276673E-13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365.13032894303285</v>
      </c>
      <c r="AO164" s="59">
        <f t="shared" si="144"/>
        <v>471.89239871617241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0.32901397094469381</v>
      </c>
      <c r="AV164" s="21">
        <f>EXP(-LN(2)/25)*AV163+(1-EXP(-LN(2)/25))/(LN(2)/25)*Calculateur!AQ164*Calculateur!AS164*VLOOKUP('Données projet'!$B$10,Paramètres!$A$1:$I$89,3,0)*0.475*44/12</f>
        <v>0.55042137728667451</v>
      </c>
      <c r="AW164" s="21">
        <f>EXP(-LN(2)/2)*AW163+(1-EXP(-LN(2)/2))/(LN(2)/2)*AQ164*AT164*VLOOKUP('Données projet'!$B$10,Paramètres!$A$1:$I$89,3,0)*0.475*44/12</f>
        <v>2.0048944011540718E-19</v>
      </c>
      <c r="AX164" s="21">
        <f t="shared" si="166"/>
        <v>0.87943534823136837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-5.3205440053716299E-14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226.0452828290525</v>
      </c>
      <c r="T165" s="59">
        <f t="shared" si="142"/>
        <v>179.89696397462069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0.66464441264201979</v>
      </c>
      <c r="AA165" s="21">
        <f>EXP(-LN(2)/25)*AA164+(1-EXP(-LN(2)/25))/(LN(2)/25)*Calculateur!V165*Calculateur!X165*VLOOKUP('Données projet'!$B$9,Paramètres!$A$1:$I$89,3,0)*0.475*44/12</f>
        <v>0.28700397378562875</v>
      </c>
      <c r="AB165" s="21">
        <f>EXP(-LN(2)/2)*AB164+(1-EXP(-LN(2)/2))/(LN(2)/2)*V165*Y165*VLOOKUP('Données projet'!$B$9,Paramètres!$A$1:$I$89,3,0)*0.475*44/12</f>
        <v>1.4966230083032949E-19</v>
      </c>
      <c r="AC165" s="22">
        <f t="shared" si="163"/>
        <v>0.9516483864276486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-2.2737367544323206E-13</v>
      </c>
      <c r="AJ165" s="13">
        <f>AI165*VLOOKUP('Données projet'!$B$10,Paramètres!$A$1:$I$89,3,0)*VLOOKUP('Données projet'!$B$10,Paramètres!$A$1:$I$89,5,0)</f>
        <v>-1.2710188457276673E-13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365.13032894303285</v>
      </c>
      <c r="AO165" s="59">
        <f t="shared" si="144"/>
        <v>471.89239871617241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0.32256220765317528</v>
      </c>
      <c r="AV165" s="21">
        <f>EXP(-LN(2)/25)*AV164+(1-EXP(-LN(2)/25))/(LN(2)/25)*Calculateur!AQ165*Calculateur!AS165*VLOOKUP('Données projet'!$B$10,Paramètres!$A$1:$I$89,3,0)*0.475*44/12</f>
        <v>0.53537007577936813</v>
      </c>
      <c r="AW165" s="21">
        <f>EXP(-LN(2)/2)*AW164+(1-EXP(-LN(2)/2))/(LN(2)/2)*AQ165*AT165*VLOOKUP('Données projet'!$B$10,Paramètres!$A$1:$I$89,3,0)*0.475*44/12</f>
        <v>1.4176744266189864E-19</v>
      </c>
      <c r="AX165" s="21">
        <f t="shared" si="166"/>
        <v>0.85793228343254335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-5.3205440053716299E-14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226.0452828290525</v>
      </c>
      <c r="T166" s="59">
        <f t="shared" si="142"/>
        <v>179.89696397462069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0.6516111411031722</v>
      </c>
      <c r="AA166" s="21">
        <f>EXP(-LN(2)/25)*AA165+(1-EXP(-LN(2)/25))/(LN(2)/25)*Calculateur!V166*Calculateur!X166*VLOOKUP('Données projet'!$B$9,Paramètres!$A$1:$I$89,3,0)*0.475*44/12</f>
        <v>0.27915583502957769</v>
      </c>
      <c r="AB166" s="21">
        <f>EXP(-LN(2)/2)*AB165+(1-EXP(-LN(2)/2))/(LN(2)/2)*V166*Y166*VLOOKUP('Données projet'!$B$9,Paramètres!$A$1:$I$89,3,0)*0.475*44/12</f>
        <v>1.0582722780510705E-19</v>
      </c>
      <c r="AC166" s="22">
        <f t="shared" si="163"/>
        <v>0.93076697613274995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-2.2737367544323206E-13</v>
      </c>
      <c r="AJ166" s="13">
        <f>AI166*VLOOKUP('Données projet'!$B$10,Paramètres!$A$1:$I$89,3,0)*VLOOKUP('Données projet'!$B$10,Paramètres!$A$1:$I$89,5,0)</f>
        <v>-1.2710188457276673E-13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365.13032894303285</v>
      </c>
      <c r="AO166" s="59">
        <f t="shared" si="144"/>
        <v>471.89239871617241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0.31623695950461639</v>
      </c>
      <c r="AV166" s="21">
        <f>EXP(-LN(2)/25)*AV165+(1-EXP(-LN(2)/25))/(LN(2)/25)*Calculateur!AQ166*Calculateur!AS166*VLOOKUP('Données projet'!$B$10,Paramètres!$A$1:$I$89,3,0)*0.475*44/12</f>
        <v>0.52073035290329261</v>
      </c>
      <c r="AW166" s="21">
        <f>EXP(-LN(2)/2)*AW165+(1-EXP(-LN(2)/2))/(LN(2)/2)*AQ166*AT166*VLOOKUP('Données projet'!$B$10,Paramètres!$A$1:$I$89,3,0)*0.475*44/12</f>
        <v>1.0024472005770359E-19</v>
      </c>
      <c r="AX166" s="21">
        <f t="shared" si="166"/>
        <v>0.836967312407909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-5.3205440053716299E-14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226.0452828290525</v>
      </c>
      <c r="T167" s="59">
        <f t="shared" si="142"/>
        <v>179.89696397462069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0.63883344406969078</v>
      </c>
      <c r="AA167" s="21">
        <f>EXP(-LN(2)/25)*AA166+(1-EXP(-LN(2)/25))/(LN(2)/25)*Calculateur!V167*Calculateur!X167*VLOOKUP('Données projet'!$B$9,Paramètres!$A$1:$I$89,3,0)*0.475*44/12</f>
        <v>0.27152230404052652</v>
      </c>
      <c r="AB167" s="21">
        <f>EXP(-LN(2)/2)*AB166+(1-EXP(-LN(2)/2))/(LN(2)/2)*V167*Y167*VLOOKUP('Données projet'!$B$9,Paramètres!$A$1:$I$89,3,0)*0.475*44/12</f>
        <v>7.4831150415164756E-20</v>
      </c>
      <c r="AC167" s="22">
        <f t="shared" si="163"/>
        <v>0.91035574811021736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-2.2737367544323206E-13</v>
      </c>
      <c r="AJ167" s="13">
        <f>AI167*VLOOKUP('Données projet'!$B$10,Paramètres!$A$1:$I$89,3,0)*VLOOKUP('Données projet'!$B$10,Paramètres!$A$1:$I$89,5,0)</f>
        <v>-1.2710188457276673E-13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365.13032894303285</v>
      </c>
      <c r="AO167" s="59">
        <f t="shared" si="144"/>
        <v>471.89239871617241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0.31003574561423031</v>
      </c>
      <c r="AV167" s="21">
        <f>EXP(-LN(2)/25)*AV166+(1-EXP(-LN(2)/25))/(LN(2)/25)*Calculateur!AQ167*Calculateur!AS167*VLOOKUP('Données projet'!$B$10,Paramètres!$A$1:$I$89,3,0)*0.475*44/12</f>
        <v>0.50649095401913291</v>
      </c>
      <c r="AW167" s="21">
        <f>EXP(-LN(2)/2)*AW166+(1-EXP(-LN(2)/2))/(LN(2)/2)*AQ167*AT167*VLOOKUP('Données projet'!$B$10,Paramètres!$A$1:$I$89,3,0)*0.475*44/12</f>
        <v>7.0883721330949321E-20</v>
      </c>
      <c r="AX167" s="21">
        <f t="shared" si="166"/>
        <v>0.81652669963336322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-5.3205440053716299E-14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226.0452828290525</v>
      </c>
      <c r="T168" s="59">
        <f t="shared" si="142"/>
        <v>179.89696397462069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0.62630630988141034</v>
      </c>
      <c r="AA168" s="21">
        <f>EXP(-LN(2)/25)*AA167+(1-EXP(-LN(2)/25))/(LN(2)/25)*Calculateur!V168*Calculateur!X168*VLOOKUP('Données projet'!$B$9,Paramètres!$A$1:$I$89,3,0)*0.475*44/12</f>
        <v>0.26409751235780093</v>
      </c>
      <c r="AB168" s="21">
        <f>EXP(-LN(2)/2)*AB167+(1-EXP(-LN(2)/2))/(LN(2)/2)*V168*Y168*VLOOKUP('Données projet'!$B$9,Paramètres!$A$1:$I$89,3,0)*0.475*44/12</f>
        <v>5.2913613902553535E-20</v>
      </c>
      <c r="AC168" s="22">
        <f t="shared" si="163"/>
        <v>0.89040382223921122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-2.2737367544323206E-13</v>
      </c>
      <c r="AJ168" s="13">
        <f>AI168*VLOOKUP('Données projet'!$B$10,Paramètres!$A$1:$I$89,3,0)*VLOOKUP('Données projet'!$B$10,Paramètres!$A$1:$I$89,5,0)</f>
        <v>-1.2710188457276673E-13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365.13032894303285</v>
      </c>
      <c r="AO168" s="59">
        <f t="shared" si="144"/>
        <v>471.89239871617241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0.30395613374586772</v>
      </c>
      <c r="AV168" s="21">
        <f>EXP(-LN(2)/25)*AV167+(1-EXP(-LN(2)/25))/(LN(2)/25)*Calculateur!AQ168*Calculateur!AS168*VLOOKUP('Données projet'!$B$10,Paramètres!$A$1:$I$89,3,0)*0.475*44/12</f>
        <v>0.49264093224627803</v>
      </c>
      <c r="AW168" s="21">
        <f>EXP(-LN(2)/2)*AW167+(1-EXP(-LN(2)/2))/(LN(2)/2)*AQ168*AT168*VLOOKUP('Données projet'!$B$10,Paramètres!$A$1:$I$89,3,0)*0.475*44/12</f>
        <v>5.0122360028851794E-20</v>
      </c>
      <c r="AX168" s="21">
        <f t="shared" si="166"/>
        <v>0.79659706599214575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-5.3205440053716299E-14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226.0452828290525</v>
      </c>
      <c r="T169" s="59">
        <f t="shared" si="142"/>
        <v>179.89696397462069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0.61402482515376466</v>
      </c>
      <c r="AA169" s="21">
        <f>EXP(-LN(2)/25)*AA168+(1-EXP(-LN(2)/25))/(LN(2)/25)*Calculateur!V169*Calculateur!X169*VLOOKUP('Données projet'!$B$9,Paramètres!$A$1:$I$89,3,0)*0.475*44/12</f>
        <v>0.25687575199409229</v>
      </c>
      <c r="AB169" s="21">
        <f>EXP(-LN(2)/2)*AB168+(1-EXP(-LN(2)/2))/(LN(2)/2)*V169*Y169*VLOOKUP('Données projet'!$B$9,Paramètres!$A$1:$I$89,3,0)*0.475*44/12</f>
        <v>3.7415575207582384E-20</v>
      </c>
      <c r="AC169" s="22">
        <f t="shared" si="163"/>
        <v>0.87090057714785696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-2.2737367544323206E-13</v>
      </c>
      <c r="AJ169" s="13">
        <f>AI169*VLOOKUP('Données projet'!$B$10,Paramètres!$A$1:$I$89,3,0)*VLOOKUP('Données projet'!$B$10,Paramètres!$A$1:$I$89,5,0)</f>
        <v>-1.2710188457276673E-13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365.13032894303285</v>
      </c>
      <c r="AO169" s="59">
        <f t="shared" si="144"/>
        <v>471.89239871617241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0.29799573935804663</v>
      </c>
      <c r="AV169" s="21">
        <f>EXP(-LN(2)/25)*AV168+(1-EXP(-LN(2)/25))/(LN(2)/25)*Calculateur!AQ169*Calculateur!AS169*VLOOKUP('Données projet'!$B$10,Paramètres!$A$1:$I$89,3,0)*0.475*44/12</f>
        <v>0.47916964004714285</v>
      </c>
      <c r="AW169" s="21">
        <f>EXP(-LN(2)/2)*AW168+(1-EXP(-LN(2)/2))/(LN(2)/2)*AQ169*AT169*VLOOKUP('Données projet'!$B$10,Paramètres!$A$1:$I$89,3,0)*0.475*44/12</f>
        <v>3.5441860665474661E-20</v>
      </c>
      <c r="AX169" s="21">
        <f t="shared" si="166"/>
        <v>0.77716537940518948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-5.3205440053716299E-14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226.0452828290525</v>
      </c>
      <c r="T170" s="59">
        <f t="shared" si="142"/>
        <v>179.89696397462069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0.60198417285066208</v>
      </c>
      <c r="AA170" s="21">
        <f>EXP(-LN(2)/25)*AA169+(1-EXP(-LN(2)/25))/(LN(2)/25)*Calculateur!V170*Calculateur!X170*VLOOKUP('Données projet'!$B$9,Paramètres!$A$1:$I$89,3,0)*0.475*44/12</f>
        <v>0.24985147104730515</v>
      </c>
      <c r="AB170" s="21">
        <f>EXP(-LN(2)/2)*AB169+(1-EXP(-LN(2)/2))/(LN(2)/2)*V170*Y170*VLOOKUP('Données projet'!$B$9,Paramètres!$A$1:$I$89,3,0)*0.475*44/12</f>
        <v>2.645680695127677E-20</v>
      </c>
      <c r="AC170" s="22">
        <f t="shared" si="163"/>
        <v>0.85183564389796729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-2.2737367544323206E-13</v>
      </c>
      <c r="AJ170" s="13">
        <f>AI170*VLOOKUP('Données projet'!$B$10,Paramètres!$A$1:$I$89,3,0)*VLOOKUP('Données projet'!$B$10,Paramètres!$A$1:$I$89,5,0)</f>
        <v>-1.2710188457276673E-13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365.13032894303285</v>
      </c>
      <c r="AO170" s="59">
        <f t="shared" si="144"/>
        <v>471.89239871617241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0.29215222466868906</v>
      </c>
      <c r="AV170" s="21">
        <f>EXP(-LN(2)/25)*AV169+(1-EXP(-LN(2)/25))/(LN(2)/25)*Calculateur!AQ170*Calculateur!AS170*VLOOKUP('Données projet'!$B$10,Paramètres!$A$1:$I$89,3,0)*0.475*44/12</f>
        <v>0.4660667210416175</v>
      </c>
      <c r="AW170" s="21">
        <f>EXP(-LN(2)/2)*AW169+(1-EXP(-LN(2)/2))/(LN(2)/2)*AQ170*AT170*VLOOKUP('Données projet'!$B$10,Paramètres!$A$1:$I$89,3,0)*0.475*44/12</f>
        <v>2.5061180014425897E-20</v>
      </c>
      <c r="AX170" s="21">
        <f t="shared" si="166"/>
        <v>0.75821894571030657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-5.3205440053716299E-14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226.0452828290525</v>
      </c>
      <c r="T171" s="59">
        <f t="shared" si="142"/>
        <v>179.89696397462069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0.59017963039515065</v>
      </c>
      <c r="AA171" s="21">
        <f>EXP(-LN(2)/25)*AA170+(1-EXP(-LN(2)/25))/(LN(2)/25)*Calculateur!V171*Calculateur!X171*VLOOKUP('Données projet'!$B$9,Paramètres!$A$1:$I$89,3,0)*0.475*44/12</f>
        <v>0.24301926943239877</v>
      </c>
      <c r="AB171" s="21">
        <f>EXP(-LN(2)/2)*AB170+(1-EXP(-LN(2)/2))/(LN(2)/2)*V171*Y171*VLOOKUP('Données projet'!$B$9,Paramètres!$A$1:$I$89,3,0)*0.475*44/12</f>
        <v>1.8707787603791195E-20</v>
      </c>
      <c r="AC171" s="22">
        <f t="shared" si="163"/>
        <v>0.83319889982754947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-2.2737367544323206E-13</v>
      </c>
      <c r="AJ171" s="13">
        <f>AI171*VLOOKUP('Données projet'!$B$10,Paramètres!$A$1:$I$89,3,0)*VLOOKUP('Données projet'!$B$10,Paramètres!$A$1:$I$89,5,0)</f>
        <v>-1.2710188457276673E-13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365.13032894303285</v>
      </c>
      <c r="AO171" s="59">
        <f t="shared" si="144"/>
        <v>471.89239871617241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0.2864232977381978</v>
      </c>
      <c r="AV171" s="21">
        <f>EXP(-LN(2)/25)*AV170+(1-EXP(-LN(2)/25))/(LN(2)/25)*Calculateur!AQ171*Calculateur!AS171*VLOOKUP('Données projet'!$B$10,Paramètres!$A$1:$I$89,3,0)*0.475*44/12</f>
        <v>0.45332210204535084</v>
      </c>
      <c r="AW171" s="21">
        <f>EXP(-LN(2)/2)*AW170+(1-EXP(-LN(2)/2))/(LN(2)/2)*AQ171*AT171*VLOOKUP('Données projet'!$B$10,Paramètres!$A$1:$I$89,3,0)*0.475*44/12</f>
        <v>1.772093033273733E-20</v>
      </c>
      <c r="AX171" s="21">
        <f t="shared" si="166"/>
        <v>0.73974539978354859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-5.3205440053716299E-14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226.0452828290525</v>
      </c>
      <c r="T172" s="59">
        <f t="shared" si="142"/>
        <v>179.89696397462069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0.57860656781713182</v>
      </c>
      <c r="AA172" s="21">
        <f>EXP(-LN(2)/25)*AA171+(1-EXP(-LN(2)/25))/(LN(2)/25)*Calculateur!V172*Calculateur!X172*VLOOKUP('Données projet'!$B$9,Paramètres!$A$1:$I$89,3,0)*0.475*44/12</f>
        <v>0.23637389472994186</v>
      </c>
      <c r="AB172" s="21">
        <f>EXP(-LN(2)/2)*AB171+(1-EXP(-LN(2)/2))/(LN(2)/2)*V172*Y172*VLOOKUP('Données projet'!$B$9,Paramètres!$A$1:$I$89,3,0)*0.475*44/12</f>
        <v>1.3228403475638388E-20</v>
      </c>
      <c r="AC172" s="22">
        <f t="shared" si="163"/>
        <v>0.81498046254707368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-2.2737367544323206E-13</v>
      </c>
      <c r="AJ172" s="13">
        <f>AI172*VLOOKUP('Données projet'!$B$10,Paramètres!$A$1:$I$89,3,0)*VLOOKUP('Données projet'!$B$10,Paramètres!$A$1:$I$89,5,0)</f>
        <v>-1.2710188457276673E-13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365.13032894303285</v>
      </c>
      <c r="AO172" s="59">
        <f t="shared" si="144"/>
        <v>471.89239871617241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0.28080671157051307</v>
      </c>
      <c r="AV172" s="21">
        <f>EXP(-LN(2)/25)*AV171+(1-EXP(-LN(2)/25))/(LN(2)/25)*Calculateur!AQ172*Calculateur!AS172*VLOOKUP('Données projet'!$B$10,Paramètres!$A$1:$I$89,3,0)*0.475*44/12</f>
        <v>0.44092598532574745</v>
      </c>
      <c r="AW172" s="21">
        <f>EXP(-LN(2)/2)*AW171+(1-EXP(-LN(2)/2))/(LN(2)/2)*AQ172*AT172*VLOOKUP('Données projet'!$B$10,Paramètres!$A$1:$I$89,3,0)*0.475*44/12</f>
        <v>1.2530590007212948E-20</v>
      </c>
      <c r="AX172" s="21">
        <f t="shared" si="166"/>
        <v>0.72173269689626052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-5.3205440053716299E-14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226.0452828290525</v>
      </c>
      <c r="T173" s="59">
        <f t="shared" si="142"/>
        <v>179.89696397462069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0.56726044593739677</v>
      </c>
      <c r="AA173" s="21">
        <f>EXP(-LN(2)/25)*AA172+(1-EXP(-LN(2)/25))/(LN(2)/25)*Calculateur!V173*Calculateur!X173*VLOOKUP('Données projet'!$B$9,Paramètres!$A$1:$I$89,3,0)*0.475*44/12</f>
        <v>0.2299102381481887</v>
      </c>
      <c r="AB173" s="21">
        <f>EXP(-LN(2)/2)*AB172+(1-EXP(-LN(2)/2))/(LN(2)/2)*V173*Y173*VLOOKUP('Données projet'!$B$9,Paramètres!$A$1:$I$89,3,0)*0.475*44/12</f>
        <v>9.353893801895599E-21</v>
      </c>
      <c r="AC173" s="22">
        <f t="shared" si="163"/>
        <v>0.79717068408558545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-2.2737367544323206E-13</v>
      </c>
      <c r="AJ173" s="13">
        <f>AI173*VLOOKUP('Données projet'!$B$10,Paramètres!$A$1:$I$89,3,0)*VLOOKUP('Données projet'!$B$10,Paramètres!$A$1:$I$89,5,0)</f>
        <v>-1.2710188457276673E-13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365.13032894303285</v>
      </c>
      <c r="AO173" s="59">
        <f t="shared" si="144"/>
        <v>471.89239871617241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0.27530026323179735</v>
      </c>
      <c r="AV173" s="21">
        <f>EXP(-LN(2)/25)*AV172+(1-EXP(-LN(2)/25))/(LN(2)/25)*Calculateur!AQ173*Calculateur!AS173*VLOOKUP('Données projet'!$B$10,Paramètres!$A$1:$I$89,3,0)*0.475*44/12</f>
        <v>0.42886884106972506</v>
      </c>
      <c r="AW173" s="21">
        <f>EXP(-LN(2)/2)*AW172+(1-EXP(-LN(2)/2))/(LN(2)/2)*AQ173*AT173*VLOOKUP('Données projet'!$B$10,Paramètres!$A$1:$I$89,3,0)*0.475*44/12</f>
        <v>8.8604651663686652E-21</v>
      </c>
      <c r="AX173" s="21">
        <f t="shared" si="166"/>
        <v>0.70416910430152235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-5.3205440053716299E-14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226.0452828290525</v>
      </c>
      <c r="T174" s="59">
        <f t="shared" si="142"/>
        <v>179.89696397462069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0.55613681458727227</v>
      </c>
      <c r="AA174" s="21">
        <f>EXP(-LN(2)/25)*AA173+(1-EXP(-LN(2)/25))/(LN(2)/25)*Calculateur!V174*Calculateur!X174*VLOOKUP('Données projet'!$B$9,Paramètres!$A$1:$I$89,3,0)*0.475*44/12</f>
        <v>0.22362333059557252</v>
      </c>
      <c r="AB174" s="21">
        <f>EXP(-LN(2)/2)*AB173+(1-EXP(-LN(2)/2))/(LN(2)/2)*V174*Y174*VLOOKUP('Données projet'!$B$9,Paramètres!$A$1:$I$89,3,0)*0.475*44/12</f>
        <v>6.6142017378191949E-21</v>
      </c>
      <c r="AC174" s="22">
        <f t="shared" si="163"/>
        <v>0.77976014518284475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-2.2737367544323206E-13</v>
      </c>
      <c r="AJ174" s="13">
        <f>AI174*VLOOKUP('Données projet'!$B$10,Paramètres!$A$1:$I$89,3,0)*VLOOKUP('Données projet'!$B$10,Paramètres!$A$1:$I$89,5,0)</f>
        <v>-1.2710188457276673E-13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365.13032894303285</v>
      </c>
      <c r="AO174" s="59">
        <f t="shared" si="144"/>
        <v>471.89239871617241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0.26990179298640199</v>
      </c>
      <c r="AV174" s="21">
        <f>EXP(-LN(2)/25)*AV173+(1-EXP(-LN(2)/25))/(LN(2)/25)*Calculateur!AQ174*Calculateur!AS174*VLOOKUP('Données projet'!$B$10,Paramètres!$A$1:$I$89,3,0)*0.475*44/12</f>
        <v>0.41714140005744127</v>
      </c>
      <c r="AW174" s="21">
        <f>EXP(-LN(2)/2)*AW173+(1-EXP(-LN(2)/2))/(LN(2)/2)*AQ174*AT174*VLOOKUP('Données projet'!$B$10,Paramètres!$A$1:$I$89,3,0)*0.475*44/12</f>
        <v>6.2652950036064742E-21</v>
      </c>
      <c r="AX174" s="21">
        <f t="shared" si="166"/>
        <v>0.6870431930438432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-5.3205440053716299E-14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226.0452828290525</v>
      </c>
      <c r="T175" s="59">
        <f t="shared" si="142"/>
        <v>179.89696397462069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0.54523131086317855</v>
      </c>
      <c r="AA175" s="21">
        <f>EXP(-LN(2)/25)*AA174+(1-EXP(-LN(2)/25))/(LN(2)/25)*Calculateur!V175*Calculateur!X175*VLOOKUP('Données projet'!$B$9,Paramètres!$A$1:$I$89,3,0)*0.475*44/12</f>
        <v>0.21750833886059673</v>
      </c>
      <c r="AB175" s="21">
        <f>EXP(-LN(2)/2)*AB174+(1-EXP(-LN(2)/2))/(LN(2)/2)*V175*Y175*VLOOKUP('Données projet'!$B$9,Paramètres!$A$1:$I$89,3,0)*0.475*44/12</f>
        <v>4.6769469009478003E-21</v>
      </c>
      <c r="AC175" s="22">
        <f t="shared" si="163"/>
        <v>0.76273964972377528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-2.2737367544323206E-13</v>
      </c>
      <c r="AJ175" s="13">
        <f>AI175*VLOOKUP('Données projet'!$B$10,Paramètres!$A$1:$I$89,3,0)*VLOOKUP('Données projet'!$B$10,Paramètres!$A$1:$I$89,5,0)</f>
        <v>-1.2710188457276673E-13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365.13032894303285</v>
      </c>
      <c r="AO175" s="59">
        <f t="shared" si="144"/>
        <v>471.89239871617241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0.26460918344977713</v>
      </c>
      <c r="AV175" s="21">
        <f>EXP(-LN(2)/25)*AV174+(1-EXP(-LN(2)/25))/(LN(2)/25)*Calculateur!AQ175*Calculateur!AS175*VLOOKUP('Données projet'!$B$10,Paramètres!$A$1:$I$89,3,0)*0.475*44/12</f>
        <v>0.40573464653635771</v>
      </c>
      <c r="AW175" s="21">
        <f>EXP(-LN(2)/2)*AW174+(1-EXP(-LN(2)/2))/(LN(2)/2)*AQ175*AT175*VLOOKUP('Données projet'!$B$10,Paramètres!$A$1:$I$89,3,0)*0.475*44/12</f>
        <v>4.4302325831843326E-21</v>
      </c>
      <c r="AX175" s="21">
        <f t="shared" si="166"/>
        <v>0.67034382998613484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-5.3205440053716299E-14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226.0452828290525</v>
      </c>
      <c r="T176" s="59">
        <f t="shared" si="142"/>
        <v>179.89696397462069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0.53453965741541387</v>
      </c>
      <c r="AA176" s="21">
        <f>EXP(-LN(2)/25)*AA175+(1-EXP(-LN(2)/25))/(LN(2)/25)*Calculateur!V176*Calculateur!X176*VLOOKUP('Données projet'!$B$9,Paramètres!$A$1:$I$89,3,0)*0.475*44/12</f>
        <v>0.2115605618961873</v>
      </c>
      <c r="AB176" s="21">
        <f>EXP(-LN(2)/2)*AB175+(1-EXP(-LN(2)/2))/(LN(2)/2)*V176*Y176*VLOOKUP('Données projet'!$B$9,Paramètres!$A$1:$I$89,3,0)*0.475*44/12</f>
        <v>3.3071008689095978E-21</v>
      </c>
      <c r="AC176" s="22">
        <f t="shared" si="163"/>
        <v>0.7461002193116012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-2.2737367544323206E-13</v>
      </c>
      <c r="AJ176" s="13">
        <f>AI176*VLOOKUP('Données projet'!$B$10,Paramètres!$A$1:$I$89,3,0)*VLOOKUP('Données projet'!$B$10,Paramètres!$A$1:$I$89,5,0)</f>
        <v>-1.2710188457276673E-13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365.13032894303285</v>
      </c>
      <c r="AO176" s="59">
        <f t="shared" si="144"/>
        <v>471.89239871617241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0.25942035875799241</v>
      </c>
      <c r="AV176" s="21">
        <f>EXP(-LN(2)/25)*AV175+(1-EXP(-LN(2)/25))/(LN(2)/25)*Calculateur!AQ176*Calculateur!AS176*VLOOKUP('Données projet'!$B$10,Paramètres!$A$1:$I$89,3,0)*0.475*44/12</f>
        <v>0.39463981129016329</v>
      </c>
      <c r="AW176" s="21">
        <f>EXP(-LN(2)/2)*AW175+(1-EXP(-LN(2)/2))/(LN(2)/2)*AQ176*AT176*VLOOKUP('Données projet'!$B$10,Paramètres!$A$1:$I$89,3,0)*0.475*44/12</f>
        <v>3.1326475018032371E-21</v>
      </c>
      <c r="AX176" s="21">
        <f t="shared" si="166"/>
        <v>0.65406017004815564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-5.3205440053716299E-14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226.0452828290525</v>
      </c>
      <c r="T177" s="59">
        <f t="shared" si="142"/>
        <v>179.89696397462069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0.5240576607704952</v>
      </c>
      <c r="AA177" s="21">
        <f>EXP(-LN(2)/25)*AA176+(1-EXP(-LN(2)/25))/(LN(2)/25)*Calculateur!V177*Calculateur!X177*VLOOKUP('Données projet'!$B$9,Paramètres!$A$1:$I$89,3,0)*0.475*44/12</f>
        <v>0.20577542720564965</v>
      </c>
      <c r="AB177" s="21">
        <f>EXP(-LN(2)/2)*AB176+(1-EXP(-LN(2)/2))/(LN(2)/2)*V177*Y177*VLOOKUP('Données projet'!$B$9,Paramètres!$A$1:$I$89,3,0)*0.475*44/12</f>
        <v>2.3384734504739005E-21</v>
      </c>
      <c r="AC177" s="22">
        <f t="shared" si="163"/>
        <v>0.72983308797614488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-2.2737367544323206E-13</v>
      </c>
      <c r="AJ177" s="13">
        <f>AI177*VLOOKUP('Données projet'!$B$10,Paramètres!$A$1:$I$89,3,0)*VLOOKUP('Données projet'!$B$10,Paramètres!$A$1:$I$89,5,0)</f>
        <v>-1.2710188457276673E-13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365.13032894303285</v>
      </c>
      <c r="AO177" s="59">
        <f t="shared" si="144"/>
        <v>471.89239871617241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0.25433328375354303</v>
      </c>
      <c r="AV177" s="21">
        <f>EXP(-LN(2)/25)*AV176+(1-EXP(-LN(2)/25))/(LN(2)/25)*Calculateur!AQ177*Calculateur!AS177*VLOOKUP('Données projet'!$B$10,Paramètres!$A$1:$I$89,3,0)*0.475*44/12</f>
        <v>0.38384836489722807</v>
      </c>
      <c r="AW177" s="21">
        <f>EXP(-LN(2)/2)*AW176+(1-EXP(-LN(2)/2))/(LN(2)/2)*AQ177*AT177*VLOOKUP('Données projet'!$B$10,Paramètres!$A$1:$I$89,3,0)*0.475*44/12</f>
        <v>2.2151162915921663E-21</v>
      </c>
      <c r="AX177" s="21">
        <f t="shared" si="166"/>
        <v>0.63818164865077109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-5.3205440053716299E-14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226.0452828290525</v>
      </c>
      <c r="T178" s="59">
        <f t="shared" si="142"/>
        <v>179.89696397462069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0.51378120968639662</v>
      </c>
      <c r="AA178" s="21">
        <f>EXP(-LN(2)/25)*AA177+(1-EXP(-LN(2)/25))/(LN(2)/25)*Calculateur!V178*Calculateur!X178*VLOOKUP('Données projet'!$B$9,Paramètres!$A$1:$I$89,3,0)*0.475*44/12</f>
        <v>0.20014848732745175</v>
      </c>
      <c r="AB178" s="21">
        <f>EXP(-LN(2)/2)*AB177+(1-EXP(-LN(2)/2))/(LN(2)/2)*V178*Y178*VLOOKUP('Données projet'!$B$9,Paramètres!$A$1:$I$89,3,0)*0.475*44/12</f>
        <v>1.6535504344547993E-21</v>
      </c>
      <c r="AC178" s="22">
        <f t="shared" si="163"/>
        <v>0.71392969701384834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-2.2737367544323206E-13</v>
      </c>
      <c r="AJ178" s="13">
        <f>AI178*VLOOKUP('Données projet'!$B$10,Paramètres!$A$1:$I$89,3,0)*VLOOKUP('Données projet'!$B$10,Paramètres!$A$1:$I$89,5,0)</f>
        <v>-1.2710188457276673E-13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365.13032894303285</v>
      </c>
      <c r="AO178" s="59">
        <f t="shared" si="144"/>
        <v>471.89239871617241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0.24934596318712152</v>
      </c>
      <c r="AV178" s="21">
        <f>EXP(-LN(2)/25)*AV177+(1-EXP(-LN(2)/25))/(LN(2)/25)*Calculateur!AQ178*Calculateur!AS178*VLOOKUP('Données projet'!$B$10,Paramètres!$A$1:$I$89,3,0)*0.475*44/12</f>
        <v>0.37335201117340516</v>
      </c>
      <c r="AW178" s="21">
        <f>EXP(-LN(2)/2)*AW177+(1-EXP(-LN(2)/2))/(LN(2)/2)*AQ178*AT178*VLOOKUP('Données projet'!$B$10,Paramètres!$A$1:$I$89,3,0)*0.475*44/12</f>
        <v>1.5663237509016186E-21</v>
      </c>
      <c r="AX178" s="21">
        <f t="shared" si="166"/>
        <v>0.62269797436052665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-5.3205440053716299E-14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226.0452828290525</v>
      </c>
      <c r="T179" s="59">
        <f t="shared" si="142"/>
        <v>179.89696397462069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0.50370627354004105</v>
      </c>
      <c r="AA179" s="21">
        <f>EXP(-LN(2)/25)*AA178+(1-EXP(-LN(2)/25))/(LN(2)/25)*Calculateur!V179*Calculateur!X179*VLOOKUP('Données projet'!$B$9,Paramètres!$A$1:$I$89,3,0)*0.475*44/12</f>
        <v>0.19467541641613106</v>
      </c>
      <c r="AB179" s="21">
        <f>EXP(-LN(2)/2)*AB178+(1-EXP(-LN(2)/2))/(LN(2)/2)*V179*Y179*VLOOKUP('Données projet'!$B$9,Paramètres!$A$1:$I$89,3,0)*0.475*44/12</f>
        <v>1.1692367252369504E-21</v>
      </c>
      <c r="AC179" s="22">
        <f t="shared" si="163"/>
        <v>0.69838168995617211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-2.2737367544323206E-13</v>
      </c>
      <c r="AJ179" s="13">
        <f>AI179*VLOOKUP('Données projet'!$B$10,Paramètres!$A$1:$I$89,3,0)*VLOOKUP('Données projet'!$B$10,Paramètres!$A$1:$I$89,5,0)</f>
        <v>-1.2710188457276673E-13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365.13032894303285</v>
      </c>
      <c r="AO179" s="59">
        <f t="shared" si="144"/>
        <v>471.89239871617241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0.24445644093504237</v>
      </c>
      <c r="AV179" s="21">
        <f>EXP(-LN(2)/25)*AV178+(1-EXP(-LN(2)/25))/(LN(2)/25)*Calculateur!AQ179*Calculateur!AS179*VLOOKUP('Données projet'!$B$10,Paramètres!$A$1:$I$89,3,0)*0.475*44/12</f>
        <v>0.36314268079413942</v>
      </c>
      <c r="AW179" s="21">
        <f>EXP(-LN(2)/2)*AW178+(1-EXP(-LN(2)/2))/(LN(2)/2)*AQ179*AT179*VLOOKUP('Données projet'!$B$10,Paramètres!$A$1:$I$89,3,0)*0.475*44/12</f>
        <v>1.1075581457960831E-21</v>
      </c>
      <c r="AX179" s="21">
        <f t="shared" si="166"/>
        <v>0.60759912172918185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-5.3205440053716299E-14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226.0452828290525</v>
      </c>
      <c r="T180" s="59">
        <f t="shared" si="142"/>
        <v>179.89696397462069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0.49382890074641123</v>
      </c>
      <c r="AA180" s="21">
        <f>EXP(-LN(2)/25)*AA179+(1-EXP(-LN(2)/25))/(LN(2)/25)*Calculateur!V180*Calculateur!X180*VLOOKUP('Données projet'!$B$9,Paramètres!$A$1:$I$89,3,0)*0.475*44/12</f>
        <v>0.18935200691669674</v>
      </c>
      <c r="AB180" s="21">
        <f>EXP(-LN(2)/2)*AB179+(1-EXP(-LN(2)/2))/(LN(2)/2)*V180*Y180*VLOOKUP('Données projet'!$B$9,Paramètres!$A$1:$I$89,3,0)*0.475*44/12</f>
        <v>8.2677521722739973E-22</v>
      </c>
      <c r="AC180" s="22">
        <f t="shared" si="163"/>
        <v>0.68318090766310791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-2.2737367544323206E-13</v>
      </c>
      <c r="AJ180" s="13">
        <f>AI180*VLOOKUP('Données projet'!$B$10,Paramètres!$A$1:$I$89,3,0)*VLOOKUP('Données projet'!$B$10,Paramètres!$A$1:$I$89,5,0)</f>
        <v>-1.2710188457276673E-13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365.13032894303285</v>
      </c>
      <c r="AO180" s="59">
        <f t="shared" si="144"/>
        <v>471.89239871617241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0.23966279923201239</v>
      </c>
      <c r="AV180" s="21">
        <f>EXP(-LN(2)/25)*AV179+(1-EXP(-LN(2)/25))/(LN(2)/25)*Calculateur!AQ180*Calculateur!AS180*VLOOKUP('Données projet'!$B$10,Paramètres!$A$1:$I$89,3,0)*0.475*44/12</f>
        <v>0.35321252509098006</v>
      </c>
      <c r="AW180" s="21">
        <f>EXP(-LN(2)/2)*AW179+(1-EXP(-LN(2)/2))/(LN(2)/2)*AQ180*AT180*VLOOKUP('Données projet'!$B$10,Paramètres!$A$1:$I$89,3,0)*0.475*44/12</f>
        <v>7.8316187545080928E-22</v>
      </c>
      <c r="AX180" s="21">
        <f t="shared" si="166"/>
        <v>0.5928753243229925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-5.3205440053716299E-14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226.0452828290525</v>
      </c>
      <c r="T181" s="59">
        <f t="shared" si="142"/>
        <v>179.89696397462069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0.48414521720866194</v>
      </c>
      <c r="AA181" s="21">
        <f>EXP(-LN(2)/25)*AA180+(1-EXP(-LN(2)/25))/(LN(2)/25)*Calculateur!V181*Calculateur!X181*VLOOKUP('Données projet'!$B$9,Paramètres!$A$1:$I$89,3,0)*0.475*44/12</f>
        <v>0.18417416632997038</v>
      </c>
      <c r="AB181" s="21">
        <f>EXP(-LN(2)/2)*AB180+(1-EXP(-LN(2)/2))/(LN(2)/2)*V181*Y181*VLOOKUP('Données projet'!$B$9,Paramètres!$A$1:$I$89,3,0)*0.475*44/12</f>
        <v>5.8461836261847531E-22</v>
      </c>
      <c r="AC181" s="22">
        <f t="shared" si="163"/>
        <v>0.66831938353863229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-2.2737367544323206E-13</v>
      </c>
      <c r="AJ181" s="13">
        <f>AI181*VLOOKUP('Données projet'!$B$10,Paramètres!$A$1:$I$89,3,0)*VLOOKUP('Données projet'!$B$10,Paramètres!$A$1:$I$89,5,0)</f>
        <v>-1.2710188457276673E-13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365.13032894303285</v>
      </c>
      <c r="AO181" s="59">
        <f t="shared" si="144"/>
        <v>471.89239871617241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0.23496315791894609</v>
      </c>
      <c r="AV181" s="21">
        <f>EXP(-LN(2)/25)*AV180+(1-EXP(-LN(2)/25))/(LN(2)/25)*Calculateur!AQ181*Calculateur!AS181*VLOOKUP('Données projet'!$B$10,Paramètres!$A$1:$I$89,3,0)*0.475*44/12</f>
        <v>0.34355391001772778</v>
      </c>
      <c r="AW181" s="21">
        <f>EXP(-LN(2)/2)*AW180+(1-EXP(-LN(2)/2))/(LN(2)/2)*AQ181*AT181*VLOOKUP('Données projet'!$B$10,Paramètres!$A$1:$I$89,3,0)*0.475*44/12</f>
        <v>5.5377907289804157E-22</v>
      </c>
      <c r="AX181" s="21">
        <f t="shared" si="166"/>
        <v>0.5785170679366739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-5.3205440053716299E-14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226.0452828290525</v>
      </c>
      <c r="T182" s="59">
        <f t="shared" si="142"/>
        <v>179.89696397462069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0.47465142479862416</v>
      </c>
      <c r="AA182" s="21">
        <f>EXP(-LN(2)/25)*AA181+(1-EXP(-LN(2)/25))/(LN(2)/25)*Calculateur!V182*Calculateur!X182*VLOOKUP('Données projet'!$B$9,Paramètres!$A$1:$I$89,3,0)*0.475*44/12</f>
        <v>0.17913791406637888</v>
      </c>
      <c r="AB182" s="21">
        <f>EXP(-LN(2)/2)*AB181+(1-EXP(-LN(2)/2))/(LN(2)/2)*V182*Y182*VLOOKUP('Données projet'!$B$9,Paramètres!$A$1:$I$89,3,0)*0.475*44/12</f>
        <v>4.1338760861369996E-22</v>
      </c>
      <c r="AC182" s="22">
        <f t="shared" si="163"/>
        <v>0.65378933886500301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-2.2737367544323206E-13</v>
      </c>
      <c r="AJ182" s="13">
        <f>AI182*VLOOKUP('Données projet'!$B$10,Paramètres!$A$1:$I$89,3,0)*VLOOKUP('Données projet'!$B$10,Paramètres!$A$1:$I$89,5,0)</f>
        <v>-1.2710188457276673E-13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365.13032894303285</v>
      </c>
      <c r="AO182" s="59">
        <f t="shared" si="144"/>
        <v>471.89239871617241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0.23035567370553087</v>
      </c>
      <c r="AV182" s="21">
        <f>EXP(-LN(2)/25)*AV181+(1-EXP(-LN(2)/25))/(LN(2)/25)*Calculateur!AQ182*Calculateur!AS182*VLOOKUP('Données projet'!$B$10,Paramètres!$A$1:$I$89,3,0)*0.475*44/12</f>
        <v>0.33415941028157808</v>
      </c>
      <c r="AW182" s="21">
        <f>EXP(-LN(2)/2)*AW181+(1-EXP(-LN(2)/2))/(LN(2)/2)*AQ182*AT182*VLOOKUP('Données projet'!$B$10,Paramètres!$A$1:$I$89,3,0)*0.475*44/12</f>
        <v>3.9158093772540464E-22</v>
      </c>
      <c r="AX182" s="21">
        <f t="shared" si="166"/>
        <v>0.56451508398710892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-5.3205440053716299E-14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226.0452828290525</v>
      </c>
      <c r="T183" s="59">
        <f t="shared" si="142"/>
        <v>179.89696397462069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0.46534379986710567</v>
      </c>
      <c r="AA183" s="21">
        <f>EXP(-LN(2)/25)*AA182+(1-EXP(-LN(2)/25))/(LN(2)/25)*Calculateur!V183*Calculateur!X183*VLOOKUP('Données projet'!$B$9,Paramètres!$A$1:$I$89,3,0)*0.475*44/12</f>
        <v>0.17423937838578027</v>
      </c>
      <c r="AB183" s="21">
        <f>EXP(-LN(2)/2)*AB182+(1-EXP(-LN(2)/2))/(LN(2)/2)*V183*Y183*VLOOKUP('Données projet'!$B$9,Paramètres!$A$1:$I$89,3,0)*0.475*44/12</f>
        <v>2.923091813092377E-22</v>
      </c>
      <c r="AC183" s="22">
        <f t="shared" si="163"/>
        <v>0.63958317825288591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-2.2737367544323206E-13</v>
      </c>
      <c r="AJ183" s="13">
        <f>AI183*VLOOKUP('Données projet'!$B$10,Paramètres!$A$1:$I$89,3,0)*VLOOKUP('Données projet'!$B$10,Paramètres!$A$1:$I$89,5,0)</f>
        <v>-1.2710188457276673E-13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365.13032894303285</v>
      </c>
      <c r="AO183" s="59">
        <f t="shared" si="144"/>
        <v>471.89239871617241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0.22583853944725285</v>
      </c>
      <c r="AV183" s="21">
        <f>EXP(-LN(2)/25)*AV182+(1-EXP(-LN(2)/25))/(LN(2)/25)*Calculateur!AQ183*Calculateur!AS183*VLOOKUP('Données projet'!$B$10,Paramètres!$A$1:$I$89,3,0)*0.475*44/12</f>
        <v>0.3250218036347487</v>
      </c>
      <c r="AW183" s="21">
        <f>EXP(-LN(2)/2)*AW182+(1-EXP(-LN(2)/2))/(LN(2)/2)*AQ183*AT183*VLOOKUP('Données projet'!$B$10,Paramètres!$A$1:$I$89,3,0)*0.475*44/12</f>
        <v>2.7688953644902079E-22</v>
      </c>
      <c r="AX183" s="21">
        <f t="shared" si="166"/>
        <v>0.5508603430820016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-5.3205440053716299E-14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226.0452828290525</v>
      </c>
      <c r="T184" s="59">
        <f t="shared" si="142"/>
        <v>179.89696397462069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0.45621869178340357</v>
      </c>
      <c r="AA184" s="21">
        <f>EXP(-LN(2)/25)*AA183+(1-EXP(-LN(2)/25))/(LN(2)/25)*Calculateur!V184*Calculateur!X184*VLOOKUP('Données projet'!$B$9,Paramètres!$A$1:$I$89,3,0)*0.475*44/12</f>
        <v>0.16947479342097044</v>
      </c>
      <c r="AB184" s="21">
        <f>EXP(-LN(2)/2)*AB183+(1-EXP(-LN(2)/2))/(LN(2)/2)*V184*Y184*VLOOKUP('Données projet'!$B$9,Paramètres!$A$1:$I$89,3,0)*0.475*44/12</f>
        <v>2.0669380430685E-22</v>
      </c>
      <c r="AC184" s="22">
        <f t="shared" si="163"/>
        <v>0.62569348520437407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-2.2737367544323206E-13</v>
      </c>
      <c r="AJ184" s="13">
        <f>AI184*VLOOKUP('Données projet'!$B$10,Paramètres!$A$1:$I$89,3,0)*VLOOKUP('Données projet'!$B$10,Paramètres!$A$1:$I$89,5,0)</f>
        <v>-1.2710188457276673E-13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365.13032894303285</v>
      </c>
      <c r="AO184" s="59">
        <f t="shared" si="144"/>
        <v>471.89239871617241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0.22140998343659982</v>
      </c>
      <c r="AV184" s="21">
        <f>EXP(-LN(2)/25)*AV183+(1-EXP(-LN(2)/25))/(LN(2)/25)*Calculateur!AQ184*Calculateur!AS184*VLOOKUP('Données projet'!$B$10,Paramètres!$A$1:$I$89,3,0)*0.475*44/12</f>
        <v>0.31613406532220267</v>
      </c>
      <c r="AW184" s="21">
        <f>EXP(-LN(2)/2)*AW183+(1-EXP(-LN(2)/2))/(LN(2)/2)*AQ184*AT184*VLOOKUP('Données projet'!$B$10,Paramètres!$A$1:$I$89,3,0)*0.475*44/12</f>
        <v>1.9579046886270232E-22</v>
      </c>
      <c r="AX184" s="21">
        <f t="shared" si="166"/>
        <v>0.53754404875880246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-5.3205440053716299E-14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226.0452828290525</v>
      </c>
      <c r="T185" s="59">
        <f t="shared" si="142"/>
        <v>179.89696397462069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0.44727252150345653</v>
      </c>
      <c r="AA185" s="21">
        <f>EXP(-LN(2)/25)*AA184+(1-EXP(-LN(2)/25))/(LN(2)/25)*Calculateur!V185*Calculateur!X185*VLOOKUP('Données projet'!$B$9,Paramètres!$A$1:$I$89,3,0)*0.475*44/12</f>
        <v>0.16484049628258196</v>
      </c>
      <c r="AB185" s="21">
        <f>EXP(-LN(2)/2)*AB184+(1-EXP(-LN(2)/2))/(LN(2)/2)*V185*Y185*VLOOKUP('Données projet'!$B$9,Paramètres!$A$1:$I$89,3,0)*0.475*44/12</f>
        <v>1.4615459065461888E-22</v>
      </c>
      <c r="AC185" s="22">
        <f t="shared" si="163"/>
        <v>0.61211301778603855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-2.2737367544323206E-13</v>
      </c>
      <c r="AJ185" s="13">
        <f>AI185*VLOOKUP('Données projet'!$B$10,Paramètres!$A$1:$I$89,3,0)*VLOOKUP('Données projet'!$B$10,Paramètres!$A$1:$I$89,5,0)</f>
        <v>-1.2710188457276673E-13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365.13032894303285</v>
      </c>
      <c r="AO185" s="59">
        <f t="shared" si="144"/>
        <v>471.89239871617241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0.21706826870816323</v>
      </c>
      <c r="AV185" s="21">
        <f>EXP(-LN(2)/25)*AV184+(1-EXP(-LN(2)/25))/(LN(2)/25)*Calculateur!AQ185*Calculateur!AS185*VLOOKUP('Données projet'!$B$10,Paramètres!$A$1:$I$89,3,0)*0.475*44/12</f>
        <v>0.30748936268119909</v>
      </c>
      <c r="AW185" s="21">
        <f>EXP(-LN(2)/2)*AW184+(1-EXP(-LN(2)/2))/(LN(2)/2)*AQ185*AT185*VLOOKUP('Données projet'!$B$10,Paramètres!$A$1:$I$89,3,0)*0.475*44/12</f>
        <v>1.3844476822451039E-22</v>
      </c>
      <c r="AX185" s="21">
        <f t="shared" si="166"/>
        <v>0.52455763138936229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-5.3205440053716299E-14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226.0452828290525</v>
      </c>
      <c r="T186" s="59">
        <f t="shared" si="142"/>
        <v>179.89696397462069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0.43850178016607416</v>
      </c>
      <c r="AA186" s="21">
        <f>EXP(-LN(2)/25)*AA185+(1-EXP(-LN(2)/25))/(LN(2)/25)*Calculateur!V186*Calculateur!X186*VLOOKUP('Données projet'!$B$9,Paramètres!$A$1:$I$89,3,0)*0.475*44/12</f>
        <v>0.16033292424314979</v>
      </c>
      <c r="AB186" s="21">
        <f>EXP(-LN(2)/2)*AB185+(1-EXP(-LN(2)/2))/(LN(2)/2)*V186*Y186*VLOOKUP('Données projet'!$B$9,Paramètres!$A$1:$I$89,3,0)*0.475*44/12</f>
        <v>1.0334690215342503E-22</v>
      </c>
      <c r="AC186" s="22">
        <f t="shared" si="163"/>
        <v>0.59883470440922393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-2.2737367544323206E-13</v>
      </c>
      <c r="AJ186" s="13">
        <f>AI186*VLOOKUP('Données projet'!$B$10,Paramètres!$A$1:$I$89,3,0)*VLOOKUP('Données projet'!$B$10,Paramètres!$A$1:$I$89,5,0)</f>
        <v>-1.2710188457276673E-13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365.13032894303285</v>
      </c>
      <c r="AO186" s="59">
        <f t="shared" si="144"/>
        <v>471.89239871617241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0.2128116923573668</v>
      </c>
      <c r="AV186" s="21">
        <f>EXP(-LN(2)/25)*AV185+(1-EXP(-LN(2)/25))/(LN(2)/25)*Calculateur!AQ186*Calculateur!AS186*VLOOKUP('Données projet'!$B$10,Paramètres!$A$1:$I$89,3,0)*0.475*44/12</f>
        <v>0.29908104988851891</v>
      </c>
      <c r="AW186" s="21">
        <f>EXP(-LN(2)/2)*AW185+(1-EXP(-LN(2)/2))/(LN(2)/2)*AQ186*AT186*VLOOKUP('Données projet'!$B$10,Paramètres!$A$1:$I$89,3,0)*0.475*44/12</f>
        <v>9.789523443135116E-23</v>
      </c>
      <c r="AX186" s="21">
        <f t="shared" si="166"/>
        <v>0.51189274224588566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-5.3205440053716299E-14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226.0452828290525</v>
      </c>
      <c r="T187" s="59">
        <f t="shared" si="142"/>
        <v>179.89696397462069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0.42990302771669392</v>
      </c>
      <c r="AA187" s="21">
        <f>EXP(-LN(2)/25)*AA186+(1-EXP(-LN(2)/25))/(LN(2)/25)*Calculateur!V187*Calculateur!X187*VLOOKUP('Données projet'!$B$9,Paramètres!$A$1:$I$89,3,0)*0.475*44/12</f>
        <v>0.15594861199817883</v>
      </c>
      <c r="AB187" s="21">
        <f>EXP(-LN(2)/2)*AB186+(1-EXP(-LN(2)/2))/(LN(2)/2)*V187*Y187*VLOOKUP('Données projet'!$B$9,Paramètres!$A$1:$I$89,3,0)*0.475*44/12</f>
        <v>7.307729532730945E-23</v>
      </c>
      <c r="AC187" s="22">
        <f t="shared" si="163"/>
        <v>0.58585163971487275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-2.2737367544323206E-13</v>
      </c>
      <c r="AJ187" s="13">
        <f>AI187*VLOOKUP('Données projet'!$B$10,Paramètres!$A$1:$I$89,3,0)*VLOOKUP('Données projet'!$B$10,Paramètres!$A$1:$I$89,5,0)</f>
        <v>-1.2710188457276673E-13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365.13032894303285</v>
      </c>
      <c r="AO187" s="59">
        <f t="shared" si="144"/>
        <v>471.89239871617241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0.20863858487255427</v>
      </c>
      <c r="AV187" s="21">
        <f>EXP(-LN(2)/25)*AV186+(1-EXP(-LN(2)/25))/(LN(2)/25)*Calculateur!AQ187*Calculateur!AS187*VLOOKUP('Données projet'!$B$10,Paramètres!$A$1:$I$89,3,0)*0.475*44/12</f>
        <v>0.29090266285132849</v>
      </c>
      <c r="AW187" s="21">
        <f>EXP(-LN(2)/2)*AW186+(1-EXP(-LN(2)/2))/(LN(2)/2)*AQ187*AT187*VLOOKUP('Données projet'!$B$10,Paramètres!$A$1:$I$89,3,0)*0.475*44/12</f>
        <v>6.9222384112255197E-23</v>
      </c>
      <c r="AX187" s="21">
        <f t="shared" si="166"/>
        <v>0.49954124772388275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-5.3205440053716299E-14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226.0452828290525</v>
      </c>
      <c r="T188" s="59">
        <f t="shared" si="142"/>
        <v>179.89696397462069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0.4214728915581249</v>
      </c>
      <c r="AA188" s="21">
        <f>EXP(-LN(2)/25)*AA187+(1-EXP(-LN(2)/25))/(LN(2)/25)*Calculateur!V188*Calculateur!X188*VLOOKUP('Données projet'!$B$9,Paramètres!$A$1:$I$89,3,0)*0.475*44/12</f>
        <v>0.15168418900210756</v>
      </c>
      <c r="AB188" s="21">
        <f>EXP(-LN(2)/2)*AB187+(1-EXP(-LN(2)/2))/(LN(2)/2)*V188*Y188*VLOOKUP('Données projet'!$B$9,Paramètres!$A$1:$I$89,3,0)*0.475*44/12</f>
        <v>5.1673451076712519E-23</v>
      </c>
      <c r="AC188" s="22">
        <f t="shared" si="163"/>
        <v>0.5731570805602324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-2.2737367544323206E-13</v>
      </c>
      <c r="AJ188" s="13">
        <f>AI188*VLOOKUP('Données projet'!$B$10,Paramètres!$A$1:$I$89,3,0)*VLOOKUP('Données projet'!$B$10,Paramètres!$A$1:$I$89,5,0)</f>
        <v>-1.2710188457276673E-13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365.13032894303285</v>
      </c>
      <c r="AO188" s="59">
        <f t="shared" si="144"/>
        <v>471.89239871617241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0.20454730948017466</v>
      </c>
      <c r="AV188" s="21">
        <f>EXP(-LN(2)/25)*AV187+(1-EXP(-LN(2)/25))/(LN(2)/25)*Calculateur!AQ188*Calculateur!AS188*VLOOKUP('Données projet'!$B$10,Paramètres!$A$1:$I$89,3,0)*0.475*44/12</f>
        <v>0.28294791423775273</v>
      </c>
      <c r="AW188" s="21">
        <f>EXP(-LN(2)/2)*AW187+(1-EXP(-LN(2)/2))/(LN(2)/2)*AQ188*AT188*VLOOKUP('Données projet'!$B$10,Paramètres!$A$1:$I$89,3,0)*0.475*44/12</f>
        <v>4.894761721567558E-23</v>
      </c>
      <c r="AX188" s="21">
        <f t="shared" si="166"/>
        <v>0.48749522371792742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-5.3205440053716299E-14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226.0452828290525</v>
      </c>
      <c r="T189" s="59">
        <f t="shared" si="142"/>
        <v>179.89696397462069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0.41320806522775005</v>
      </c>
      <c r="AA189" s="21">
        <f>EXP(-LN(2)/25)*AA188+(1-EXP(-LN(2)/25))/(LN(2)/25)*Calculateur!V189*Calculateur!X189*VLOOKUP('Données projet'!$B$9,Paramètres!$A$1:$I$89,3,0)*0.475*44/12</f>
        <v>0.1475363768771201</v>
      </c>
      <c r="AB189" s="21">
        <f>EXP(-LN(2)/2)*AB188+(1-EXP(-LN(2)/2))/(LN(2)/2)*V189*Y189*VLOOKUP('Données projet'!$B$9,Paramètres!$A$1:$I$89,3,0)*0.475*44/12</f>
        <v>3.6538647663654731E-23</v>
      </c>
      <c r="AC189" s="22">
        <f t="shared" si="163"/>
        <v>0.56074444210487018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-2.2737367544323206E-13</v>
      </c>
      <c r="AJ189" s="13">
        <f>AI189*VLOOKUP('Données projet'!$B$10,Paramètres!$A$1:$I$89,3,0)*VLOOKUP('Données projet'!$B$10,Paramètres!$A$1:$I$89,5,0)</f>
        <v>-1.2710188457276673E-13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365.13032894303285</v>
      </c>
      <c r="AO189" s="59">
        <f t="shared" si="144"/>
        <v>471.89239871617241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0.20053626150280804</v>
      </c>
      <c r="AV189" s="21">
        <f>EXP(-LN(2)/25)*AV188+(1-EXP(-LN(2)/25))/(LN(2)/25)*Calculateur!AQ189*Calculateur!AS189*VLOOKUP('Données projet'!$B$10,Paramètres!$A$1:$I$89,3,0)*0.475*44/12</f>
        <v>0.27521068864333725</v>
      </c>
      <c r="AW189" s="21">
        <f>EXP(-LN(2)/2)*AW188+(1-EXP(-LN(2)/2))/(LN(2)/2)*AQ189*AT189*VLOOKUP('Données projet'!$B$10,Paramètres!$A$1:$I$89,3,0)*0.475*44/12</f>
        <v>3.4611192056127598E-23</v>
      </c>
      <c r="AX189" s="21">
        <f t="shared" si="166"/>
        <v>0.47574695014614532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-5.3205440053716299E-14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226.0452828290525</v>
      </c>
      <c r="T190" s="59">
        <f t="shared" si="142"/>
        <v>179.89696397462069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0.40510530710066756</v>
      </c>
      <c r="AA190" s="21">
        <f>EXP(-LN(2)/25)*AA189+(1-EXP(-LN(2)/25))/(LN(2)/25)*Calculateur!V190*Calculateur!X190*VLOOKUP('Données projet'!$B$9,Paramètres!$A$1:$I$89,3,0)*0.475*44/12</f>
        <v>0.14350198689281438</v>
      </c>
      <c r="AB190" s="21">
        <f>EXP(-LN(2)/2)*AB189+(1-EXP(-LN(2)/2))/(LN(2)/2)*V190*Y190*VLOOKUP('Données projet'!$B$9,Paramètres!$A$1:$I$89,3,0)*0.475*44/12</f>
        <v>2.5836725538356262E-23</v>
      </c>
      <c r="AC190" s="22">
        <f t="shared" si="163"/>
        <v>0.54860729399348196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-2.2737367544323206E-13</v>
      </c>
      <c r="AJ190" s="13">
        <f>AI190*VLOOKUP('Données projet'!$B$10,Paramètres!$A$1:$I$89,3,0)*VLOOKUP('Données projet'!$B$10,Paramètres!$A$1:$I$89,5,0)</f>
        <v>-1.2710188457276673E-13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365.13032894303285</v>
      </c>
      <c r="AO190" s="59">
        <f t="shared" si="144"/>
        <v>471.89239871617241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0.19660386772977989</v>
      </c>
      <c r="AV190" s="21">
        <f>EXP(-LN(2)/25)*AV189+(1-EXP(-LN(2)/25))/(LN(2)/25)*Calculateur!AQ190*Calculateur!AS190*VLOOKUP('Données projet'!$B$10,Paramètres!$A$1:$I$89,3,0)*0.475*44/12</f>
        <v>0.26768503788968406</v>
      </c>
      <c r="AW190" s="21">
        <f>EXP(-LN(2)/2)*AW189+(1-EXP(-LN(2)/2))/(LN(2)/2)*AQ190*AT190*VLOOKUP('Données projet'!$B$10,Paramètres!$A$1:$I$89,3,0)*0.475*44/12</f>
        <v>2.447380860783779E-23</v>
      </c>
      <c r="AX190" s="21">
        <f t="shared" si="166"/>
        <v>0.46428890561946395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-5.3205440053716299E-14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226.0452828290525</v>
      </c>
      <c r="T191" s="59">
        <f t="shared" si="142"/>
        <v>179.89696397462069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0.39716143911826268</v>
      </c>
      <c r="AA191" s="21">
        <f>EXP(-LN(2)/25)*AA190+(1-EXP(-LN(2)/25))/(LN(2)/25)*Calculateur!V191*Calculateur!X191*VLOOKUP('Données projet'!$B$9,Paramètres!$A$1:$I$89,3,0)*0.475*44/12</f>
        <v>0.13957791751478885</v>
      </c>
      <c r="AB191" s="21">
        <f>EXP(-LN(2)/2)*AB190+(1-EXP(-LN(2)/2))/(LN(2)/2)*V191*Y191*VLOOKUP('Données projet'!$B$9,Paramètres!$A$1:$I$89,3,0)*0.475*44/12</f>
        <v>1.8269323831827368E-23</v>
      </c>
      <c r="AC191" s="22">
        <f t="shared" si="163"/>
        <v>0.5367393566330515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-2.2737367544323206E-13</v>
      </c>
      <c r="AJ191" s="13">
        <f>AI191*VLOOKUP('Données projet'!$B$10,Paramètres!$A$1:$I$89,3,0)*VLOOKUP('Données projet'!$B$10,Paramètres!$A$1:$I$89,5,0)</f>
        <v>-1.2710188457276673E-13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365.13032894303285</v>
      </c>
      <c r="AO191" s="59">
        <f t="shared" si="144"/>
        <v>471.89239871617241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0.19274858580011744</v>
      </c>
      <c r="AV191" s="21">
        <f>EXP(-LN(2)/25)*AV190+(1-EXP(-LN(2)/25))/(LN(2)/25)*Calculateur!AQ191*Calculateur!AS191*VLOOKUP('Données projet'!$B$10,Paramètres!$A$1:$I$89,3,0)*0.475*44/12</f>
        <v>0.26036517645164631</v>
      </c>
      <c r="AW191" s="21">
        <f>EXP(-LN(2)/2)*AW190+(1-EXP(-LN(2)/2))/(LN(2)/2)*AQ191*AT191*VLOOKUP('Données projet'!$B$10,Paramètres!$A$1:$I$89,3,0)*0.475*44/12</f>
        <v>1.7305596028063799E-23</v>
      </c>
      <c r="AX191" s="21">
        <f t="shared" si="166"/>
        <v>0.45311376225176375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-5.3205440053716299E-14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226.0452828290525</v>
      </c>
      <c r="T192" s="59">
        <f t="shared" si="142"/>
        <v>179.89696397462069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0.38937334554171177</v>
      </c>
      <c r="AA192" s="21">
        <f>EXP(-LN(2)/25)*AA191+(1-EXP(-LN(2)/25))/(LN(2)/25)*Calculateur!V192*Calculateur!X192*VLOOKUP('Données projet'!$B$9,Paramètres!$A$1:$I$89,3,0)*0.475*44/12</f>
        <v>0.13576115202026326</v>
      </c>
      <c r="AB192" s="21">
        <f>EXP(-LN(2)/2)*AB191+(1-EXP(-LN(2)/2))/(LN(2)/2)*V192*Y192*VLOOKUP('Données projet'!$B$9,Paramètres!$A$1:$I$89,3,0)*0.475*44/12</f>
        <v>1.2918362769178134E-23</v>
      </c>
      <c r="AC192" s="22">
        <f t="shared" si="163"/>
        <v>0.52513449756197506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-2.2737367544323206E-13</v>
      </c>
      <c r="AJ192" s="13">
        <f>AI192*VLOOKUP('Données projet'!$B$10,Paramètres!$A$1:$I$89,3,0)*VLOOKUP('Données projet'!$B$10,Paramètres!$A$1:$I$89,5,0)</f>
        <v>-1.2710188457276673E-13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365.13032894303285</v>
      </c>
      <c r="AO192" s="59">
        <f t="shared" si="144"/>
        <v>471.89239871617241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0.1889689035976059</v>
      </c>
      <c r="AV192" s="21">
        <f>EXP(-LN(2)/25)*AV191+(1-EXP(-LN(2)/25))/(LN(2)/25)*Calculateur!AQ192*Calculateur!AS192*VLOOKUP('Données projet'!$B$10,Paramètres!$A$1:$I$89,3,0)*0.475*44/12</f>
        <v>0.25324547700956646</v>
      </c>
      <c r="AW192" s="21">
        <f>EXP(-LN(2)/2)*AW191+(1-EXP(-LN(2)/2))/(LN(2)/2)*AQ192*AT192*VLOOKUP('Données projet'!$B$10,Paramètres!$A$1:$I$89,3,0)*0.475*44/12</f>
        <v>1.2236904303918895E-23</v>
      </c>
      <c r="AX192" s="21">
        <f t="shared" si="166"/>
        <v>0.44221438060717233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-5.3205440053716299E-14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226.0452828290525</v>
      </c>
      <c r="T193" s="59">
        <f t="shared" si="142"/>
        <v>179.89696397462069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0.38173797172992896</v>
      </c>
      <c r="AA193" s="21">
        <f>EXP(-LN(2)/25)*AA192+(1-EXP(-LN(2)/25))/(LN(2)/25)*Calculateur!V193*Calculateur!X193*VLOOKUP('Données projet'!$B$9,Paramètres!$A$1:$I$89,3,0)*0.475*44/12</f>
        <v>0.13204875617890047</v>
      </c>
      <c r="AB193" s="21">
        <f>EXP(-LN(2)/2)*AB192+(1-EXP(-LN(2)/2))/(LN(2)/2)*V193*Y193*VLOOKUP('Données projet'!$B$9,Paramètres!$A$1:$I$89,3,0)*0.475*44/12</f>
        <v>9.1346619159136856E-24</v>
      </c>
      <c r="AC193" s="22">
        <f t="shared" si="163"/>
        <v>0.5137867279088294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-2.2737367544323206E-13</v>
      </c>
      <c r="AJ193" s="13">
        <f>AI193*VLOOKUP('Données projet'!$B$10,Paramètres!$A$1:$I$89,3,0)*VLOOKUP('Données projet'!$B$10,Paramètres!$A$1:$I$89,5,0)</f>
        <v>-1.2710188457276673E-13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365.13032894303285</v>
      </c>
      <c r="AO193" s="59">
        <f t="shared" si="144"/>
        <v>471.89239871617241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0.18526333865770711</v>
      </c>
      <c r="AV193" s="21">
        <f>EXP(-LN(2)/25)*AV192+(1-EXP(-LN(2)/25))/(LN(2)/25)*Calculateur!AQ193*Calculateur!AS193*VLOOKUP('Données projet'!$B$10,Paramètres!$A$1:$I$89,3,0)*0.475*44/12</f>
        <v>0.24632046612313901</v>
      </c>
      <c r="AW193" s="21">
        <f>EXP(-LN(2)/2)*AW192+(1-EXP(-LN(2)/2))/(LN(2)/2)*AQ193*AT193*VLOOKUP('Données projet'!$B$10,Paramètres!$A$1:$I$89,3,0)*0.475*44/12</f>
        <v>8.6527980140318996E-24</v>
      </c>
      <c r="AX193" s="21">
        <f t="shared" si="166"/>
        <v>0.43158380478084613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-5.3205440053716299E-14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226.0452828290525</v>
      </c>
      <c r="T194" s="59">
        <f t="shared" si="142"/>
        <v>179.89696397462069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0.37425232294147703</v>
      </c>
      <c r="AA194" s="21">
        <f>EXP(-LN(2)/25)*AA193+(1-EXP(-LN(2)/25))/(LN(2)/25)*Calculateur!V194*Calculateur!X194*VLOOKUP('Données projet'!$B$9,Paramètres!$A$1:$I$89,3,0)*0.475*44/12</f>
        <v>0.12843787599704615</v>
      </c>
      <c r="AB194" s="21">
        <f>EXP(-LN(2)/2)*AB193+(1-EXP(-LN(2)/2))/(LN(2)/2)*V194*Y194*VLOOKUP('Données projet'!$B$9,Paramètres!$A$1:$I$89,3,0)*0.475*44/12</f>
        <v>6.4591813845890678E-24</v>
      </c>
      <c r="AC194" s="22">
        <f t="shared" si="163"/>
        <v>0.50269019893852318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-2.2737367544323206E-13</v>
      </c>
      <c r="AJ194" s="13">
        <f>AI194*VLOOKUP('Données projet'!$B$10,Paramètres!$A$1:$I$89,3,0)*VLOOKUP('Données projet'!$B$10,Paramètres!$A$1:$I$89,5,0)</f>
        <v>-1.2710188457276673E-13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365.13032894303285</v>
      </c>
      <c r="AO194" s="59">
        <f t="shared" si="144"/>
        <v>471.89239871617241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0.18163043758610828</v>
      </c>
      <c r="AV194" s="21">
        <f>EXP(-LN(2)/25)*AV193+(1-EXP(-LN(2)/25))/(LN(2)/25)*Calculateur!AQ194*Calculateur!AS194*VLOOKUP('Données projet'!$B$10,Paramètres!$A$1:$I$89,3,0)*0.475*44/12</f>
        <v>0.23958482002357143</v>
      </c>
      <c r="AW194" s="21">
        <f>EXP(-LN(2)/2)*AW193+(1-EXP(-LN(2)/2))/(LN(2)/2)*AQ194*AT194*VLOOKUP('Données projet'!$B$10,Paramètres!$A$1:$I$89,3,0)*0.475*44/12</f>
        <v>6.1184521519594475E-24</v>
      </c>
      <c r="AX194" s="21">
        <f t="shared" si="166"/>
        <v>0.42121525760967971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-5.3205440053716299E-14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226.0452828290525</v>
      </c>
      <c r="T195" s="59">
        <f t="shared" si="142"/>
        <v>179.89696397462069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0.36691346315997175</v>
      </c>
      <c r="AA195" s="21">
        <f>EXP(-LN(2)/25)*AA194+(1-EXP(-LN(2)/25))/(LN(2)/25)*Calculateur!V195*Calculateur!X195*VLOOKUP('Données projet'!$B$9,Paramètres!$A$1:$I$89,3,0)*0.475*44/12</f>
        <v>0.12492573552365258</v>
      </c>
      <c r="AB195" s="21">
        <f>EXP(-LN(2)/2)*AB194+(1-EXP(-LN(2)/2))/(LN(2)/2)*V195*Y195*VLOOKUP('Données projet'!$B$9,Paramètres!$A$1:$I$89,3,0)*0.475*44/12</f>
        <v>4.5673309579568435E-24</v>
      </c>
      <c r="AC195" s="22">
        <f t="shared" si="163"/>
        <v>0.49183919868362436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-2.2737367544323206E-13</v>
      </c>
      <c r="AJ195" s="13">
        <f>AI195*VLOOKUP('Données projet'!$B$10,Paramètres!$A$1:$I$89,3,0)*VLOOKUP('Données projet'!$B$10,Paramètres!$A$1:$I$89,5,0)</f>
        <v>-1.2710188457276673E-13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365.13032894303285</v>
      </c>
      <c r="AO195" s="59">
        <f t="shared" si="144"/>
        <v>471.89239871617241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0.17806877548867264</v>
      </c>
      <c r="AV195" s="21">
        <f>EXP(-LN(2)/25)*AV194+(1-EXP(-LN(2)/25))/(LN(2)/25)*Calculateur!AQ195*Calculateur!AS195*VLOOKUP('Données projet'!$B$10,Paramètres!$A$1:$I$89,3,0)*0.475*44/12</f>
        <v>0.23303336052080875</v>
      </c>
      <c r="AW195" s="21">
        <f>EXP(-LN(2)/2)*AW194+(1-EXP(-LN(2)/2))/(LN(2)/2)*AQ195*AT195*VLOOKUP('Données projet'!$B$10,Paramètres!$A$1:$I$89,3,0)*0.475*44/12</f>
        <v>4.3263990070159498E-24</v>
      </c>
      <c r="AX195" s="21">
        <f t="shared" si="166"/>
        <v>0.41110213600948142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-5.3205440053716299E-14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226.0452828290525</v>
      </c>
      <c r="T196" s="59">
        <f t="shared" si="142"/>
        <v>179.89696397462069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0.3597185139425193</v>
      </c>
      <c r="AA196" s="21">
        <f>EXP(-LN(2)/25)*AA195+(1-EXP(-LN(2)/25))/(LN(2)/25)*Calculateur!V196*Calculateur!X196*VLOOKUP('Données projet'!$B$9,Paramètres!$A$1:$I$89,3,0)*0.475*44/12</f>
        <v>0.12150963471619938</v>
      </c>
      <c r="AB196" s="21">
        <f>EXP(-LN(2)/2)*AB195+(1-EXP(-LN(2)/2))/(LN(2)/2)*V196*Y196*VLOOKUP('Données projet'!$B$9,Paramètres!$A$1:$I$89,3,0)*0.475*44/12</f>
        <v>3.2295906922945346E-24</v>
      </c>
      <c r="AC196" s="22">
        <f t="shared" si="163"/>
        <v>0.48122814865871866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-2.2737367544323206E-13</v>
      </c>
      <c r="AJ196" s="13">
        <f>AI196*VLOOKUP('Données projet'!$B$10,Paramètres!$A$1:$I$89,3,0)*VLOOKUP('Données projet'!$B$10,Paramètres!$A$1:$I$89,5,0)</f>
        <v>-1.2710188457276673E-13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365.13032894303285</v>
      </c>
      <c r="AO196" s="59">
        <f t="shared" si="144"/>
        <v>471.89239871617241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0.17457695541256835</v>
      </c>
      <c r="AV196" s="21">
        <f>EXP(-LN(2)/25)*AV195+(1-EXP(-LN(2)/25))/(LN(2)/25)*Calculateur!AQ196*Calculateur!AS196*VLOOKUP('Données projet'!$B$10,Paramètres!$A$1:$I$89,3,0)*0.475*44/12</f>
        <v>0.22666105102267542</v>
      </c>
      <c r="AW196" s="21">
        <f>EXP(-LN(2)/2)*AW195+(1-EXP(-LN(2)/2))/(LN(2)/2)*AQ196*AT196*VLOOKUP('Données projet'!$B$10,Paramètres!$A$1:$I$89,3,0)*0.475*44/12</f>
        <v>3.0592260759797237E-24</v>
      </c>
      <c r="AX196" s="21">
        <f t="shared" si="166"/>
        <v>0.40123800643524377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-5.3205440053716299E-14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226.0452828290525</v>
      </c>
      <c r="T197" s="59">
        <f t="shared" ref="T197:T203" si="204">$T$3</f>
        <v>179.89696397462069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0.35266465329073537</v>
      </c>
      <c r="AA197" s="21">
        <f>EXP(-LN(2)/25)*AA196+(1-EXP(-LN(2)/25))/(LN(2)/25)*Calculateur!V197*Calculateur!X197*VLOOKUP('Données projet'!$B$9,Paramètres!$A$1:$I$89,3,0)*0.475*44/12</f>
        <v>0.11818694736497093</v>
      </c>
      <c r="AB197" s="21">
        <f>EXP(-LN(2)/2)*AB196+(1-EXP(-LN(2)/2))/(LN(2)/2)*V197*Y197*VLOOKUP('Données projet'!$B$9,Paramètres!$A$1:$I$89,3,0)*0.475*44/12</f>
        <v>2.2836654789784221E-24</v>
      </c>
      <c r="AC197" s="22">
        <f t="shared" si="163"/>
        <v>0.4708516006557063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-2.2737367544323206E-13</v>
      </c>
      <c r="AJ197" s="13">
        <f>AI197*VLOOKUP('Données projet'!$B$10,Paramètres!$A$1:$I$89,3,0)*VLOOKUP('Données projet'!$B$10,Paramètres!$A$1:$I$89,5,0)</f>
        <v>-1.2710188457276673E-13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365.13032894303285</v>
      </c>
      <c r="AO197" s="59">
        <f t="shared" ref="AO197:AO203" si="205">$AO$3</f>
        <v>471.89239871617241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0.17115360779835651</v>
      </c>
      <c r="AV197" s="21">
        <f>EXP(-LN(2)/25)*AV196+(1-EXP(-LN(2)/25))/(LN(2)/25)*Calculateur!AQ197*Calculateur!AS197*VLOOKUP('Données projet'!$B$10,Paramètres!$A$1:$I$89,3,0)*0.475*44/12</f>
        <v>0.22046299266287372</v>
      </c>
      <c r="AW197" s="21">
        <f>EXP(-LN(2)/2)*AW196+(1-EXP(-LN(2)/2))/(LN(2)/2)*AQ197*AT197*VLOOKUP('Données projet'!$B$10,Paramètres!$A$1:$I$89,3,0)*0.475*44/12</f>
        <v>2.1631995035079749E-24</v>
      </c>
      <c r="AX197" s="21">
        <f t="shared" si="166"/>
        <v>0.39161660046123026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-5.3205440053716299E-14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226.0452828290525</v>
      </c>
      <c r="T198" s="59">
        <f t="shared" si="204"/>
        <v>179.89696397462069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0.34574911454390278</v>
      </c>
      <c r="AA198" s="21">
        <f>EXP(-LN(2)/25)*AA197+(1-EXP(-LN(2)/25))/(LN(2)/25)*Calculateur!V198*Calculateur!X198*VLOOKUP('Données projet'!$B$9,Paramètres!$A$1:$I$89,3,0)*0.475*44/12</f>
        <v>0.11495511907409435</v>
      </c>
      <c r="AB198" s="21">
        <f>EXP(-LN(2)/2)*AB197+(1-EXP(-LN(2)/2))/(LN(2)/2)*V198*Y198*VLOOKUP('Données projet'!$B$9,Paramètres!$A$1:$I$89,3,0)*0.475*44/12</f>
        <v>1.6147953461472675E-24</v>
      </c>
      <c r="AC198" s="22">
        <f t="shared" si="163"/>
        <v>0.46070423361799712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-2.2737367544323206E-13</v>
      </c>
      <c r="AJ198" s="13">
        <f>AI198*VLOOKUP('Données projet'!$B$10,Paramètres!$A$1:$I$89,3,0)*VLOOKUP('Données projet'!$B$10,Paramètres!$A$1:$I$89,5,0)</f>
        <v>-1.2710188457276673E-13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365.13032894303285</v>
      </c>
      <c r="AO198" s="59">
        <f t="shared" si="205"/>
        <v>471.89239871617241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0.1677973899428235</v>
      </c>
      <c r="AV198" s="21">
        <f>EXP(-LN(2)/25)*AV197+(1-EXP(-LN(2)/25))/(LN(2)/25)*Calculateur!AQ198*Calculateur!AS198*VLOOKUP('Données projet'!$B$10,Paramètres!$A$1:$I$89,3,0)*0.475*44/12</f>
        <v>0.21443442053486253</v>
      </c>
      <c r="AW198" s="21">
        <f>EXP(-LN(2)/2)*AW197+(1-EXP(-LN(2)/2))/(LN(2)/2)*AQ198*AT198*VLOOKUP('Données projet'!$B$10,Paramètres!$A$1:$I$89,3,0)*0.475*44/12</f>
        <v>1.5296130379898619E-24</v>
      </c>
      <c r="AX198" s="21">
        <f t="shared" si="166"/>
        <v>0.38223181047768606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-5.3205440053716299E-14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226.0452828290525</v>
      </c>
      <c r="T199" s="59">
        <f t="shared" si="204"/>
        <v>179.89696397462069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0.33896918529383346</v>
      </c>
      <c r="AA199" s="21">
        <f>EXP(-LN(2)/25)*AA198+(1-EXP(-LN(2)/25))/(LN(2)/25)*Calculateur!V199*Calculateur!X199*VLOOKUP('Données projet'!$B$9,Paramètres!$A$1:$I$89,3,0)*0.475*44/12</f>
        <v>0.11181166529778626</v>
      </c>
      <c r="AB199" s="21">
        <f>EXP(-LN(2)/2)*AB198+(1-EXP(-LN(2)/2))/(LN(2)/2)*V199*Y199*VLOOKUP('Données projet'!$B$9,Paramètres!$A$1:$I$89,3,0)*0.475*44/12</f>
        <v>1.1418327394892113E-24</v>
      </c>
      <c r="AC199" s="22">
        <f t="shared" si="163"/>
        <v>0.45078085059161971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-2.2737367544323206E-13</v>
      </c>
      <c r="AJ199" s="13">
        <f>AI199*VLOOKUP('Données projet'!$B$10,Paramètres!$A$1:$I$89,3,0)*VLOOKUP('Données projet'!$B$10,Paramètres!$A$1:$I$89,5,0)</f>
        <v>-1.2710188457276673E-13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365.13032894303285</v>
      </c>
      <c r="AO199" s="59">
        <f t="shared" si="205"/>
        <v>471.89239871617241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0.16450698547234674</v>
      </c>
      <c r="AV199" s="21">
        <f>EXP(-LN(2)/25)*AV198+(1-EXP(-LN(2)/25))/(LN(2)/25)*Calculateur!AQ199*Calculateur!AS199*VLOOKUP('Données projet'!$B$10,Paramètres!$A$1:$I$89,3,0)*0.475*44/12</f>
        <v>0.20857070002872063</v>
      </c>
      <c r="AW199" s="21">
        <f>EXP(-LN(2)/2)*AW198+(1-EXP(-LN(2)/2))/(LN(2)/2)*AQ199*AT199*VLOOKUP('Données projet'!$B$10,Paramètres!$A$1:$I$89,3,0)*0.475*44/12</f>
        <v>1.0815997517539874E-24</v>
      </c>
      <c r="AX199" s="21">
        <f t="shared" si="166"/>
        <v>0.37307768550106735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-5.3205440053716299E-14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226.0452828290525</v>
      </c>
      <c r="T200" s="59">
        <f t="shared" si="204"/>
        <v>179.89696397462069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0.33232220632100945</v>
      </c>
      <c r="AA200" s="21">
        <f>EXP(-LN(2)/25)*AA199+(1-EXP(-LN(2)/25))/(LN(2)/25)*Calculateur!V200*Calculateur!X200*VLOOKUP('Données projet'!$B$9,Paramètres!$A$1:$I$89,3,0)*0.475*44/12</f>
        <v>0.10875416943029836</v>
      </c>
      <c r="AB200" s="21">
        <f>EXP(-LN(2)/2)*AB199+(1-EXP(-LN(2)/2))/(LN(2)/2)*V200*Y200*VLOOKUP('Données projet'!$B$9,Paramètres!$A$1:$I$89,3,0)*0.475*44/12</f>
        <v>8.0739767307363384E-25</v>
      </c>
      <c r="AC200" s="22">
        <f t="shared" si="163"/>
        <v>0.44107637575130781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-2.2737367544323206E-13</v>
      </c>
      <c r="AJ200" s="13">
        <f>AI200*VLOOKUP('Données projet'!$B$10,Paramètres!$A$1:$I$89,3,0)*VLOOKUP('Données projet'!$B$10,Paramètres!$A$1:$I$89,5,0)</f>
        <v>-1.2710188457276673E-13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365.13032894303285</v>
      </c>
      <c r="AO200" s="59">
        <f t="shared" si="205"/>
        <v>471.89239871617241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0.16128110382658747</v>
      </c>
      <c r="AV200" s="21">
        <f>EXP(-LN(2)/25)*AV199+(1-EXP(-LN(2)/25))/(LN(2)/25)*Calculateur!AQ200*Calculateur!AS200*VLOOKUP('Données projet'!$B$10,Paramètres!$A$1:$I$89,3,0)*0.475*44/12</f>
        <v>0.20286732326817886</v>
      </c>
      <c r="AW200" s="21">
        <f>EXP(-LN(2)/2)*AW199+(1-EXP(-LN(2)/2))/(LN(2)/2)*AQ200*AT200*VLOOKUP('Données projet'!$B$10,Paramètres!$A$1:$I$89,3,0)*0.475*44/12</f>
        <v>7.6480651899493094E-25</v>
      </c>
      <c r="AX200" s="21">
        <f t="shared" si="166"/>
        <v>0.36414842709476636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-5.3205440053716299E-14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226.0452828290525</v>
      </c>
      <c r="T201" s="59">
        <f t="shared" si="204"/>
        <v>179.89696397462069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0.32580557055158571</v>
      </c>
      <c r="AA201" s="21">
        <f>EXP(-LN(2)/25)*AA200+(1-EXP(-LN(2)/25))/(LN(2)/25)*Calculateur!V201*Calculateur!X201*VLOOKUP('Données projet'!$B$9,Paramètres!$A$1:$I$89,3,0)*0.475*44/12</f>
        <v>0.10578028094809365</v>
      </c>
      <c r="AB201" s="21">
        <f>EXP(-LN(2)/2)*AB200+(1-EXP(-LN(2)/2))/(LN(2)/2)*V201*Y201*VLOOKUP('Données projet'!$B$9,Paramètres!$A$1:$I$89,3,0)*0.475*44/12</f>
        <v>5.7091636974460572E-25</v>
      </c>
      <c r="AC201" s="22">
        <f t="shared" si="163"/>
        <v>0.43158585149967937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-2.2737367544323206E-13</v>
      </c>
      <c r="AJ201" s="13">
        <f>AI201*VLOOKUP('Données projet'!$B$10,Paramètres!$A$1:$I$89,3,0)*VLOOKUP('Données projet'!$B$10,Paramètres!$A$1:$I$89,5,0)</f>
        <v>-1.2710188457276673E-13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365.13032894303285</v>
      </c>
      <c r="AO201" s="59">
        <f t="shared" si="205"/>
        <v>471.89239871617241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0.15811847975230803</v>
      </c>
      <c r="AV201" s="21">
        <f>EXP(-LN(2)/25)*AV200+(1-EXP(-LN(2)/25))/(LN(2)/25)*Calculateur!AQ201*Calculateur!AS201*VLOOKUP('Données projet'!$B$10,Paramètres!$A$1:$I$89,3,0)*0.475*44/12</f>
        <v>0.19731990564508164</v>
      </c>
      <c r="AW201" s="21">
        <f>EXP(-LN(2)/2)*AW200+(1-EXP(-LN(2)/2))/(LN(2)/2)*AQ201*AT201*VLOOKUP('Données projet'!$B$10,Paramètres!$A$1:$I$89,3,0)*0.475*44/12</f>
        <v>5.4079987587699372E-25</v>
      </c>
      <c r="AX201" s="21">
        <f t="shared" si="166"/>
        <v>0.3554383853973897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-5.3205440053716299E-14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226.0452828290525</v>
      </c>
      <c r="T202" s="59">
        <f t="shared" si="204"/>
        <v>179.89696397462069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0.319416722034845</v>
      </c>
      <c r="AA202" s="21">
        <f>EXP(-LN(2)/25)*AA201+(1-EXP(-LN(2)/25))/(LN(2)/25)*Calculateur!V202*Calculateur!X202*VLOOKUP('Données projet'!$B$9,Paramètres!$A$1:$I$89,3,0)*0.475*44/12</f>
        <v>0.10288771360282482</v>
      </c>
      <c r="AB202" s="21">
        <f>EXP(-LN(2)/2)*AB201+(1-EXP(-LN(2)/2))/(LN(2)/2)*V202*Y202*VLOOKUP('Données projet'!$B$9,Paramètres!$A$1:$I$89,3,0)*0.475*44/12</f>
        <v>4.0369883653681701E-25</v>
      </c>
      <c r="AC202" s="22">
        <f t="shared" si="163"/>
        <v>0.42230443563766984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-2.2737367544323206E-13</v>
      </c>
      <c r="AJ202" s="13">
        <f>AI202*VLOOKUP('Données projet'!$B$10,Paramètres!$A$1:$I$89,3,0)*VLOOKUP('Données projet'!$B$10,Paramètres!$A$1:$I$89,5,0)</f>
        <v>-1.2710188457276673E-13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365.13032894303285</v>
      </c>
      <c r="AO202" s="59">
        <f t="shared" si="205"/>
        <v>471.89239871617241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0.15501787280711499</v>
      </c>
      <c r="AV202" s="21">
        <f>EXP(-LN(2)/25)*AV201+(1-EXP(-LN(2)/25))/(LN(2)/25)*Calculateur!AQ202*Calculateur!AS202*VLOOKUP('Données projet'!$B$10,Paramètres!$A$1:$I$89,3,0)*0.475*44/12</f>
        <v>0.19192418244861403</v>
      </c>
      <c r="AW202" s="21">
        <f>EXP(-LN(2)/2)*AW201+(1-EXP(-LN(2)/2))/(LN(2)/2)*AQ202*AT202*VLOOKUP('Données projet'!$B$10,Paramètres!$A$1:$I$89,3,0)*0.475*44/12</f>
        <v>3.8240325949746547E-25</v>
      </c>
      <c r="AX202" s="21">
        <f t="shared" si="166"/>
        <v>0.34694205525572902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-5.3205440053716299E-14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226.0452828290525</v>
      </c>
      <c r="T203" s="59">
        <f t="shared" si="204"/>
        <v>179.89696397462069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0.31315315494070478</v>
      </c>
      <c r="AA203" s="21">
        <f>EXP(-LN(2)/25)*AA202+(1-EXP(-LN(2)/25))/(LN(2)/25)*Calculateur!V203*Calculateur!X203*VLOOKUP('Données projet'!$B$9,Paramètres!$A$1:$I$89,3,0)*0.475*44/12</f>
        <v>0.10007424366372587</v>
      </c>
      <c r="AB203" s="21">
        <f>EXP(-LN(2)/2)*AB202+(1-EXP(-LN(2)/2))/(LN(2)/2)*V203*Y203*VLOOKUP('Données projet'!$B$9,Paramètres!$A$1:$I$89,3,0)*0.475*44/12</f>
        <v>2.854581848723029E-25</v>
      </c>
      <c r="AC203" s="22">
        <f t="shared" si="163"/>
        <v>0.41322739860443064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-2.2737367544323206E-13</v>
      </c>
      <c r="AJ203" s="13">
        <f>AI203*VLOOKUP('Données projet'!$B$10,Paramètres!$A$1:$I$89,3,0)*VLOOKUP('Données projet'!$B$10,Paramètres!$A$1:$I$89,5,0)</f>
        <v>-1.2710188457276673E-13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365.13032894303285</v>
      </c>
      <c r="AO203" s="59">
        <f t="shared" si="205"/>
        <v>471.89239871617241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0.15197806687293369</v>
      </c>
      <c r="AV203" s="21">
        <f>EXP(-LN(2)/25)*AV202+(1-EXP(-LN(2)/25))/(LN(2)/25)*Calculateur!AQ203*Calculateur!AS203*VLOOKUP('Données projet'!$B$10,Paramètres!$A$1:$I$89,3,0)*0.475*44/12</f>
        <v>0.18667600558670258</v>
      </c>
      <c r="AW203" s="21">
        <f>EXP(-LN(2)/2)*AW202+(1-EXP(-LN(2)/2))/(LN(2)/2)*AQ203*AT203*VLOOKUP('Données projet'!$B$10,Paramètres!$A$1:$I$89,3,0)*0.475*44/12</f>
        <v>2.7039993793849686E-25</v>
      </c>
      <c r="AX203" s="21">
        <f t="shared" si="166"/>
        <v>0.3386540724596363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1.2880503926580862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1.261832742012994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Cèdre de l'Atlas</v>
      </c>
      <c r="B6" s="146">
        <f>'Données projet'!D9</f>
        <v>1.3534000000000002</v>
      </c>
      <c r="C6" s="147">
        <f ca="1">IF(OR('Données projet'!B9="",'Données projet'!C9="",'Données projet'!C9=0%),0,Calculateur!S3)</f>
        <v>226.0452828290525</v>
      </c>
      <c r="D6" s="147">
        <f>IF(OR('Données projet'!B9="",'Données projet'!C9="",'Données projet'!C9=0%),0,Calculateur!T3)</f>
        <v>179.89696397462069</v>
      </c>
      <c r="E6" s="147">
        <f ca="1">MIN(C6,D6)</f>
        <v>179.89696397462069</v>
      </c>
      <c r="F6" s="147">
        <f ca="1">E6*B6</f>
        <v>243.47255104325166</v>
      </c>
      <c r="G6" s="147">
        <f ca="1">F6*(100%-'Données projet'!$C$24)*(100%-'Données projet'!$C$25)*(100%-'Données projet'!$C$26)*(100%-'Données projet'!$C$27)</f>
        <v>219.12529593892648</v>
      </c>
      <c r="H6" s="148">
        <f>IF(OR('Données projet'!B9="",'Données projet'!C9="",'Données projet'!C9=0%),0,AVERAGE(Calculateur!$AC$3:$AC$33)*B6)</f>
        <v>5.2963787952272137</v>
      </c>
      <c r="I6" s="149">
        <f>H6*(100%-'Données projet'!$C$24)*(100%-'Données projet'!$C$25)*(100%-'Données projet'!$C$26)*(100%-'Données projet'!$C$27)</f>
        <v>4.7667409157044922</v>
      </c>
      <c r="J6" s="150">
        <f>IF(OR('Données projet'!B9="",'Données projet'!C9="",'Données projet'!C9=0%),0,SUM(Calculateur!$V$3:$V$33)*VLOOKUP('Données projet'!$B$9,Paramètres!$A$1:$I$89,9,0)*B6)</f>
        <v>61.978953000000011</v>
      </c>
      <c r="K6" s="151">
        <f>J6*(100%-'Données projet'!$C$24)*(100%-'Données projet'!$C$25)*(100%-'Données projet'!$C$26)*(100%-'Données projet'!$C$27)</f>
        <v>55.781057700000012</v>
      </c>
      <c r="L6" s="152">
        <f ca="1">G6+I6+K6</f>
        <v>279.67309455463101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Douglas</v>
      </c>
      <c r="B7" s="154">
        <f>'Données projet'!D10</f>
        <v>0.66660000000000008</v>
      </c>
      <c r="C7" s="147">
        <f ca="1">IF(OR('Données projet'!B10="",'Données projet'!C10="",'Données projet'!C10=0%),0,Calculateur!AN3)</f>
        <v>365.13032894303285</v>
      </c>
      <c r="D7" s="147">
        <f>IF(OR('Données projet'!B10="",'Données projet'!C10="",'Données projet'!C10=0%),0,Calculateur!AO3)</f>
        <v>471.89239871617241</v>
      </c>
      <c r="E7" s="147">
        <f t="shared" ref="E7:E15" ca="1" si="0">MIN(C7,D7)</f>
        <v>365.13032894303285</v>
      </c>
      <c r="F7" s="147">
        <f t="shared" ref="F7:F15" ca="1" si="1">E7*B7</f>
        <v>243.39587727342573</v>
      </c>
      <c r="G7" s="147">
        <f ca="1">F7*(100%-'Données projet'!$C$24)*(100%-'Données projet'!$C$25)*(100%-'Données projet'!$C$26)*(100%-'Données projet'!$C$27)</f>
        <v>219.05628954608315</v>
      </c>
      <c r="H7" s="155">
        <f>IF(OR('Données projet'!B10="",'Données projet'!C10="",'Données projet'!C10=0%),0,AVERAGE(Calculateur!$AX$3:$AX$33)*B7)</f>
        <v>2.8995707715322299</v>
      </c>
      <c r="I7" s="149">
        <f>H7*(100%-'Données projet'!$C$24)*(100%-'Données projet'!$C$25)*(100%-'Données projet'!$C$26)*(100%-'Données projet'!$C$27)</f>
        <v>2.6096136943790071</v>
      </c>
      <c r="J7" s="150">
        <f>IF(OR('Données projet'!B10="",'Données projet'!C10="",'Données projet'!C10=0%),0,SUM(Calculateur!$AQ$3:$AQ$33)*VLOOKUP('Données projet'!$B$10,Paramètres!$A$1:$I$89,9,0)*B7)</f>
        <v>30.956904000000002</v>
      </c>
      <c r="K7" s="151">
        <f>J7*(100%-'Données projet'!$C$24)*(100%-'Données projet'!$C$25)*(100%-'Données projet'!$C$26)*(100%-'Données projet'!$C$27)</f>
        <v>27.861213600000003</v>
      </c>
      <c r="L7" s="152">
        <f t="shared" ref="L7:L15" ca="1" si="2">G7+I7+K7</f>
        <v>249.52711684046218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486.86842831667741</v>
      </c>
      <c r="G16" s="166">
        <f t="shared" ca="1" si="3"/>
        <v>438.18158548500963</v>
      </c>
      <c r="H16" s="167">
        <f t="shared" si="3"/>
        <v>8.1959495667594435</v>
      </c>
      <c r="I16" s="167">
        <f t="shared" si="3"/>
        <v>7.3763546100834994</v>
      </c>
      <c r="J16" s="168">
        <f t="shared" si="3"/>
        <v>92.935857000000013</v>
      </c>
      <c r="K16" s="168">
        <f t="shared" si="3"/>
        <v>83.642271300000019</v>
      </c>
      <c r="L16" s="169">
        <f t="shared" ca="1" si="3"/>
        <v>529.20021139509322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Cèdre de l'Atlas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Douglas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E6" zoomScale="80" zoomScaleNormal="80" workbookViewId="0">
      <selection activeCell="U37" sqref="U37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Cèdre de l'Atlas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-576.54738299142912</v>
      </c>
      <c r="U10" s="178">
        <f>'Données projet'!D9</f>
        <v>1.3534000000000002</v>
      </c>
      <c r="V10" s="177">
        <f>U10*T10</f>
        <v>-780.29922814060023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Douglas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1753.9052056254054</v>
      </c>
      <c r="U11" s="178">
        <f>'Données projet'!D10</f>
        <v>0.66660000000000008</v>
      </c>
      <c r="V11" s="177">
        <f t="shared" ref="V11" si="0">U11*T11</f>
        <v>1169.1532100698953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Cèdre de l'Atlas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90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f>(1.15+0.6)*1300</f>
        <v>2275</v>
      </c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89.999999999999915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>
        <v>10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899.99999999999909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1</v>
      </c>
      <c r="I20" s="191">
        <f>(3120+285+80+300+404+505+1523)/2.02</f>
        <v>3077.7227722772277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500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550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20</v>
      </c>
      <c r="B23" s="181">
        <f>'Données projet'!D36</f>
        <v>39.5</v>
      </c>
      <c r="C23" s="193">
        <v>2</v>
      </c>
      <c r="D23" s="182">
        <f>B23*C23</f>
        <v>79</v>
      </c>
      <c r="E23" s="193"/>
      <c r="F23" s="230"/>
      <c r="H23" s="190">
        <v>4</v>
      </c>
      <c r="I23" s="191">
        <v>700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-8644.6068324169883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30</v>
      </c>
      <c r="B24" s="181">
        <f>'Données projet'!D37</f>
        <v>67</v>
      </c>
      <c r="C24" s="193">
        <v>4</v>
      </c>
      <c r="D24" s="182">
        <f t="shared" ref="D24:D42" si="2">B24*C24</f>
        <v>268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34.604114363281354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40</v>
      </c>
      <c r="B25" s="181">
        <f>'Données projet'!D38</f>
        <v>70</v>
      </c>
      <c r="C25" s="193">
        <v>27</v>
      </c>
      <c r="D25" s="182">
        <f t="shared" si="2"/>
        <v>1890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-8679.2109467802693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50</v>
      </c>
      <c r="B26" s="181">
        <f>'Données projet'!D39</f>
        <v>75</v>
      </c>
      <c r="C26" s="193">
        <v>27</v>
      </c>
      <c r="D26" s="182">
        <f t="shared" si="2"/>
        <v>2025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60</v>
      </c>
      <c r="B27" s="181">
        <f>'Données projet'!D40</f>
        <v>80</v>
      </c>
      <c r="C27" s="193">
        <v>26.7</v>
      </c>
      <c r="D27" s="182">
        <f t="shared" si="2"/>
        <v>2136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70</v>
      </c>
      <c r="B28" s="181">
        <f>'Données projet'!D41</f>
        <v>87</v>
      </c>
      <c r="C28" s="193">
        <v>46</v>
      </c>
      <c r="D28" s="182">
        <f t="shared" si="2"/>
        <v>4002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80</v>
      </c>
      <c r="B29" s="181">
        <f>'Données projet'!D42</f>
        <v>93</v>
      </c>
      <c r="C29" s="193">
        <v>46</v>
      </c>
      <c r="D29" s="182">
        <f t="shared" si="2"/>
        <v>4278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90</v>
      </c>
      <c r="B30" s="181">
        <f>'Données projet'!D43</f>
        <v>98</v>
      </c>
      <c r="C30" s="193">
        <v>46</v>
      </c>
      <c r="D30" s="182">
        <f t="shared" si="2"/>
        <v>4508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100</v>
      </c>
      <c r="B31" s="181">
        <f>'Données projet'!D44</f>
        <v>675.5</v>
      </c>
      <c r="C31" s="193">
        <v>60</v>
      </c>
      <c r="D31" s="182">
        <f t="shared" si="2"/>
        <v>40530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Douglas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f>(0.58+0.6)*1300</f>
        <v>1534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25</v>
      </c>
      <c r="B54" s="181">
        <f>'Données projet'!D62</f>
        <v>54</v>
      </c>
      <c r="C54" s="191">
        <v>2</v>
      </c>
      <c r="D54" s="179">
        <f>B54*C54</f>
        <v>108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30</v>
      </c>
      <c r="B55" s="181">
        <f>'Données projet'!D63</f>
        <v>54</v>
      </c>
      <c r="C55" s="191">
        <v>2</v>
      </c>
      <c r="D55" s="179">
        <f t="shared" ref="D55:D73" si="4">B55*C55</f>
        <v>108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35</v>
      </c>
      <c r="B56" s="181">
        <f>'Données projet'!D64</f>
        <v>69</v>
      </c>
      <c r="C56" s="191">
        <v>10</v>
      </c>
      <c r="D56" s="179">
        <f t="shared" si="4"/>
        <v>690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40</v>
      </c>
      <c r="B57" s="181">
        <f>'Données projet'!D65</f>
        <v>72</v>
      </c>
      <c r="C57" s="191">
        <v>10</v>
      </c>
      <c r="D57" s="179">
        <f t="shared" si="4"/>
        <v>720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45</v>
      </c>
      <c r="B58" s="181">
        <f>'Données projet'!D66</f>
        <v>66</v>
      </c>
      <c r="C58" s="191">
        <v>10</v>
      </c>
      <c r="D58" s="179">
        <f t="shared" si="4"/>
        <v>660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50</v>
      </c>
      <c r="B59" s="181">
        <f>'Données projet'!D67</f>
        <v>48</v>
      </c>
      <c r="C59" s="191">
        <v>33</v>
      </c>
      <c r="D59" s="179">
        <f t="shared" si="4"/>
        <v>1584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55</v>
      </c>
      <c r="B60" s="181">
        <f>'Données projet'!D68</f>
        <v>35</v>
      </c>
      <c r="C60" s="191">
        <v>33</v>
      </c>
      <c r="D60" s="179">
        <f t="shared" si="4"/>
        <v>1155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60</v>
      </c>
      <c r="B61" s="181">
        <f>'Données projet'!D69</f>
        <v>666</v>
      </c>
      <c r="C61" s="191">
        <v>55</v>
      </c>
      <c r="D61" s="179">
        <f t="shared" si="4"/>
        <v>36630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>
        <v>80</v>
      </c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30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30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Vianney Falconnet</cp:lastModifiedBy>
  <dcterms:created xsi:type="dcterms:W3CDTF">2021-02-01T08:22:39Z</dcterms:created>
  <dcterms:modified xsi:type="dcterms:W3CDTF">2023-08-30T14:26:44Z</dcterms:modified>
</cp:coreProperties>
</file>