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ey.Rombaut\Desktop\Strasbourg Centre Energies\CNPF C+for n° 132 Andlau (Strasbourg Centre Energies n° 1)\5 - Montage technique et administratif du dossier\"/>
    </mc:Choice>
  </mc:AlternateContent>
  <bookViews>
    <workbookView xWindow="0" yWindow="0" windowWidth="11745" windowHeight="5310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3" i="1" l="1"/>
  <c r="B193" i="1"/>
  <c r="B192" i="1"/>
  <c r="B176" i="1"/>
  <c r="B175" i="1"/>
  <c r="B174" i="1"/>
  <c r="B173" i="1"/>
  <c r="B172" i="1"/>
  <c r="B171" i="1"/>
  <c r="B170" i="1"/>
  <c r="B169" i="1"/>
  <c r="B168" i="1"/>
  <c r="B167" i="1"/>
  <c r="B166" i="1"/>
  <c r="D147" i="1"/>
  <c r="B124" i="1"/>
  <c r="B123" i="1"/>
  <c r="B122" i="1"/>
  <c r="B121" i="1"/>
  <c r="B120" i="1"/>
  <c r="B119" i="1"/>
  <c r="B118" i="1"/>
  <c r="B117" i="1"/>
  <c r="B116" i="1"/>
  <c r="B115" i="1"/>
  <c r="B114" i="1"/>
  <c r="D101" i="1"/>
  <c r="B101" i="1"/>
  <c r="B100" i="1"/>
  <c r="D99" i="1"/>
  <c r="B99" i="1"/>
  <c r="B98" i="1"/>
  <c r="B97" i="1"/>
  <c r="B96" i="1"/>
  <c r="D95" i="1"/>
  <c r="D97" i="1" s="1"/>
  <c r="B95" i="1"/>
  <c r="B94" i="1"/>
  <c r="D93" i="1"/>
  <c r="B93" i="1"/>
  <c r="B92" i="1"/>
  <c r="D91" i="1"/>
  <c r="B91" i="1"/>
  <c r="B90" i="1"/>
  <c r="D89" i="1"/>
  <c r="D75" i="1"/>
  <c r="B75" i="1"/>
  <c r="B74" i="1"/>
  <c r="D73" i="1"/>
  <c r="B73" i="1"/>
  <c r="B72" i="1"/>
  <c r="B71" i="1"/>
  <c r="B70" i="1"/>
  <c r="D69" i="1"/>
  <c r="D71" i="1" s="1"/>
  <c r="B69" i="1"/>
  <c r="B68" i="1"/>
  <c r="D67" i="1"/>
  <c r="B67" i="1"/>
  <c r="B66" i="1"/>
  <c r="D65" i="1"/>
  <c r="B65" i="1"/>
  <c r="B64" i="1"/>
  <c r="D63" i="1"/>
  <c r="D43" i="1" l="1"/>
  <c r="D36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FS20" i="2"/>
  <c r="EW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H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FS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EC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HI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EV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X107" i="2"/>
  <c r="HG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HG113" i="2"/>
  <c r="HI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I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FS130" i="2"/>
  <c r="EW130" i="2"/>
  <c r="EX130" i="2"/>
  <c r="EB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HH144" i="2"/>
  <c r="HG144" i="2"/>
  <c r="EB144" i="2"/>
  <c r="FR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X145" i="2"/>
  <c r="FR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G150" i="2"/>
  <c r="EV150" i="2"/>
  <c r="FS150" i="2"/>
  <c r="HH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I154" i="2" s="1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EA155" i="2"/>
  <c r="HH155" i="2"/>
  <c r="EW155" i="2"/>
  <c r="EX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AB156" i="2"/>
  <c r="DH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HG158" i="2"/>
  <c r="HH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EY159" i="2"/>
  <c r="ED159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C162" i="2"/>
  <c r="DI161" i="2"/>
  <c r="EW162" i="2"/>
  <c r="EB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B163" i="2"/>
  <c r="HI163" i="2"/>
  <c r="HH163" i="2"/>
  <c r="EA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V164" i="2"/>
  <c r="EX164" i="2"/>
  <c r="DH164" i="2"/>
  <c r="DI163" i="2"/>
  <c r="HG164" i="2"/>
  <c r="EA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DG167" i="2"/>
  <c r="EX167" i="2"/>
  <c r="EA167" i="2"/>
  <c r="EB167" i="2"/>
  <c r="HH167" i="2"/>
  <c r="HI167" i="2"/>
  <c r="EC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EB168" i="2"/>
  <c r="HH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EA172" i="2"/>
  <c r="EB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HH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EB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EA178" i="2"/>
  <c r="EB178" i="2"/>
  <c r="FQ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B185" i="2"/>
  <c r="EA185" i="2"/>
  <c r="EV185" i="2"/>
  <c r="EW185" i="2"/>
  <c r="HH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EA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C192" i="2"/>
  <c r="EB192" i="2"/>
  <c r="EW192" i="2"/>
  <c r="HG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DI192" i="2"/>
  <c r="ED192" i="2"/>
  <c r="EX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X195" i="2"/>
  <c r="EY194" i="2"/>
  <c r="EA195" i="2"/>
  <c r="EB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A201" i="2"/>
  <c r="EB201" i="2"/>
  <c r="HG201" i="2"/>
  <c r="FS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Y201" i="2"/>
  <c r="EX202" i="2"/>
  <c r="HH202" i="2"/>
  <c r="FZ6" i="2"/>
  <c r="HG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3" i="2" a="1"/>
  <c r="EI153" i="2" s="1"/>
  <c r="CS66" i="2" a="1"/>
  <c r="CS66" i="2" s="1"/>
  <c r="CS52" i="2" a="1"/>
  <c r="CS52" i="2" s="1"/>
  <c r="CS129" i="2" a="1"/>
  <c r="CS129" i="2" s="1"/>
  <c r="CS116" i="2" a="1"/>
  <c r="CS116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113" i="2" a="1"/>
  <c r="EI113" i="2" s="1"/>
  <c r="CS185" i="2" a="1"/>
  <c r="CS185" i="2" s="1"/>
  <c r="CS56" i="2" a="1"/>
  <c r="CS56" i="2" s="1"/>
  <c r="CS114" i="2" a="1"/>
  <c r="CS114" i="2" s="1"/>
  <c r="DN6" i="2" a="1"/>
  <c r="DN6" i="2" s="1"/>
  <c r="DO6" i="2" s="1"/>
  <c r="DN46" i="2" a="1"/>
  <c r="DN4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AX200" i="2"/>
  <c r="DN187" i="2" l="1" a="1"/>
  <c r="DN187" i="2" s="1"/>
  <c r="DN30" i="2" a="1"/>
  <c r="DN30" i="2" s="1"/>
  <c r="DN45" i="2" a="1"/>
  <c r="DN45" i="2" s="1"/>
  <c r="DN190" i="2" a="1"/>
  <c r="DN190" i="2" s="1"/>
  <c r="DN133" i="2" a="1"/>
  <c r="DN133" i="2" s="1"/>
  <c r="DN80" i="2" a="1"/>
  <c r="DN80" i="2" s="1"/>
  <c r="DN65" i="2" a="1"/>
  <c r="DN65" i="2" s="1"/>
  <c r="DN31" i="2" a="1"/>
  <c r="DN31" i="2" s="1"/>
  <c r="DN168" i="2" a="1"/>
  <c r="DN168" i="2" s="1"/>
  <c r="DN132" i="2" a="1"/>
  <c r="DN132" i="2" s="1"/>
  <c r="DN162" i="2" a="1"/>
  <c r="DN162" i="2" s="1"/>
  <c r="DN49" i="2" a="1"/>
  <c r="DN49" i="2" s="1"/>
  <c r="DN164" i="2" a="1"/>
  <c r="DN164" i="2" s="1"/>
  <c r="EY202" i="2"/>
  <c r="EI128" i="2" a="1"/>
  <c r="EI128" i="2" s="1"/>
  <c r="EI20" i="2" a="1"/>
  <c r="EI20" i="2" s="1"/>
  <c r="EI38" i="2" a="1"/>
  <c r="EI38" i="2" s="1"/>
  <c r="EI198" i="2" a="1"/>
  <c r="EI198" i="2" s="1"/>
  <c r="EI195" i="2" a="1"/>
  <c r="EI195" i="2" s="1"/>
  <c r="EI34" i="2" a="1"/>
  <c r="EI34" i="2" s="1"/>
  <c r="EI37" i="2" a="1"/>
  <c r="EI37" i="2" s="1"/>
  <c r="EI139" i="2" a="1"/>
  <c r="EI139" i="2" s="1"/>
  <c r="EI165" i="2" a="1"/>
  <c r="EI165" i="2" s="1"/>
  <c r="EI35" i="2" a="1"/>
  <c r="EI35" i="2" s="1"/>
  <c r="EI67" i="2" a="1"/>
  <c r="EI67" i="2" s="1"/>
  <c r="EI71" i="2" a="1"/>
  <c r="EI71" i="2" s="1"/>
  <c r="EI166" i="2" a="1"/>
  <c r="EI166" i="2" s="1"/>
  <c r="EI170" i="2" a="1"/>
  <c r="EI170" i="2" s="1"/>
  <c r="EI57" i="2" a="1"/>
  <c r="EI57" i="2" s="1"/>
  <c r="EI142" i="2" a="1"/>
  <c r="EI142" i="2" s="1"/>
  <c r="EI109" i="2" a="1"/>
  <c r="EI109" i="2" s="1"/>
  <c r="EI16" i="2" a="1"/>
  <c r="EI16" i="2" s="1"/>
  <c r="EI36" i="2" a="1"/>
  <c r="EI36" i="2" s="1"/>
  <c r="EI178" i="2" a="1"/>
  <c r="EI178" i="2" s="1"/>
  <c r="EI145" i="2" a="1"/>
  <c r="EI145" i="2" s="1"/>
  <c r="EI162" i="2" a="1"/>
  <c r="EI162" i="2" s="1"/>
  <c r="EI150" i="2" a="1"/>
  <c r="EI150" i="2" s="1"/>
  <c r="EI29" i="2" a="1"/>
  <c r="EI29" i="2" s="1"/>
  <c r="EI106" i="2" a="1"/>
  <c r="EI106" i="2" s="1"/>
  <c r="DN38" i="2" a="1"/>
  <c r="DN38" i="2" s="1"/>
  <c r="DN70" i="2" a="1"/>
  <c r="DN70" i="2" s="1"/>
  <c r="DN66" i="2" a="1"/>
  <c r="DN66" i="2" s="1"/>
  <c r="DN110" i="2" a="1"/>
  <c r="DN110" i="2" s="1"/>
  <c r="DN170" i="2" a="1"/>
  <c r="DN170" i="2" s="1"/>
  <c r="DN114" i="2" a="1"/>
  <c r="DN114" i="2" s="1"/>
  <c r="DN129" i="2" a="1"/>
  <c r="DN129" i="2" s="1"/>
  <c r="DN16" i="2" a="1"/>
  <c r="DN16" i="2" s="1"/>
  <c r="DN103" i="2" a="1"/>
  <c r="DN103" i="2" s="1"/>
  <c r="DN50" i="2" a="1"/>
  <c r="DN50" i="2" s="1"/>
  <c r="DN41" i="2" a="1"/>
  <c r="DN41" i="2" s="1"/>
  <c r="DN43" i="2" a="1"/>
  <c r="DN43" i="2" s="1"/>
  <c r="DN150" i="2" a="1"/>
  <c r="DN150" i="2" s="1"/>
  <c r="DN186" i="2" a="1"/>
  <c r="DN186" i="2" s="1"/>
  <c r="DN192" i="2" a="1"/>
  <c r="DN192" i="2" s="1"/>
  <c r="DN155" i="2" a="1"/>
  <c r="DN155" i="2" s="1"/>
  <c r="DN56" i="2" a="1"/>
  <c r="DN56" i="2" s="1"/>
  <c r="DN63" i="2" a="1"/>
  <c r="DN63" i="2" s="1"/>
  <c r="DN188" i="2" a="1"/>
  <c r="DN188" i="2" s="1"/>
  <c r="DN113" i="2" a="1"/>
  <c r="DN113" i="2" s="1"/>
  <c r="DN137" i="2" a="1"/>
  <c r="DN137" i="2" s="1"/>
  <c r="DN55" i="2" a="1"/>
  <c r="DN55" i="2" s="1"/>
  <c r="DN135" i="2" a="1"/>
  <c r="DN135" i="2" s="1"/>
  <c r="DN86" i="2" a="1"/>
  <c r="DN86" i="2" s="1"/>
  <c r="DN25" i="2" a="1"/>
  <c r="DN25" i="2" s="1"/>
  <c r="DN123" i="2" a="1"/>
  <c r="DN123" i="2" s="1"/>
  <c r="DN177" i="2" a="1"/>
  <c r="DN177" i="2" s="1"/>
  <c r="DN184" i="2" a="1"/>
  <c r="DN184" i="2" s="1"/>
  <c r="DN115" i="2" a="1"/>
  <c r="DN115" i="2" s="1"/>
  <c r="DN152" i="2" a="1"/>
  <c r="DN152" i="2" s="1"/>
  <c r="DN124" i="2" a="1"/>
  <c r="DN124" i="2" s="1"/>
  <c r="DN176" i="2" a="1"/>
  <c r="DN176" i="2" s="1"/>
  <c r="DN167" i="2" a="1"/>
  <c r="DN167" i="2" s="1"/>
  <c r="DN153" i="2" a="1"/>
  <c r="DN153" i="2" s="1"/>
  <c r="DN29" i="2" a="1"/>
  <c r="DN29" i="2" s="1"/>
  <c r="HG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85" i="2" l="1"/>
  <c r="BI144" i="2"/>
  <c r="BI36" i="2"/>
  <c r="BI192" i="2"/>
  <c r="BI84" i="2"/>
  <c r="BI74" i="2"/>
  <c r="BI78" i="2"/>
  <c r="BI30" i="2"/>
  <c r="BI33" i="2"/>
  <c r="BI152" i="2"/>
  <c r="BI105" i="2"/>
  <c r="BI130" i="2"/>
  <c r="BI123" i="2"/>
  <c r="BI81" i="2"/>
  <c r="BI164" i="2"/>
  <c r="BI139" i="2"/>
  <c r="BI19" i="2"/>
  <c r="BI39" i="2"/>
  <c r="BI180" i="2"/>
  <c r="BI165" i="2"/>
  <c r="BI44" i="2"/>
  <c r="BI101" i="2"/>
  <c r="BI20" i="2"/>
  <c r="BI129" i="2"/>
  <c r="BI168" i="2"/>
  <c r="BI132" i="2"/>
  <c r="BI181" i="2"/>
  <c r="BI72" i="2"/>
  <c r="BI25" i="2"/>
  <c r="BI184" i="2"/>
  <c r="BI199" i="2"/>
  <c r="BI34" i="2"/>
  <c r="BI107" i="2"/>
  <c r="BI173" i="2"/>
  <c r="BI188" i="2"/>
  <c r="BI154" i="2"/>
  <c r="BI51" i="2"/>
  <c r="BI38" i="2"/>
  <c r="BI77" i="2"/>
  <c r="BI126" i="2"/>
  <c r="BI170" i="2"/>
  <c r="BI197" i="2"/>
  <c r="BI137" i="2"/>
  <c r="BI120" i="2"/>
  <c r="BI65" i="2"/>
  <c r="BI54" i="2"/>
  <c r="BI96" i="2"/>
  <c r="BI122" i="2"/>
  <c r="BI149" i="2"/>
  <c r="BI171" i="2"/>
  <c r="BI26" i="2"/>
  <c r="BI55" i="2"/>
  <c r="BI203" i="2"/>
  <c r="BI67" i="2"/>
  <c r="BI10" i="2"/>
  <c r="BI27" i="2"/>
  <c r="BI115" i="2"/>
  <c r="BI98" i="2"/>
  <c r="BI140" i="2"/>
  <c r="BI82" i="2"/>
  <c r="BI31" i="2"/>
  <c r="BI135" i="2"/>
  <c r="BI151" i="2"/>
  <c r="BI92" i="2"/>
  <c r="BI9" i="2"/>
  <c r="BI159" i="2"/>
  <c r="BI114" i="2"/>
  <c r="BI76" i="2"/>
  <c r="BI112" i="2"/>
  <c r="BI16" i="2"/>
  <c r="BI127" i="2"/>
  <c r="BI136" i="2"/>
  <c r="BI202" i="2"/>
  <c r="BI24" i="2"/>
  <c r="BI83" i="2"/>
  <c r="BI61" i="2"/>
  <c r="BI23" i="2"/>
  <c r="BI45" i="2"/>
  <c r="BI15" i="2"/>
  <c r="BI117" i="2"/>
  <c r="BI156" i="2"/>
  <c r="BI53" i="2"/>
  <c r="BI133" i="2"/>
  <c r="BI97" i="2"/>
  <c r="BI113" i="2"/>
  <c r="BI195" i="2"/>
  <c r="BI142" i="2"/>
  <c r="BI172" i="2"/>
  <c r="BI66" i="2"/>
  <c r="BI187" i="2"/>
  <c r="BI6" i="2"/>
  <c r="BI85" i="2"/>
  <c r="BI22" i="2"/>
  <c r="BI119" i="2"/>
  <c r="BI86" i="2"/>
  <c r="BI13" i="2"/>
  <c r="BI102" i="2"/>
  <c r="BI99" i="2"/>
  <c r="BI183" i="2"/>
  <c r="BI177" i="2"/>
  <c r="BI93" i="2"/>
  <c r="BI60" i="2"/>
  <c r="BI160" i="2"/>
  <c r="BI196" i="2"/>
  <c r="BI155" i="2"/>
  <c r="BI147" i="2"/>
  <c r="BI42" i="2"/>
  <c r="BI190" i="2"/>
  <c r="BI145" i="2"/>
  <c r="BI175" i="2"/>
  <c r="BI116" i="2"/>
  <c r="BI47" i="2"/>
  <c r="BI162" i="2"/>
  <c r="BI141" i="2"/>
  <c r="BI48" i="2"/>
  <c r="BI62" i="2"/>
  <c r="BI169" i="2"/>
  <c r="BI49" i="2"/>
  <c r="BI32" i="2"/>
  <c r="BI35" i="2"/>
  <c r="BI109" i="2"/>
  <c r="BI94" i="2"/>
  <c r="BI166" i="2"/>
  <c r="BI146" i="2"/>
  <c r="BI41" i="2"/>
  <c r="BI158" i="2"/>
  <c r="BI163" i="2"/>
  <c r="BI104" i="2"/>
  <c r="BI121" i="2"/>
  <c r="BI52" i="2"/>
  <c r="BI174" i="2"/>
  <c r="BI194" i="2"/>
  <c r="BI12" i="2"/>
  <c r="BI178" i="2"/>
  <c r="BI200" i="2"/>
  <c r="BI110" i="2"/>
  <c r="BI50" i="2"/>
  <c r="BI198" i="2"/>
  <c r="BI43" i="2"/>
  <c r="BI40" i="2"/>
  <c r="BI69" i="2"/>
  <c r="BI182" i="2"/>
  <c r="BI73" i="2"/>
  <c r="BI71" i="2"/>
  <c r="BI167" i="2"/>
  <c r="BI59" i="2"/>
  <c r="BI58" i="2"/>
  <c r="BI91" i="2"/>
  <c r="BI106" i="2"/>
  <c r="BI79" i="2"/>
  <c r="BI191" i="2"/>
  <c r="BI148" i="2"/>
  <c r="BI131" i="2"/>
  <c r="BI134" i="2"/>
  <c r="BI100" i="2"/>
  <c r="BI7" i="2"/>
  <c r="BI138" i="2"/>
  <c r="BI103" i="2"/>
  <c r="BI4" i="2"/>
  <c r="BI28" i="2"/>
  <c r="BI179" i="2"/>
  <c r="BI14" i="2"/>
  <c r="BI57" i="2"/>
  <c r="BI63" i="2"/>
  <c r="BI56" i="2"/>
  <c r="BI64" i="2"/>
  <c r="BI90" i="2"/>
  <c r="BI128" i="2"/>
  <c r="BI108" i="2"/>
  <c r="BI150" i="2"/>
  <c r="BI87" i="2"/>
  <c r="BI80" i="2"/>
  <c r="BI143" i="2"/>
  <c r="BI89" i="2"/>
  <c r="BI37" i="2"/>
  <c r="BI11" i="2"/>
  <c r="BI176" i="2"/>
  <c r="BI8" i="2"/>
  <c r="BI21" i="2"/>
  <c r="BI46" i="2"/>
  <c r="BI68" i="2"/>
  <c r="BI161" i="2"/>
  <c r="BI70" i="2"/>
  <c r="BI18" i="2"/>
  <c r="BI111" i="2"/>
  <c r="BI125" i="2"/>
  <c r="BI29" i="2"/>
  <c r="BI5" i="2"/>
  <c r="BI189" i="2"/>
  <c r="BI88" i="2"/>
  <c r="BI157" i="2"/>
  <c r="BI186" i="2"/>
  <c r="BI201" i="2"/>
  <c r="BI124" i="2"/>
  <c r="BI118" i="2"/>
  <c r="BI75" i="2"/>
  <c r="BI3" i="2"/>
  <c r="C8" i="4" s="1"/>
  <c r="E8" i="4" s="1"/>
  <c r="F8" i="4" s="1"/>
  <c r="G8" i="4" s="1"/>
  <c r="L8" i="4" s="1"/>
  <c r="BI17" i="2"/>
  <c r="BI95" i="2"/>
  <c r="BI153" i="2"/>
  <c r="BI19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<sst xmlns="http://schemas.openxmlformats.org/spreadsheetml/2006/main" count="1183" uniqueCount="327">
  <si>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</si>
  <si>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</si>
  <si>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</si>
  <si>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</si>
  <si>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</si>
  <si>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</si>
  <si>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</si>
  <si>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</si>
  <si>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</si>
  <si>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</si>
  <si>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</si>
  <si>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</si>
  <si>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</si>
  <si>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</si>
  <si>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</si>
  <si>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</si>
  <si>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</si>
  <si>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</si>
  <si>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</si>
  <si>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</si>
  <si>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</si>
  <si>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</si>
  <si>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</si>
  <si>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</si>
  <si>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</si>
  <si>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</si>
  <si>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</si>
  <si>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</si>
  <si>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</si>
  <si>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</si>
  <si>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</si>
  <si>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</si>
  <si>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</si>
  <si>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</si>
  <si>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</si>
  <si>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</si>
  <si>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</si>
  <si>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</si>
  <si>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</si>
  <si>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</si>
  <si>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</si>
  <si>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</si>
  <si>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</si>
  <si>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</si>
  <si>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</si>
  <si>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</si>
  <si>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</si>
  <si>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</si>
  <si>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</si>
  <si>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</si>
  <si>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</si>
  <si>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</si>
  <si>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</si>
  <si>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</si>
  <si>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</si>
  <si>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</si>
  <si>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</si>
  <si>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</si>
  <si>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</si>
  <si>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</si>
  <si>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</si>
  <si>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</si>
  <si>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</si>
  <si>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</si>
  <si>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</si>
  <si>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</si>
  <si>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</si>
  <si>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</si>
  <si>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</si>
  <si>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</si>
  <si>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</si>
  <si>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</si>
  <si>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</si>
  <si>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</si>
  <si>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</si>
  <si>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</si>
  <si>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</si>
  <si>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</si>
  <si>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</si>
  <si>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</si>
  <si>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</si>
  <si>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</si>
  <si>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</si>
  <si>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</si>
  <si>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</si>
  <si>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</si>
  <si>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</si>
  <si>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</si>
  <si>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</si>
  <si>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</si>
  <si>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</si>
  <si>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</si>
  <si>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</si>
  <si>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</si>
  <si>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</si>
  <si>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</si>
  <si>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</si>
  <si>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</si>
  <si>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</si>
  <si>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</si>
  <si>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</si>
  <si>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</si>
  <si>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</si>
  <si>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</si>
  <si>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</si>
  <si>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</si>
  <si>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</si>
  <si>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</si>
  <si>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</si>
  <si>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</si>
  <si>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</si>
  <si>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</si>
  <si>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</si>
  <si>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</si>
  <si>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</si>
  <si>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</si>
  <si>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</si>
  <si>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</si>
  <si>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</si>
  <si>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</si>
  <si>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</si>
  <si>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</si>
  <si>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</si>
  <si>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</si>
  <si>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</si>
  <si>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</si>
  <si>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</si>
  <si>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</si>
  <si>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</si>
  <si>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</si>
  <si>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</si>
  <si>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</si>
  <si>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</si>
  <si>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</si>
  <si>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</si>
  <si>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</si>
  <si>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</si>
  <si>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</si>
  <si>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</si>
  <si>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</si>
  <si>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</si>
  <si>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</si>
  <si>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</si>
  <si>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</si>
  <si>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</si>
  <si>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</si>
  <si>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</si>
  <si>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</si>
  <si>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</si>
  <si>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</si>
  <si>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</si>
  <si>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</si>
  <si>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</si>
  <si>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</si>
  <si>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</si>
  <si>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</si>
  <si>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</si>
  <si>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</si>
  <si>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</si>
  <si>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</si>
  <si>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</si>
  <si>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</si>
  <si>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</si>
  <si>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</si>
  <si>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</si>
  <si>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</si>
  <si>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</si>
  <si>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</si>
  <si>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</si>
  <si>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</si>
  <si>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</si>
  <si>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</si>
  <si>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</si>
  <si>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</si>
  <si>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</si>
  <si>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</si>
  <si>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</si>
  <si>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</si>
  <si>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</si>
  <si>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</si>
  <si>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</si>
  <si>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</si>
  <si>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</si>
  <si>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</si>
  <si>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</si>
  <si>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</si>
  <si>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</si>
  <si>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</si>
  <si>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</si>
  <si>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</si>
  <si>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</si>
  <si>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</si>
  <si>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</si>
  <si>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</si>
  <si>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</si>
  <si>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</si>
  <si>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</si>
  <si>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</si>
  <si>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</si>
  <si>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</si>
  <si>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</si>
  <si>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</si>
  <si>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</si>
  <si>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</si>
  <si>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</si>
  <si>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</si>
  <si>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</si>
  <si>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</si>
  <si>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</si>
  <si>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</si>
  <si>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</si>
  <si>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</si>
  <si>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</si>
  <si>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</si>
  <si>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</si>
  <si>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</si>
  <si>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</si>
  <si>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</si>
  <si>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</si>
  <si>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</si>
  <si>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</si>
  <si>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</si>
  <si>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</si>
  <si>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</si>
  <si>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</si>
  <si>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</si>
  <si>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</si>
  <si>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</si>
  <si>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</si>
  <si>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</si>
  <si>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</si>
  <si>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</si>
  <si>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</si>
  <si>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</si>
  <si>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</si>
  <si>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</si>
  <si>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</si>
  <si>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</si>
  <si>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</si>
  <si>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</si>
  <si>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</si>
  <si>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</si>
  <si>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</si>
  <si>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</si>
  <si>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</si>
  <si>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</si>
  <si>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</si>
  <si>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</si>
  <si>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</si>
  <si>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</si>
  <si>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</si>
  <si>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</si>
  <si>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</si>
  <si>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</si>
  <si>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</si>
  <si>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</si>
  <si>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</si>
  <si>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</si>
  <si>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</si>
  <si>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</si>
  <si>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</si>
  <si>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</si>
  <si>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</si>
  <si>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</si>
  <si>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</si>
  <si>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</si>
  <si>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</si>
  <si>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</si>
  <si>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</si>
  <si>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</si>
  <si>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</si>
  <si>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</si>
  <si>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</si>
  <si>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</si>
  <si>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</si>
  <si>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</si>
  <si>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</si>
  <si>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</si>
  <si>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</si>
  <si>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</si>
  <si>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</si>
  <si>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</si>
  <si>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</si>
  <si>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</si>
  <si>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</si>
  <si>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</si>
  <si>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</si>
  <si>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</si>
  <si>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</si>
  <si>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</si>
  <si>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</si>
  <si>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</si>
  <si>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</si>
  <si>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</si>
  <si>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</si>
  <si>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</si>
  <si>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</si>
  <si>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</si>
  <si>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</si>
  <si>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</si>
  <si>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</si>
  <si>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</si>
  <si>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</si>
  <si>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</si>
  <si>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</si>
  <si>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</si>
  <si>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</si>
  <si>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</si>
  <si>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</si>
  <si>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</si>
  <si>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</si>
  <si>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</si>
  <si>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</si>
  <si>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</si>
  <si>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</si>
  <si>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</si>
  <si>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</si>
  <si>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</si>
  <si>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</si>
  <si>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</si>
  <si>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</si>
  <si>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</si>
  <si>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</si>
  <si>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</si>
  <si>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"Classe 2"</t>
  </si>
  <si>
    <t>"Unique"</t>
  </si>
  <si>
    <t>"Classe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</si>
</sst>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1.8571401331452277</c:v>
                </c:pt>
                <c:pt idx="2">
                  <c:v>2.3730182268560873</c:v>
                </c:pt>
                <c:pt idx="3">
                  <c:v>3.0327744218015771</c:v>
                </c:pt>
                <c:pt idx="4">
                  <c:v>3.8766882112715897</c:v>
                </c:pt>
                <c:pt idx="5">
                  <c:v>4.9563554287630449</c:v>
                </c:pt>
                <c:pt idx="6">
                  <c:v>6.3378779408752912</c:v>
                </c:pt>
                <c:pt idx="7">
                  <c:v>8.1059551197421627</c:v>
                </c:pt>
                <c:pt idx="8">
                  <c:v>10.369132747406743</c:v>
                </c:pt>
                <c:pt idx="9">
                  <c:v>13.266537663656479</c:v>
                </c:pt>
                <c:pt idx="10">
                  <c:v>16.976519825467278</c:v>
                </c:pt>
                <c:pt idx="11">
                  <c:v>21.727743408313824</c:v>
                </c:pt>
                <c:pt idx="12">
                  <c:v>27.813422744642168</c:v>
                </c:pt>
                <c:pt idx="13">
                  <c:v>35.609597033656748</c:v>
                </c:pt>
                <c:pt idx="14">
                  <c:v>45.598592436332616</c:v>
                </c:pt>
                <c:pt idx="15">
                  <c:v>58.399147554974014</c:v>
                </c:pt>
                <c:pt idx="16">
                  <c:v>74.805099181620164</c:v>
                </c:pt>
                <c:pt idx="17">
                  <c:v>95.835066334896965</c:v>
                </c:pt>
                <c:pt idx="18">
                  <c:v>122.79626640704589</c:v>
                </c:pt>
                <c:pt idx="19">
                  <c:v>157.36649199397678</c:v>
                </c:pt>
                <c:pt idx="20">
                  <c:v>201.69942766100667</c:v>
                </c:pt>
                <c:pt idx="21">
                  <c:v>258.55996582862014</c:v>
                </c:pt>
                <c:pt idx="22">
                  <c:v>205.57216811118852</c:v>
                </c:pt>
                <c:pt idx="23">
                  <c:v>228.48746894478305</c:v>
                </c:pt>
                <c:pt idx="24">
                  <c:v>251.35018250509077</c:v>
                </c:pt>
                <c:pt idx="25">
                  <c:v>274.16576374261041</c:v>
                </c:pt>
                <c:pt idx="26">
                  <c:v>296.93868498913014</c:v>
                </c:pt>
                <c:pt idx="27">
                  <c:v>319.67267638199866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497.23149189337681</c:v>
                </c:pt>
                <c:pt idx="51">
                  <c:v>517.69200252251403</c:v>
                </c:pt>
                <c:pt idx="52">
                  <c:v>538.13546036834725</c:v>
                </c:pt>
                <c:pt idx="53">
                  <c:v>558.56260388366002</c:v>
                </c:pt>
                <c:pt idx="54">
                  <c:v>578.97411315040551</c:v>
                </c:pt>
                <c:pt idx="55">
                  <c:v>599.37061643041295</c:v>
                </c:pt>
                <c:pt idx="56">
                  <c:v>619.75269577860888</c:v>
                </c:pt>
                <c:pt idx="57">
                  <c:v>537.79768652493578</c:v>
                </c:pt>
                <c:pt idx="58">
                  <c:v>556.19994499698703</c:v>
                </c:pt>
                <c:pt idx="59">
                  <c:v>574.58945551907846</c:v>
                </c:pt>
                <c:pt idx="60">
                  <c:v>592.96668321961113</c:v>
                </c:pt>
                <c:pt idx="61">
                  <c:v>611.33206206789123</c:v>
                </c:pt>
                <c:pt idx="62">
                  <c:v>629.68599785389995</c:v>
                </c:pt>
                <c:pt idx="63">
                  <c:v>648.02887080282289</c:v>
                </c:pt>
                <c:pt idx="64">
                  <c:v>565.31190831763899</c:v>
                </c:pt>
                <c:pt idx="65">
                  <c:v>581.67201932756836</c:v>
                </c:pt>
                <c:pt idx="66">
                  <c:v>598.02253874306132</c:v>
                </c:pt>
                <c:pt idx="67">
                  <c:v>614.36376557442816</c:v>
                </c:pt>
                <c:pt idx="68">
                  <c:v>630.69598163909245</c:v>
                </c:pt>
                <c:pt idx="69">
                  <c:v>647.01945297892712</c:v>
                </c:pt>
                <c:pt idx="70">
                  <c:v>663.33443112721886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877904"/>
        <c:axId val="170878992"/>
      </c:scatterChart>
      <c:valAx>
        <c:axId val="170877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0878992"/>
        <c:crosses val="autoZero"/>
        <c:crossBetween val="midCat"/>
      </c:valAx>
      <c:valAx>
        <c:axId val="17087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0877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390832"/>
        <c:axId val="398394640"/>
      </c:scatterChart>
      <c:valAx>
        <c:axId val="398390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94640"/>
        <c:crosses val="autoZero"/>
        <c:crossBetween val="midCat"/>
      </c:valAx>
      <c:valAx>
        <c:axId val="39839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90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631.66036748923955</c:v>
                </c:pt>
                <c:pt idx="82">
                  <c:v>638.90661802503621</c:v>
                </c:pt>
                <c:pt idx="83">
                  <c:v>646.15117115988835</c:v>
                </c:pt>
                <c:pt idx="84">
                  <c:v>653.39404860903915</c:v>
                </c:pt>
                <c:pt idx="85">
                  <c:v>660.63527156703708</c:v>
                </c:pt>
                <c:pt idx="86">
                  <c:v>667.87486072591469</c:v>
                </c:pt>
                <c:pt idx="87">
                  <c:v>675.11283629253967</c:v>
                </c:pt>
                <c:pt idx="88">
                  <c:v>682.34921800518089</c:v>
                </c:pt>
                <c:pt idx="89">
                  <c:v>689.58402514933766</c:v>
                </c:pt>
                <c:pt idx="90">
                  <c:v>696.81727657286899</c:v>
                </c:pt>
                <c:pt idx="91">
                  <c:v>601.32161215624581</c:v>
                </c:pt>
                <c:pt idx="92">
                  <c:v>612.58301041135371</c:v>
                </c:pt>
                <c:pt idx="93">
                  <c:v>623.84011521480932</c:v>
                </c:pt>
                <c:pt idx="94">
                  <c:v>635.09301493951591</c:v>
                </c:pt>
                <c:pt idx="95">
                  <c:v>646.34179457229243</c:v>
                </c:pt>
                <c:pt idx="96">
                  <c:v>657.5865359015296</c:v>
                </c:pt>
                <c:pt idx="97">
                  <c:v>668.82731769134716</c:v>
                </c:pt>
                <c:pt idx="98">
                  <c:v>680.06421584344059</c:v>
                </c:pt>
                <c:pt idx="99">
                  <c:v>691.29730354767992</c:v>
                </c:pt>
                <c:pt idx="100">
                  <c:v>702.52665142241437</c:v>
                </c:pt>
                <c:pt idx="101">
                  <c:v>608.0026257927675</c:v>
                </c:pt>
                <c:pt idx="102">
                  <c:v>618.3074928990726</c:v>
                </c:pt>
                <c:pt idx="103">
                  <c:v>628.60880146856755</c:v>
                </c:pt>
                <c:pt idx="104">
                  <c:v>638.90661802503575</c:v>
                </c:pt>
                <c:pt idx="105">
                  <c:v>649.20100677344124</c:v>
                </c:pt>
                <c:pt idx="106">
                  <c:v>659.49202971702437</c:v>
                </c:pt>
                <c:pt idx="107">
                  <c:v>669.77974676670851</c:v>
                </c:pt>
                <c:pt idx="108">
                  <c:v>680.06421584344037</c:v>
                </c:pt>
                <c:pt idx="109">
                  <c:v>690.34549297401929</c:v>
                </c:pt>
                <c:pt idx="110">
                  <c:v>700.62363238092303</c:v>
                </c:pt>
                <c:pt idx="111">
                  <c:v>608.19348941446708</c:v>
                </c:pt>
                <c:pt idx="112">
                  <c:v>616.7810721021084</c:v>
                </c:pt>
                <c:pt idx="113">
                  <c:v>625.36617664098787</c:v>
                </c:pt>
                <c:pt idx="114">
                  <c:v>633.94884184663977</c:v>
                </c:pt>
                <c:pt idx="115">
                  <c:v>642.52910539795425</c:v>
                </c:pt>
                <c:pt idx="116">
                  <c:v>651.1070038855247</c:v>
                </c:pt>
                <c:pt idx="117">
                  <c:v>659.68257285730897</c:v>
                </c:pt>
                <c:pt idx="118">
                  <c:v>668.25584686179923</c:v>
                </c:pt>
                <c:pt idx="119">
                  <c:v>676.82685948885705</c:v>
                </c:pt>
                <c:pt idx="120">
                  <c:v>685.39564340837785</c:v>
                </c:pt>
                <c:pt idx="121">
                  <c:v>603.8033106091608</c:v>
                </c:pt>
                <c:pt idx="122">
                  <c:v>611.81966247181992</c:v>
                </c:pt>
                <c:pt idx="123">
                  <c:v>619.83383559808942</c:v>
                </c:pt>
                <c:pt idx="124">
                  <c:v>627.84586213083344</c:v>
                </c:pt>
                <c:pt idx="125">
                  <c:v>635.85577332565276</c:v>
                </c:pt>
                <c:pt idx="126">
                  <c:v>643.86359958648518</c:v>
                </c:pt>
                <c:pt idx="127">
                  <c:v>651.86937049934511</c:v>
                </c:pt>
                <c:pt idx="128">
                  <c:v>659.87311486431611</c:v>
                </c:pt>
                <c:pt idx="129">
                  <c:v>667.87486072591389</c:v>
                </c:pt>
                <c:pt idx="130">
                  <c:v>675.87463540191834</c:v>
                </c:pt>
                <c:pt idx="131">
                  <c:v>599.60338857466627</c:v>
                </c:pt>
                <c:pt idx="132">
                  <c:v>607.23915886223779</c:v>
                </c:pt>
                <c:pt idx="133">
                  <c:v>614.87293594423409</c:v>
                </c:pt>
                <c:pt idx="134">
                  <c:v>622.50474805800286</c:v>
                </c:pt>
                <c:pt idx="135">
                  <c:v>630.13462269202034</c:v>
                </c:pt>
                <c:pt idx="136">
                  <c:v>637.76258661477277</c:v>
                </c:pt>
                <c:pt idx="137">
                  <c:v>645.38866590218811</c:v>
                </c:pt>
                <c:pt idx="138">
                  <c:v>653.0128859637</c:v>
                </c:pt>
                <c:pt idx="139">
                  <c:v>660.63527156703606</c:v>
                </c:pt>
                <c:pt idx="140">
                  <c:v>668.25584686179889</c:v>
                </c:pt>
                <c:pt idx="141">
                  <c:v>592.92043173039758</c:v>
                </c:pt>
                <c:pt idx="142">
                  <c:v>599.60338857466627</c:v>
                </c:pt>
                <c:pt idx="143">
                  <c:v>606.28479716716993</c:v>
                </c:pt>
                <c:pt idx="144">
                  <c:v>612.96467697950118</c:v>
                </c:pt>
                <c:pt idx="145">
                  <c:v>619.64304702417701</c:v>
                </c:pt>
                <c:pt idx="146">
                  <c:v>626.31992587040372</c:v>
                </c:pt>
                <c:pt idx="147">
                  <c:v>632.99533165913078</c:v>
                </c:pt>
                <c:pt idx="148">
                  <c:v>639.66928211743823</c:v>
                </c:pt>
                <c:pt idx="149">
                  <c:v>646.34179457229163</c:v>
                </c:pt>
                <c:pt idx="150">
                  <c:v>653.0128859637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389744"/>
        <c:axId val="398388112"/>
      </c:scatterChart>
      <c:valAx>
        <c:axId val="398389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88112"/>
        <c:crosses val="autoZero"/>
        <c:crossBetween val="midCat"/>
      </c:valAx>
      <c:valAx>
        <c:axId val="39838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89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180.75557672577415</c:v>
                </c:pt>
                <c:pt idx="22">
                  <c:v>196.55853182882308</c:v>
                </c:pt>
                <c:pt idx="23">
                  <c:v>212.33198814382544</c:v>
                </c:pt>
                <c:pt idx="24">
                  <c:v>228.07844610125684</c:v>
                </c:pt>
                <c:pt idx="25">
                  <c:v>243.80003239943395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293.44034996889724</c:v>
                </c:pt>
                <c:pt idx="32">
                  <c:v>316.88647637416977</c:v>
                </c:pt>
                <c:pt idx="33">
                  <c:v>340.2941842426967</c:v>
                </c:pt>
                <c:pt idx="34">
                  <c:v>363.66648605477627</c:v>
                </c:pt>
                <c:pt idx="35">
                  <c:v>387.00597559413177</c:v>
                </c:pt>
                <c:pt idx="36">
                  <c:v>289.96337472940422</c:v>
                </c:pt>
                <c:pt idx="37">
                  <c:v>314.28330815365308</c:v>
                </c:pt>
                <c:pt idx="38">
                  <c:v>338.56152844098671</c:v>
                </c:pt>
                <c:pt idx="39">
                  <c:v>362.80144525672239</c:v>
                </c:pt>
                <c:pt idx="40">
                  <c:v>387.00597559413171</c:v>
                </c:pt>
                <c:pt idx="41">
                  <c:v>411.60899407848501</c:v>
                </c:pt>
                <c:pt idx="42">
                  <c:v>436.18028292908167</c:v>
                </c:pt>
                <c:pt idx="43">
                  <c:v>460.72187919832771</c:v>
                </c:pt>
                <c:pt idx="44">
                  <c:v>485.23558538841758</c:v>
                </c:pt>
                <c:pt idx="45">
                  <c:v>509.72300718239194</c:v>
                </c:pt>
                <c:pt idx="46">
                  <c:v>412.90299192267616</c:v>
                </c:pt>
                <c:pt idx="47">
                  <c:v>436.61108755732999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529.46660755485038</c:v>
                </c:pt>
                <c:pt idx="52">
                  <c:v>551.33817074688682</c:v>
                </c:pt>
                <c:pt idx="53">
                  <c:v>573.19155224586348</c:v>
                </c:pt>
                <c:pt idx="54">
                  <c:v>595.02754210367516</c:v>
                </c:pt>
                <c:pt idx="55">
                  <c:v>616.84686771553982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616.41919362679607</c:v>
                </c:pt>
                <c:pt idx="62">
                  <c:v>635.23110191241869</c:v>
                </c:pt>
                <c:pt idx="63">
                  <c:v>654.03150003454277</c:v>
                </c:pt>
                <c:pt idx="64">
                  <c:v>672.82076514505184</c:v>
                </c:pt>
                <c:pt idx="65">
                  <c:v>691.59925163326659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675.80896375991858</c:v>
                </c:pt>
                <c:pt idx="72">
                  <c:v>692.0259128007566</c:v>
                </c:pt>
                <c:pt idx="73">
                  <c:v>708.23507701664573</c:v>
                </c:pt>
                <c:pt idx="74">
                  <c:v>724.43665952870151</c:v>
                </c:pt>
                <c:pt idx="75">
                  <c:v>740.63085363962227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706.10272969198661</c:v>
                </c:pt>
                <c:pt idx="82">
                  <c:v>714.20495271831248</c:v>
                </c:pt>
                <c:pt idx="83">
                  <c:v>722.3052985482658</c:v>
                </c:pt>
                <c:pt idx="84">
                  <c:v>730.40379119725401</c:v>
                </c:pt>
                <c:pt idx="85">
                  <c:v>738.50045410483654</c:v>
                </c:pt>
                <c:pt idx="86">
                  <c:v>746.59531015482787</c:v>
                </c:pt>
                <c:pt idx="87">
                  <c:v>754.68838169448679</c:v>
                </c:pt>
                <c:pt idx="88">
                  <c:v>762.77969055283802</c:v>
                </c:pt>
                <c:pt idx="89">
                  <c:v>770.86925805817725</c:v>
                </c:pt>
                <c:pt idx="90">
                  <c:v>778.95710505480304</c:v>
                </c:pt>
                <c:pt idx="91">
                  <c:v>672.18040143052724</c:v>
                </c:pt>
                <c:pt idx="92">
                  <c:v>684.77193672549231</c:v>
                </c:pt>
                <c:pt idx="93">
                  <c:v>697.3587237894086</c:v>
                </c:pt>
                <c:pt idx="94">
                  <c:v>709.94086035598684</c:v>
                </c:pt>
                <c:pt idx="95">
                  <c:v>722.51844041418644</c:v>
                </c:pt>
                <c:pt idx="96">
                  <c:v>735.09155441574819</c:v>
                </c:pt>
                <c:pt idx="97">
                  <c:v>747.66028946779909</c:v>
                </c:pt>
                <c:pt idx="98">
                  <c:v>760.22472951184307</c:v>
                </c:pt>
                <c:pt idx="99">
                  <c:v>772.78495549031061</c:v>
                </c:pt>
                <c:pt idx="100">
                  <c:v>785.34104550172617</c:v>
                </c:pt>
                <c:pt idx="101">
                  <c:v>679.65053482644407</c:v>
                </c:pt>
                <c:pt idx="102">
                  <c:v>691.17258507143526</c:v>
                </c:pt>
                <c:pt idx="103">
                  <c:v>702.69069984530927</c:v>
                </c:pt>
                <c:pt idx="104">
                  <c:v>714.20495271831214</c:v>
                </c:pt>
                <c:pt idx="105">
                  <c:v>725.71541469625129</c:v>
                </c:pt>
                <c:pt idx="106">
                  <c:v>737.22215434999634</c:v>
                </c:pt>
                <c:pt idx="107">
                  <c:v>748.72523793647258</c:v>
                </c:pt>
                <c:pt idx="108">
                  <c:v>760.22472951184272</c:v>
                </c:pt>
                <c:pt idx="109">
                  <c:v>771.72069103748652</c:v>
                </c:pt>
                <c:pt idx="110">
                  <c:v>783.21318247934141</c:v>
                </c:pt>
                <c:pt idx="111">
                  <c:v>679.86394234557974</c:v>
                </c:pt>
                <c:pt idx="112">
                  <c:v>689.4658648045837</c:v>
                </c:pt>
                <c:pt idx="113">
                  <c:v>699.06504661949828</c:v>
                </c:pt>
                <c:pt idx="114">
                  <c:v>708.66153071735198</c:v>
                </c:pt>
                <c:pt idx="115">
                  <c:v>718.25535876813331</c:v>
                </c:pt>
                <c:pt idx="116">
                  <c:v>727.84657123825548</c:v>
                </c:pt>
                <c:pt idx="117">
                  <c:v>737.43520744105683</c:v>
                </c:pt>
                <c:pt idx="118">
                  <c:v>747.02130558454246</c:v>
                </c:pt>
                <c:pt idx="119">
                  <c:v>756.60490281654575</c:v>
                </c:pt>
                <c:pt idx="120">
                  <c:v>766.18603526748541</c:v>
                </c:pt>
                <c:pt idx="121">
                  <c:v>674.95522047957547</c:v>
                </c:pt>
                <c:pt idx="122">
                  <c:v>683.9184244821223</c:v>
                </c:pt>
                <c:pt idx="123">
                  <c:v>692.87921896789578</c:v>
                </c:pt>
                <c:pt idx="124">
                  <c:v>701.83763948445903</c:v>
                </c:pt>
                <c:pt idx="125">
                  <c:v>710.79372059813011</c:v>
                </c:pt>
                <c:pt idx="126">
                  <c:v>719.74749593335264</c:v>
                </c:pt>
                <c:pt idx="127">
                  <c:v>728.69899821000763</c:v>
                </c:pt>
                <c:pt idx="128">
                  <c:v>737.64825927879849</c:v>
                </c:pt>
                <c:pt idx="129">
                  <c:v>746.59531015482673</c:v>
                </c:pt>
                <c:pt idx="130">
                  <c:v>755.54018104947966</c:v>
                </c:pt>
                <c:pt idx="131">
                  <c:v>670.25923500176987</c:v>
                </c:pt>
                <c:pt idx="132">
                  <c:v>678.79689098808058</c:v>
                </c:pt>
                <c:pt idx="133">
                  <c:v>687.3323426405899</c:v>
                </c:pt>
                <c:pt idx="134">
                  <c:v>695.86562118765835</c:v>
                </c:pt>
                <c:pt idx="135">
                  <c:v>704.39675702944942</c:v>
                </c:pt>
                <c:pt idx="136">
                  <c:v>712.92577976987411</c:v>
                </c:pt>
                <c:pt idx="137">
                  <c:v>721.45271824692497</c:v>
                </c:pt>
                <c:pt idx="138">
                  <c:v>729.97760056150446</c:v>
                </c:pt>
                <c:pt idx="139">
                  <c:v>738.50045410483551</c:v>
                </c:pt>
                <c:pt idx="140">
                  <c:v>747.02130558454235</c:v>
                </c:pt>
                <c:pt idx="141">
                  <c:v>662.78695256584854</c:v>
                </c:pt>
                <c:pt idx="142">
                  <c:v>670.25923500176987</c:v>
                </c:pt>
                <c:pt idx="143">
                  <c:v>677.7298051889702</c:v>
                </c:pt>
                <c:pt idx="144">
                  <c:v>685.19868466154912</c:v>
                </c:pt>
                <c:pt idx="145">
                  <c:v>692.66589444590579</c:v>
                </c:pt>
                <c:pt idx="146">
                  <c:v>700.13145507817001</c:v>
                </c:pt>
                <c:pt idx="147">
                  <c:v>707.59538662085242</c:v>
                </c:pt>
                <c:pt idx="148">
                  <c:v>715.05770867875538</c:v>
                </c:pt>
                <c:pt idx="149">
                  <c:v>722.51844041418553</c:v>
                </c:pt>
                <c:pt idx="150">
                  <c:v>729.97760056150446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393552"/>
        <c:axId val="398396816"/>
      </c:scatterChart>
      <c:valAx>
        <c:axId val="398393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96816"/>
        <c:crosses val="autoZero"/>
        <c:crossBetween val="midCat"/>
      </c:valAx>
      <c:valAx>
        <c:axId val="39839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93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646.40615710041936</c:v>
                </c:pt>
                <c:pt idx="76">
                  <c:v>653.49207676674735</c:v>
                </c:pt>
                <c:pt idx="77">
                  <c:v>660.57641312792327</c:v>
                </c:pt>
                <c:pt idx="78">
                  <c:v>667.659185558682</c:v>
                </c:pt>
                <c:pt idx="79">
                  <c:v>674.74041298916916</c:v>
                </c:pt>
                <c:pt idx="80">
                  <c:v>681.8201139198037</c:v>
                </c:pt>
                <c:pt idx="81">
                  <c:v>688.89830643548896</c:v>
                </c:pt>
                <c:pt idx="82">
                  <c:v>695.97500821921176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394096"/>
        <c:axId val="398397360"/>
      </c:scatterChart>
      <c:valAx>
        <c:axId val="398394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97360"/>
        <c:crosses val="autoZero"/>
        <c:crossBetween val="midCat"/>
      </c:valAx>
      <c:valAx>
        <c:axId val="39839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94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392464"/>
        <c:axId val="398389200"/>
      </c:scatterChart>
      <c:valAx>
        <c:axId val="398392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89200"/>
        <c:crosses val="autoZero"/>
        <c:crossBetween val="midCat"/>
      </c:valAx>
      <c:valAx>
        <c:axId val="39838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92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1.8038883390683471</c:v>
                </c:pt>
                <c:pt idx="2">
                  <c:v>2.1897729047023593</c:v>
                </c:pt>
                <c:pt idx="3">
                  <c:v>2.6585227899015504</c:v>
                </c:pt>
                <c:pt idx="4">
                  <c:v>3.2279971105254481</c:v>
                </c:pt>
                <c:pt idx="5">
                  <c:v>3.919917031470415</c:v>
                </c:pt>
                <c:pt idx="6">
                  <c:v>4.7607035707095422</c:v>
                </c:pt>
                <c:pt idx="7">
                  <c:v>5.7824976793244902</c:v>
                </c:pt>
                <c:pt idx="8">
                  <c:v>7.0244023602037151</c:v>
                </c:pt>
                <c:pt idx="9">
                  <c:v>8.5339952832965214</c:v>
                </c:pt>
                <c:pt idx="10">
                  <c:v>10.369170956195171</c:v>
                </c:pt>
                <c:pt idx="11">
                  <c:v>12.600384433857405</c:v>
                </c:pt>
                <c:pt idx="12">
                  <c:v>15.313384311036627</c:v>
                </c:pt>
                <c:pt idx="13">
                  <c:v>18.612541958368652</c:v>
                </c:pt>
                <c:pt idx="14">
                  <c:v>22.624907398105716</c:v>
                </c:pt>
                <c:pt idx="15">
                  <c:v>27.505150795572561</c:v>
                </c:pt>
                <c:pt idx="16">
                  <c:v>33.441583399188175</c:v>
                </c:pt>
                <c:pt idx="17">
                  <c:v>40.663494276299794</c:v>
                </c:pt>
                <c:pt idx="18">
                  <c:v>49.450091049385911</c:v>
                </c:pt>
                <c:pt idx="19">
                  <c:v>60.141396094149911</c:v>
                </c:pt>
                <c:pt idx="20">
                  <c:v>73.151526827873639</c:v>
                </c:pt>
                <c:pt idx="21">
                  <c:v>88.98488285695737</c:v>
                </c:pt>
                <c:pt idx="22">
                  <c:v>108.25587760652974</c:v>
                </c:pt>
                <c:pt idx="23">
                  <c:v>127.87183025187436</c:v>
                </c:pt>
                <c:pt idx="24">
                  <c:v>147.41479291393856</c:v>
                </c:pt>
                <c:pt idx="25">
                  <c:v>166.89582070164903</c:v>
                </c:pt>
                <c:pt idx="26">
                  <c:v>158.69588956630341</c:v>
                </c:pt>
                <c:pt idx="27">
                  <c:v>176.57443476299522</c:v>
                </c:pt>
                <c:pt idx="28">
                  <c:v>194.41049394787638</c:v>
                </c:pt>
                <c:pt idx="29">
                  <c:v>212.20851486614947</c:v>
                </c:pt>
                <c:pt idx="30">
                  <c:v>229.97213730997649</c:v>
                </c:pt>
                <c:pt idx="31">
                  <c:v>206.03271564587533</c:v>
                </c:pt>
                <c:pt idx="32">
                  <c:v>226.52064342157504</c:v>
                </c:pt>
                <c:pt idx="33">
                  <c:v>246.96613989084696</c:v>
                </c:pt>
                <c:pt idx="34">
                  <c:v>267.37321139326599</c:v>
                </c:pt>
                <c:pt idx="35">
                  <c:v>287.74520244496057</c:v>
                </c:pt>
                <c:pt idx="36">
                  <c:v>246.22783730674089</c:v>
                </c:pt>
                <c:pt idx="37">
                  <c:v>264.91644767126212</c:v>
                </c:pt>
                <c:pt idx="38">
                  <c:v>283.57533816627671</c:v>
                </c:pt>
                <c:pt idx="39">
                  <c:v>302.20673901881219</c:v>
                </c:pt>
                <c:pt idx="40">
                  <c:v>320.81258298345932</c:v>
                </c:pt>
                <c:pt idx="41">
                  <c:v>286.27364112152469</c:v>
                </c:pt>
                <c:pt idx="42">
                  <c:v>303.18661538142965</c:v>
                </c:pt>
                <c:pt idx="43">
                  <c:v>320.07860464143613</c:v>
                </c:pt>
                <c:pt idx="44">
                  <c:v>336.95087205446191</c:v>
                </c:pt>
                <c:pt idx="45">
                  <c:v>353.80454395241946</c:v>
                </c:pt>
                <c:pt idx="46">
                  <c:v>323.50351969461479</c:v>
                </c:pt>
                <c:pt idx="47">
                  <c:v>339.63890781505688</c:v>
                </c:pt>
                <c:pt idx="48">
                  <c:v>355.75743703713033</c:v>
                </c:pt>
                <c:pt idx="49">
                  <c:v>371.8599785946235</c:v>
                </c:pt>
                <c:pt idx="50">
                  <c:v>387.94732211955193</c:v>
                </c:pt>
                <c:pt idx="51">
                  <c:v>357.77111212719302</c:v>
                </c:pt>
                <c:pt idx="52">
                  <c:v>372.71347028292752</c:v>
                </c:pt>
                <c:pt idx="53">
                  <c:v>387.64277426642496</c:v>
                </c:pt>
                <c:pt idx="54">
                  <c:v>402.5595975696238</c:v>
                </c:pt>
                <c:pt idx="55">
                  <c:v>417.46446772037797</c:v>
                </c:pt>
                <c:pt idx="56">
                  <c:v>432.35787151018599</c:v>
                </c:pt>
                <c:pt idx="57">
                  <c:v>447.24025946406249</c:v>
                </c:pt>
                <c:pt idx="58">
                  <c:v>462.11204968448237</c:v>
                </c:pt>
                <c:pt idx="59">
                  <c:v>417.61649833792848</c:v>
                </c:pt>
                <c:pt idx="60">
                  <c:v>431.44635144816431</c:v>
                </c:pt>
                <c:pt idx="61">
                  <c:v>445.26668358390657</c:v>
                </c:pt>
                <c:pt idx="62">
                  <c:v>459.07783184895493</c:v>
                </c:pt>
                <c:pt idx="63">
                  <c:v>472.88011141256703</c:v>
                </c:pt>
                <c:pt idx="64">
                  <c:v>486.67381754865318</c:v>
                </c:pt>
                <c:pt idx="65">
                  <c:v>500.45922743178085</c:v>
                </c:pt>
                <c:pt idx="66">
                  <c:v>514.23660172502764</c:v>
                </c:pt>
                <c:pt idx="67">
                  <c:v>461.80864708305415</c:v>
                </c:pt>
                <c:pt idx="68">
                  <c:v>469.99903447882821</c:v>
                </c:pt>
                <c:pt idx="69">
                  <c:v>478.18638208927251</c:v>
                </c:pt>
                <c:pt idx="70">
                  <c:v>486.3707493197806</c:v>
                </c:pt>
                <c:pt idx="71">
                  <c:v>494.55219341267713</c:v>
                </c:pt>
                <c:pt idx="72">
                  <c:v>502.73076956123822</c:v>
                </c:pt>
                <c:pt idx="73">
                  <c:v>510.90653101590328</c:v>
                </c:pt>
                <c:pt idx="74">
                  <c:v>519.07952918333581</c:v>
                </c:pt>
                <c:pt idx="75">
                  <c:v>501.67074366165338</c:v>
                </c:pt>
                <c:pt idx="76">
                  <c:v>508.48437353815274</c:v>
                </c:pt>
                <c:pt idx="77">
                  <c:v>515.2960740487091</c:v>
                </c:pt>
                <c:pt idx="78">
                  <c:v>522.10587430578664</c:v>
                </c:pt>
                <c:pt idx="79">
                  <c:v>528.91380260016911</c:v>
                </c:pt>
                <c:pt idx="80">
                  <c:v>535.71988643466068</c:v>
                </c:pt>
                <c:pt idx="81">
                  <c:v>542.52415255598589</c:v>
                </c:pt>
                <c:pt idx="82">
                  <c:v>549.32662698500246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402256"/>
        <c:axId val="398395184"/>
      </c:scatterChart>
      <c:valAx>
        <c:axId val="398402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95184"/>
        <c:crosses val="autoZero"/>
        <c:crossBetween val="midCat"/>
      </c:valAx>
      <c:valAx>
        <c:axId val="39839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402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98.512724786915555</c:v>
                </c:pt>
                <c:pt idx="7">
                  <c:v>126.67054710265984</c:v>
                </c:pt>
                <c:pt idx="8">
                  <c:v>154.67586795026543</c:v>
                </c:pt>
                <c:pt idx="9">
                  <c:v>182.56031510693728</c:v>
                </c:pt>
                <c:pt idx="10">
                  <c:v>210.34498910896306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397904"/>
        <c:axId val="398395728"/>
      </c:scatterChart>
      <c:valAx>
        <c:axId val="398397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95728"/>
        <c:crosses val="autoZero"/>
        <c:crossBetween val="midCat"/>
      </c:valAx>
      <c:valAx>
        <c:axId val="39839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97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391376"/>
        <c:axId val="398390288"/>
      </c:scatterChart>
      <c:valAx>
        <c:axId val="398391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90288"/>
        <c:crosses val="autoZero"/>
        <c:crossBetween val="midCat"/>
      </c:valAx>
      <c:valAx>
        <c:axId val="39839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91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396272"/>
        <c:axId val="398400624"/>
      </c:scatterChart>
      <c:valAx>
        <c:axId val="398396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400624"/>
        <c:crosses val="autoZero"/>
        <c:crossBetween val="midCat"/>
      </c:valAx>
      <c:valAx>
        <c:axId val="39840062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396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9" zoomScale="55" zoomScaleNormal="55" workbookViewId="0">
      <selection activeCell="B195" sqref="B19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0.3</v>
      </c>
      <c r="D9" s="36">
        <f t="shared" ref="D9:D18" si="0">C9*$C$5</f>
        <v>2.1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0.1</v>
      </c>
      <c r="D10" s="36">
        <f t="shared" si="0"/>
        <v>0.70000000000000007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</v>
      </c>
      <c r="C11" s="35">
        <v>0.1</v>
      </c>
      <c r="D11" s="36">
        <f t="shared" si="0"/>
        <v>0.70000000000000007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35</v>
      </c>
      <c r="C12" s="35">
        <v>0.15</v>
      </c>
      <c r="D12" s="36">
        <f t="shared" si="0"/>
        <v>1.05</v>
      </c>
      <c r="E12" s="37">
        <v>82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27</v>
      </c>
      <c r="C13" s="35">
        <v>0.1</v>
      </c>
      <c r="D13" s="36">
        <f t="shared" si="0"/>
        <v>0.70000000000000007</v>
      </c>
      <c r="E13" s="37">
        <v>60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41</v>
      </c>
      <c r="C14" s="35">
        <v>0.15</v>
      </c>
      <c r="D14" s="36">
        <f t="shared" si="0"/>
        <v>1.05</v>
      </c>
      <c r="E14" s="37">
        <v>82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44</v>
      </c>
      <c r="C15" s="35">
        <v>0.1</v>
      </c>
      <c r="D15" s="36">
        <f t="shared" si="0"/>
        <v>0.70000000000000007</v>
      </c>
      <c r="E15" s="37">
        <v>45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7.0000000000000009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C32" s="25" t="s">
        <v>324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21</v>
      </c>
      <c r="B36" s="63">
        <f>10*21</f>
        <v>210</v>
      </c>
      <c r="C36" s="63">
        <v>1</v>
      </c>
      <c r="D36" s="63">
        <f>B36-147</f>
        <v>63</v>
      </c>
      <c r="E36" s="54"/>
      <c r="F36" s="54">
        <v>0.5</v>
      </c>
      <c r="G36" s="54">
        <v>0.5</v>
      </c>
      <c r="H36" s="93"/>
      <c r="I36" s="52">
        <f>IFERROR(B36/A36,"")</f>
        <v>10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28</v>
      </c>
      <c r="B37" s="63">
        <v>280</v>
      </c>
      <c r="C37" s="63">
        <v>2</v>
      </c>
      <c r="D37" s="63">
        <v>64</v>
      </c>
      <c r="E37" s="54"/>
      <c r="F37" s="54">
        <v>0.5</v>
      </c>
      <c r="G37" s="54">
        <v>0.5</v>
      </c>
      <c r="H37" s="93"/>
      <c r="I37" s="56">
        <f t="shared" ref="I37:I55" si="1">IF(A37&lt;&gt;0,(B37-(B36-D36))/(A37-A36),"")</f>
        <v>19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355</v>
      </c>
      <c r="C38" s="63">
        <v>3</v>
      </c>
      <c r="D38" s="63">
        <v>73</v>
      </c>
      <c r="E38" s="93"/>
      <c r="F38" s="93"/>
      <c r="G38" s="93"/>
      <c r="H38" s="93"/>
      <c r="I38" s="56">
        <f t="shared" si="1"/>
        <v>19.857142857142858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42</v>
      </c>
      <c r="B39" s="63">
        <v>419</v>
      </c>
      <c r="C39" s="63">
        <v>4</v>
      </c>
      <c r="D39" s="63">
        <v>77</v>
      </c>
      <c r="E39" s="93"/>
      <c r="F39" s="93"/>
      <c r="G39" s="93"/>
      <c r="H39" s="93"/>
      <c r="I39" s="52">
        <f t="shared" si="1"/>
        <v>19.571428571428573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49</v>
      </c>
      <c r="B40" s="63">
        <v>473</v>
      </c>
      <c r="C40" s="63">
        <v>5</v>
      </c>
      <c r="D40" s="63">
        <v>80</v>
      </c>
      <c r="E40" s="93"/>
      <c r="F40" s="93"/>
      <c r="G40" s="93"/>
      <c r="H40" s="93"/>
      <c r="I40" s="52">
        <f t="shared" si="1"/>
        <v>18.714285714285715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56</v>
      </c>
      <c r="B41" s="63">
        <v>514</v>
      </c>
      <c r="C41" s="63">
        <v>6</v>
      </c>
      <c r="D41" s="63">
        <v>85</v>
      </c>
      <c r="E41" s="93"/>
      <c r="F41" s="93"/>
      <c r="G41" s="93"/>
      <c r="H41" s="93"/>
      <c r="I41" s="56">
        <f t="shared" si="1"/>
        <v>17.285714285714285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63</v>
      </c>
      <c r="B42" s="63">
        <v>538</v>
      </c>
      <c r="C42" s="63">
        <v>7</v>
      </c>
      <c r="D42" s="63">
        <v>84</v>
      </c>
      <c r="E42" s="93"/>
      <c r="F42" s="93"/>
      <c r="G42" s="93"/>
      <c r="H42" s="93"/>
      <c r="I42" s="56">
        <f t="shared" si="1"/>
        <v>15.571428571428571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63">
        <v>70</v>
      </c>
      <c r="B43" s="63">
        <v>551</v>
      </c>
      <c r="C43" s="63">
        <v>8</v>
      </c>
      <c r="D43" s="63">
        <f>B43</f>
        <v>551</v>
      </c>
      <c r="E43" s="93"/>
      <c r="F43" s="93"/>
      <c r="G43" s="93"/>
      <c r="H43" s="93"/>
      <c r="I43" s="52">
        <f t="shared" si="1"/>
        <v>13.857142857142858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C58" s="25" t="s">
        <v>326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/>
      <c r="D62" s="63"/>
      <c r="E62" s="54"/>
      <c r="F62" s="54"/>
      <c r="G62" s="54"/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109</v>
      </c>
      <c r="C63" s="63">
        <v>1</v>
      </c>
      <c r="D63" s="63">
        <f>6+28</f>
        <v>34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f>93+28</f>
        <v>121</v>
      </c>
      <c r="C64" s="63"/>
      <c r="D64" s="63"/>
      <c r="E64" s="54"/>
      <c r="F64" s="54"/>
      <c r="G64" s="54"/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f>119+28+28</f>
        <v>175</v>
      </c>
      <c r="C65" s="63">
        <v>2</v>
      </c>
      <c r="D65" s="63">
        <f>28+28</f>
        <v>56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f>147+28</f>
        <v>175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f>176+28+28</f>
        <v>232</v>
      </c>
      <c r="C67" s="63">
        <v>3</v>
      </c>
      <c r="D67" s="63">
        <f>28+28</f>
        <v>56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f>203+28</f>
        <v>231</v>
      </c>
      <c r="C68" s="53"/>
      <c r="D68" s="63"/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63">
        <f>226+28+28</f>
        <v>282</v>
      </c>
      <c r="C69" s="53">
        <v>4</v>
      </c>
      <c r="D69" s="63">
        <f>28+28</f>
        <v>56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63">
        <f>245+28</f>
        <v>273</v>
      </c>
      <c r="C70" s="53"/>
      <c r="D70" s="63"/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63">
        <f>261+28+28</f>
        <v>317</v>
      </c>
      <c r="C71" s="53">
        <v>5</v>
      </c>
      <c r="D71" s="63">
        <f>D69</f>
        <v>56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63">
        <f>274+28</f>
        <v>302</v>
      </c>
      <c r="C72" s="53"/>
      <c r="D72" s="63"/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63">
        <f>284+28+28</f>
        <v>340</v>
      </c>
      <c r="C73" s="53">
        <v>6</v>
      </c>
      <c r="D73" s="63">
        <f>28+28</f>
        <v>56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63">
        <f>292+28</f>
        <v>320</v>
      </c>
      <c r="C74" s="53"/>
      <c r="D74" s="63"/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63">
        <f>302+28+28</f>
        <v>358</v>
      </c>
      <c r="C75" s="53">
        <v>7</v>
      </c>
      <c r="D75" s="63">
        <f>28+28</f>
        <v>56</v>
      </c>
      <c r="E75" s="54"/>
      <c r="F75" s="54"/>
      <c r="G75" s="54"/>
      <c r="H75" s="54"/>
      <c r="I75" s="52">
        <f t="shared" si="2"/>
        <v>3.8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100</v>
      </c>
      <c r="B76" s="53">
        <v>361</v>
      </c>
      <c r="C76" s="53">
        <v>8</v>
      </c>
      <c r="D76" s="53">
        <v>55</v>
      </c>
      <c r="E76" s="54"/>
      <c r="F76" s="54"/>
      <c r="G76" s="54"/>
      <c r="H76" s="54"/>
      <c r="I76" s="52">
        <f t="shared" si="2"/>
        <v>5.9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110</v>
      </c>
      <c r="B77" s="53">
        <v>360</v>
      </c>
      <c r="C77" s="53">
        <v>9</v>
      </c>
      <c r="D77" s="53">
        <v>53</v>
      </c>
      <c r="E77" s="54"/>
      <c r="F77" s="54"/>
      <c r="G77" s="54"/>
      <c r="H77" s="54"/>
      <c r="I77" s="52">
        <f t="shared" si="2"/>
        <v>5.4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120</v>
      </c>
      <c r="B78" s="53">
        <v>352</v>
      </c>
      <c r="C78" s="53">
        <v>10</v>
      </c>
      <c r="D78" s="53">
        <v>47</v>
      </c>
      <c r="E78" s="54"/>
      <c r="F78" s="54"/>
      <c r="G78" s="54"/>
      <c r="H78" s="54"/>
      <c r="I78" s="52">
        <f t="shared" si="2"/>
        <v>4.5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130</v>
      </c>
      <c r="B79" s="53">
        <v>347</v>
      </c>
      <c r="C79" s="53">
        <v>11</v>
      </c>
      <c r="D79" s="53">
        <v>44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140</v>
      </c>
      <c r="B80" s="53">
        <v>343</v>
      </c>
      <c r="C80" s="53">
        <v>12</v>
      </c>
      <c r="D80" s="53">
        <v>43</v>
      </c>
      <c r="E80" s="54"/>
      <c r="F80" s="54"/>
      <c r="G80" s="54"/>
      <c r="H80" s="54"/>
      <c r="I80" s="52">
        <f t="shared" si="2"/>
        <v>4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335</v>
      </c>
      <c r="C81" s="53">
        <v>13</v>
      </c>
      <c r="D81" s="53">
        <v>335</v>
      </c>
      <c r="E81" s="54"/>
      <c r="F81" s="54"/>
      <c r="G81" s="54"/>
      <c r="H81" s="54"/>
      <c r="I81" s="52">
        <f t="shared" si="2"/>
        <v>3.5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pubescent</v>
      </c>
      <c r="C84" s="25" t="s">
        <v>326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/>
      <c r="D88" s="63"/>
      <c r="E88" s="54"/>
      <c r="F88" s="54"/>
      <c r="G88" s="54"/>
      <c r="H88" s="54"/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109</v>
      </c>
      <c r="C89" s="63">
        <v>1</v>
      </c>
      <c r="D89" s="63">
        <f>6+28</f>
        <v>34</v>
      </c>
      <c r="E89" s="54"/>
      <c r="F89" s="54"/>
      <c r="G89" s="54"/>
      <c r="H89" s="54">
        <v>1</v>
      </c>
      <c r="I89" s="56">
        <f t="shared" ref="I89:I102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f>93+28</f>
        <v>121</v>
      </c>
      <c r="C90" s="63"/>
      <c r="D90" s="63"/>
      <c r="E90" s="54"/>
      <c r="F90" s="54"/>
      <c r="G90" s="54"/>
      <c r="H90" s="54"/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f>119+28+28</f>
        <v>175</v>
      </c>
      <c r="C91" s="63">
        <v>2</v>
      </c>
      <c r="D91" s="63">
        <f>28+28</f>
        <v>56</v>
      </c>
      <c r="E91" s="54"/>
      <c r="F91" s="54"/>
      <c r="G91" s="54"/>
      <c r="H91" s="54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f>147+28</f>
        <v>175</v>
      </c>
      <c r="C92" s="63"/>
      <c r="D92" s="63"/>
      <c r="E92" s="54"/>
      <c r="F92" s="54"/>
      <c r="G92" s="54"/>
      <c r="H92" s="54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f>176+28+28</f>
        <v>232</v>
      </c>
      <c r="C93" s="63">
        <v>3</v>
      </c>
      <c r="D93" s="63">
        <f>28+28</f>
        <v>56</v>
      </c>
      <c r="E93" s="54"/>
      <c r="F93" s="54"/>
      <c r="G93" s="54"/>
      <c r="H93" s="54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f>203+28</f>
        <v>231</v>
      </c>
      <c r="C94" s="53"/>
      <c r="D94" s="63"/>
      <c r="E94" s="54"/>
      <c r="F94" s="54"/>
      <c r="G94" s="54"/>
      <c r="H94" s="54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63">
        <f>226+28+28</f>
        <v>282</v>
      </c>
      <c r="C95" s="53">
        <v>4</v>
      </c>
      <c r="D95" s="63">
        <f>28+28</f>
        <v>56</v>
      </c>
      <c r="E95" s="54"/>
      <c r="F95" s="54"/>
      <c r="G95" s="54"/>
      <c r="H95" s="54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63">
        <f>245+28</f>
        <v>273</v>
      </c>
      <c r="C96" s="53"/>
      <c r="D96" s="63"/>
      <c r="E96" s="54"/>
      <c r="F96" s="54"/>
      <c r="G96" s="54"/>
      <c r="H96" s="54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63">
        <f>261+28+28</f>
        <v>317</v>
      </c>
      <c r="C97" s="53">
        <v>5</v>
      </c>
      <c r="D97" s="63">
        <f>D95</f>
        <v>56</v>
      </c>
      <c r="E97" s="54"/>
      <c r="F97" s="54"/>
      <c r="G97" s="54"/>
      <c r="H97" s="54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63">
        <f>274+28</f>
        <v>302</v>
      </c>
      <c r="C98" s="53"/>
      <c r="D98" s="63"/>
      <c r="E98" s="54"/>
      <c r="F98" s="54"/>
      <c r="G98" s="54"/>
      <c r="H98" s="54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63">
        <f>284+28+28</f>
        <v>340</v>
      </c>
      <c r="C99" s="53">
        <v>6</v>
      </c>
      <c r="D99" s="63">
        <f>28+28</f>
        <v>56</v>
      </c>
      <c r="E99" s="54"/>
      <c r="F99" s="54"/>
      <c r="G99" s="54"/>
      <c r="H99" s="54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80</v>
      </c>
      <c r="B100" s="63">
        <f>292+28</f>
        <v>320</v>
      </c>
      <c r="C100" s="53"/>
      <c r="D100" s="63"/>
      <c r="E100" s="54"/>
      <c r="F100" s="54"/>
      <c r="G100" s="54"/>
      <c r="H100" s="54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90</v>
      </c>
      <c r="B101" s="63">
        <f>302+28+28</f>
        <v>358</v>
      </c>
      <c r="C101" s="53">
        <v>7</v>
      </c>
      <c r="D101" s="63">
        <f>28+28</f>
        <v>56</v>
      </c>
      <c r="E101" s="54"/>
      <c r="F101" s="54"/>
      <c r="G101" s="54"/>
      <c r="H101" s="54"/>
      <c r="I101" s="56">
        <f t="shared" si="3"/>
        <v>3.8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100</v>
      </c>
      <c r="B102" s="53">
        <v>361</v>
      </c>
      <c r="C102" s="53">
        <v>8</v>
      </c>
      <c r="D102" s="53">
        <v>55</v>
      </c>
      <c r="E102" s="54"/>
      <c r="F102" s="54"/>
      <c r="G102" s="54"/>
      <c r="H102" s="54"/>
      <c r="I102" s="56">
        <f t="shared" si="3"/>
        <v>5.9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110</v>
      </c>
      <c r="B103" s="53">
        <v>360</v>
      </c>
      <c r="C103" s="53">
        <v>9</v>
      </c>
      <c r="D103" s="53">
        <v>53</v>
      </c>
      <c r="E103" s="54"/>
      <c r="F103" s="54"/>
      <c r="G103" s="54"/>
      <c r="H103" s="54"/>
      <c r="I103" s="56">
        <f t="shared" ref="I103:I107" si="4">IF(A103&lt;&gt;0,(B103-(B102-D102))/(A103-A102),"")</f>
        <v>5.4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120</v>
      </c>
      <c r="B104" s="53">
        <v>352</v>
      </c>
      <c r="C104" s="53">
        <v>10</v>
      </c>
      <c r="D104" s="53">
        <v>47</v>
      </c>
      <c r="E104" s="54"/>
      <c r="F104" s="54"/>
      <c r="G104" s="54"/>
      <c r="H104" s="54"/>
      <c r="I104" s="56">
        <f t="shared" si="4"/>
        <v>4.5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130</v>
      </c>
      <c r="B105" s="53">
        <v>347</v>
      </c>
      <c r="C105" s="53">
        <v>11</v>
      </c>
      <c r="D105" s="53">
        <v>44</v>
      </c>
      <c r="E105" s="54"/>
      <c r="F105" s="54"/>
      <c r="G105" s="54"/>
      <c r="H105" s="54"/>
      <c r="I105" s="56">
        <f t="shared" si="4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140</v>
      </c>
      <c r="B106" s="53">
        <v>343</v>
      </c>
      <c r="C106" s="53">
        <v>12</v>
      </c>
      <c r="D106" s="53">
        <v>43</v>
      </c>
      <c r="E106" s="54"/>
      <c r="F106" s="54"/>
      <c r="G106" s="54"/>
      <c r="H106" s="54"/>
      <c r="I106" s="56">
        <f t="shared" si="4"/>
        <v>4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150</v>
      </c>
      <c r="B107" s="53">
        <v>335</v>
      </c>
      <c r="C107" s="53">
        <v>13</v>
      </c>
      <c r="D107" s="53">
        <v>335</v>
      </c>
      <c r="E107" s="54"/>
      <c r="F107" s="54"/>
      <c r="G107" s="54"/>
      <c r="H107" s="54"/>
      <c r="I107" s="56">
        <f t="shared" si="4"/>
        <v>3.5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laricio</v>
      </c>
      <c r="C110" s="25" t="s">
        <v>324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22</v>
      </c>
      <c r="B114" s="63">
        <f>107+16</f>
        <v>123</v>
      </c>
      <c r="C114" s="63">
        <v>1</v>
      </c>
      <c r="D114" s="63">
        <v>16</v>
      </c>
      <c r="E114" s="54"/>
      <c r="F114" s="54">
        <v>0.5</v>
      </c>
      <c r="G114" s="54">
        <v>0.5</v>
      </c>
      <c r="H114" s="54"/>
      <c r="I114" s="56">
        <f>IFERROR(B114/A114,"")</f>
        <v>5.5909090909090908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f>127+D115</f>
        <v>144</v>
      </c>
      <c r="C115" s="63">
        <v>2</v>
      </c>
      <c r="D115" s="63">
        <v>17</v>
      </c>
      <c r="E115" s="54"/>
      <c r="F115" s="54">
        <v>0.5</v>
      </c>
      <c r="G115" s="54">
        <v>0.5</v>
      </c>
      <c r="H115" s="54"/>
      <c r="I115" s="56">
        <f t="shared" ref="I115:I133" si="5">IF(A115&lt;&gt;0,(B115-(B114-D114))/(A115-A114),"")</f>
        <v>12.333333333333334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f>160+D116</f>
        <v>194</v>
      </c>
      <c r="C116" s="63">
        <v>3</v>
      </c>
      <c r="D116" s="63">
        <v>34</v>
      </c>
      <c r="E116" s="54"/>
      <c r="F116" s="54">
        <v>0.5</v>
      </c>
      <c r="G116" s="54">
        <v>0.5</v>
      </c>
      <c r="H116" s="54"/>
      <c r="I116" s="56">
        <f t="shared" si="5"/>
        <v>13.4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f>192+D117</f>
        <v>233</v>
      </c>
      <c r="C117" s="63">
        <v>4</v>
      </c>
      <c r="D117" s="63">
        <v>41</v>
      </c>
      <c r="E117" s="54"/>
      <c r="F117" s="54"/>
      <c r="G117" s="54"/>
      <c r="H117" s="54"/>
      <c r="I117" s="56">
        <f t="shared" si="5"/>
        <v>14.6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f>223+D118</f>
        <v>264</v>
      </c>
      <c r="C118" s="63">
        <v>5</v>
      </c>
      <c r="D118" s="63">
        <v>41</v>
      </c>
      <c r="E118" s="54"/>
      <c r="F118" s="54"/>
      <c r="G118" s="54"/>
      <c r="H118" s="54"/>
      <c r="I118" s="56">
        <f t="shared" si="5"/>
        <v>14.4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f>265+D119</f>
        <v>318</v>
      </c>
      <c r="C119" s="63">
        <v>6</v>
      </c>
      <c r="D119" s="63">
        <v>53</v>
      </c>
      <c r="E119" s="54"/>
      <c r="F119" s="54"/>
      <c r="G119" s="54"/>
      <c r="H119" s="54"/>
      <c r="I119" s="56">
        <f t="shared" si="5"/>
        <v>19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3">
        <f>299+D120</f>
        <v>352</v>
      </c>
      <c r="C120" s="63">
        <v>7</v>
      </c>
      <c r="D120" s="63">
        <v>53</v>
      </c>
      <c r="E120" s="54"/>
      <c r="F120" s="54"/>
      <c r="G120" s="54"/>
      <c r="H120" s="54"/>
      <c r="I120" s="56">
        <f t="shared" si="5"/>
        <v>17.399999999999999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58</v>
      </c>
      <c r="B121" s="63">
        <f>362+D121</f>
        <v>440</v>
      </c>
      <c r="C121" s="63">
        <v>8</v>
      </c>
      <c r="D121" s="63">
        <v>78</v>
      </c>
      <c r="E121" s="54"/>
      <c r="F121" s="54"/>
      <c r="G121" s="54"/>
      <c r="H121" s="54"/>
      <c r="I121" s="56">
        <f t="shared" si="5"/>
        <v>17.625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66</v>
      </c>
      <c r="B122" s="63">
        <f>430+D122</f>
        <v>495</v>
      </c>
      <c r="C122" s="63">
        <v>9</v>
      </c>
      <c r="D122" s="63">
        <v>65</v>
      </c>
      <c r="E122" s="93"/>
      <c r="F122" s="93"/>
      <c r="G122" s="93"/>
      <c r="H122" s="93"/>
      <c r="I122" s="56">
        <f t="shared" si="5"/>
        <v>16.625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74</v>
      </c>
      <c r="B123" s="63">
        <f>496+D123</f>
        <v>533</v>
      </c>
      <c r="C123" s="63">
        <v>10</v>
      </c>
      <c r="D123" s="63">
        <v>37</v>
      </c>
      <c r="E123" s="93"/>
      <c r="F123" s="54"/>
      <c r="G123" s="54"/>
      <c r="H123" s="93"/>
      <c r="I123" s="56">
        <f t="shared" si="5"/>
        <v>12.875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82</v>
      </c>
      <c r="B124" s="63">
        <f>541</f>
        <v>541</v>
      </c>
      <c r="C124" s="63">
        <v>11</v>
      </c>
      <c r="D124" s="63">
        <v>541</v>
      </c>
      <c r="E124" s="93"/>
      <c r="F124" s="93"/>
      <c r="G124" s="93"/>
      <c r="H124" s="93"/>
      <c r="I124" s="56">
        <f t="shared" si="5"/>
        <v>5.625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Mélèze d'Europe</v>
      </c>
      <c r="C136" s="25" t="s">
        <v>325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18</v>
      </c>
      <c r="B140" s="63">
        <v>112</v>
      </c>
      <c r="C140" s="63">
        <v>1</v>
      </c>
      <c r="D140" s="63">
        <v>20</v>
      </c>
      <c r="E140" s="54"/>
      <c r="F140" s="54"/>
      <c r="G140" s="54">
        <v>0.3</v>
      </c>
      <c r="H140" s="54">
        <v>0.7</v>
      </c>
      <c r="I140" s="60">
        <f>IFERROR(B140/A140,"")</f>
        <v>6.2222222222222223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21</v>
      </c>
      <c r="B141" s="63">
        <v>146</v>
      </c>
      <c r="C141" s="63">
        <v>2</v>
      </c>
      <c r="D141" s="63">
        <v>26</v>
      </c>
      <c r="E141" s="54"/>
      <c r="F141" s="54"/>
      <c r="G141" s="54">
        <v>0.4</v>
      </c>
      <c r="H141" s="54">
        <v>0.6</v>
      </c>
      <c r="I141" s="60">
        <f t="shared" ref="I141:I159" si="6">IF(A141&lt;&gt;0,(B141-(B140-D140))/(A141-A140),"")</f>
        <v>18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24</v>
      </c>
      <c r="B142" s="63">
        <v>168</v>
      </c>
      <c r="C142" s="63">
        <v>3</v>
      </c>
      <c r="D142" s="63">
        <v>29</v>
      </c>
      <c r="E142" s="54"/>
      <c r="F142" s="54">
        <v>0.1</v>
      </c>
      <c r="G142" s="54">
        <v>0.4</v>
      </c>
      <c r="H142" s="54">
        <v>0.5</v>
      </c>
      <c r="I142" s="60">
        <f t="shared" si="6"/>
        <v>16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v>224</v>
      </c>
      <c r="C143" s="63">
        <v>4</v>
      </c>
      <c r="D143" s="63">
        <v>53</v>
      </c>
      <c r="E143" s="54"/>
      <c r="F143" s="54">
        <v>0.3</v>
      </c>
      <c r="G143" s="54">
        <v>0.3</v>
      </c>
      <c r="H143" s="54">
        <v>0.4</v>
      </c>
      <c r="I143" s="60">
        <f t="shared" si="6"/>
        <v>14.166666666666666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36</v>
      </c>
      <c r="B144" s="63">
        <v>248</v>
      </c>
      <c r="C144" s="63">
        <v>5</v>
      </c>
      <c r="D144" s="63">
        <v>62</v>
      </c>
      <c r="E144" s="54"/>
      <c r="F144" s="54"/>
      <c r="G144" s="54"/>
      <c r="H144" s="54"/>
      <c r="I144" s="60">
        <f t="shared" si="6"/>
        <v>12.833333333333334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42</v>
      </c>
      <c r="B145" s="63">
        <v>255</v>
      </c>
      <c r="C145" s="63">
        <v>6</v>
      </c>
      <c r="D145" s="63">
        <v>67</v>
      </c>
      <c r="E145" s="54"/>
      <c r="F145" s="54"/>
      <c r="G145" s="54"/>
      <c r="H145" s="54"/>
      <c r="I145" s="60">
        <f t="shared" si="6"/>
        <v>11.5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48</v>
      </c>
      <c r="B146" s="63">
        <v>252</v>
      </c>
      <c r="C146" s="63">
        <v>7</v>
      </c>
      <c r="D146" s="63">
        <v>65</v>
      </c>
      <c r="E146" s="54"/>
      <c r="F146" s="54"/>
      <c r="G146" s="54"/>
      <c r="H146" s="54"/>
      <c r="I146" s="60">
        <f t="shared" si="6"/>
        <v>10.666666666666666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283">
        <v>60</v>
      </c>
      <c r="B147" s="63">
        <v>304</v>
      </c>
      <c r="C147" s="63">
        <v>8</v>
      </c>
      <c r="D147" s="63">
        <f>B147</f>
        <v>304</v>
      </c>
      <c r="E147" s="54"/>
      <c r="F147" s="54"/>
      <c r="G147" s="54"/>
      <c r="H147" s="54"/>
      <c r="I147" s="60">
        <f>IF(A147&lt;&gt;0,(B147-(B146-D146))/(A147-A146),"")</f>
        <v>9.75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3"/>
      <c r="B148" s="63"/>
      <c r="C148" s="63"/>
      <c r="D148" s="63"/>
      <c r="E148" s="93"/>
      <c r="F148" s="93"/>
      <c r="G148" s="93"/>
      <c r="H148" s="93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3"/>
      <c r="B149" s="63"/>
      <c r="C149" s="63"/>
      <c r="D149" s="63"/>
      <c r="E149" s="93"/>
      <c r="F149" s="54"/>
      <c r="G149" s="54"/>
      <c r="H149" s="93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63"/>
      <c r="B150" s="63"/>
      <c r="C150" s="63"/>
      <c r="D150" s="63"/>
      <c r="E150" s="93"/>
      <c r="F150" s="93"/>
      <c r="G150" s="93"/>
      <c r="H150" s="93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Pin sylvestre</v>
      </c>
      <c r="C162" s="25" t="s">
        <v>324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22</v>
      </c>
      <c r="B166" s="63">
        <f>84</f>
        <v>84</v>
      </c>
      <c r="C166" s="63"/>
      <c r="D166" s="63"/>
      <c r="E166" s="54"/>
      <c r="F166" s="54"/>
      <c r="G166" s="54"/>
      <c r="H166" s="54"/>
      <c r="I166" s="52">
        <f>IFERROR(B166/A166,"")</f>
        <v>3.8181818181818183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3">
        <f>110+D167</f>
        <v>131</v>
      </c>
      <c r="C167" s="63">
        <v>1</v>
      </c>
      <c r="D167" s="63">
        <v>21</v>
      </c>
      <c r="E167" s="54"/>
      <c r="F167" s="54">
        <v>0.5</v>
      </c>
      <c r="G167" s="54">
        <v>0.5</v>
      </c>
      <c r="H167" s="54"/>
      <c r="I167" s="52">
        <f t="shared" ref="I167:I185" si="7">IF(A167&lt;&gt;0,(B167-(B166-D166))/(A167-A166),"")</f>
        <v>15.666666666666666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3">
        <f>146+D168</f>
        <v>182</v>
      </c>
      <c r="C168" s="63">
        <v>2</v>
      </c>
      <c r="D168" s="63">
        <v>36</v>
      </c>
      <c r="E168" s="54"/>
      <c r="F168" s="54">
        <v>0.5</v>
      </c>
      <c r="G168" s="54">
        <v>0.5</v>
      </c>
      <c r="H168" s="54"/>
      <c r="I168" s="52">
        <f t="shared" si="7"/>
        <v>14.4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3">
        <f>180+D169</f>
        <v>229</v>
      </c>
      <c r="C169" s="63">
        <v>3</v>
      </c>
      <c r="D169" s="63">
        <v>49</v>
      </c>
      <c r="E169" s="54"/>
      <c r="F169" s="54">
        <v>0.5</v>
      </c>
      <c r="G169" s="54">
        <v>0.5</v>
      </c>
      <c r="H169" s="54"/>
      <c r="I169" s="52">
        <f t="shared" si="7"/>
        <v>16.600000000000001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3">
        <f>214+D170</f>
        <v>256</v>
      </c>
      <c r="C170" s="63">
        <v>4</v>
      </c>
      <c r="D170" s="63">
        <v>42</v>
      </c>
      <c r="E170" s="54"/>
      <c r="F170" s="54"/>
      <c r="G170" s="54"/>
      <c r="H170" s="54"/>
      <c r="I170" s="52">
        <f t="shared" si="7"/>
        <v>15.2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3">
        <f>245+D171</f>
        <v>283</v>
      </c>
      <c r="C171" s="63">
        <v>5</v>
      </c>
      <c r="D171" s="63">
        <v>38</v>
      </c>
      <c r="E171" s="54"/>
      <c r="F171" s="54"/>
      <c r="G171" s="54"/>
      <c r="H171" s="54"/>
      <c r="I171" s="52">
        <f t="shared" si="7"/>
        <v>13.8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3">
        <f>274+D172</f>
        <v>311</v>
      </c>
      <c r="C172" s="63">
        <v>6</v>
      </c>
      <c r="D172" s="63">
        <v>37</v>
      </c>
      <c r="E172" s="54"/>
      <c r="F172" s="54"/>
      <c r="G172" s="54"/>
      <c r="H172" s="54"/>
      <c r="I172" s="52">
        <f t="shared" si="7"/>
        <v>13.2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283">
        <v>58</v>
      </c>
      <c r="B173" s="63">
        <f>324+D173</f>
        <v>372</v>
      </c>
      <c r="C173" s="63">
        <v>7</v>
      </c>
      <c r="D173" s="63">
        <v>48</v>
      </c>
      <c r="E173" s="54"/>
      <c r="F173" s="54"/>
      <c r="G173" s="54"/>
      <c r="H173" s="54"/>
      <c r="I173" s="52">
        <f t="shared" si="7"/>
        <v>12.25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66</v>
      </c>
      <c r="B174" s="53">
        <f>365+D174</f>
        <v>415</v>
      </c>
      <c r="C174" s="53">
        <v>8</v>
      </c>
      <c r="D174" s="53">
        <v>50</v>
      </c>
      <c r="E174" s="54"/>
      <c r="F174" s="54"/>
      <c r="G174" s="54"/>
      <c r="H174" s="54"/>
      <c r="I174" s="52">
        <f t="shared" si="7"/>
        <v>11.375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74</v>
      </c>
      <c r="B175" s="53">
        <f>399+D175</f>
        <v>419</v>
      </c>
      <c r="C175" s="53">
        <v>9</v>
      </c>
      <c r="D175" s="53">
        <v>20</v>
      </c>
      <c r="E175" s="54"/>
      <c r="F175" s="54"/>
      <c r="G175" s="54"/>
      <c r="H175" s="54"/>
      <c r="I175" s="52">
        <f t="shared" si="7"/>
        <v>6.75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82</v>
      </c>
      <c r="B176" s="53">
        <f>427+17</f>
        <v>444</v>
      </c>
      <c r="C176" s="53">
        <v>10</v>
      </c>
      <c r="D176" s="53">
        <v>444</v>
      </c>
      <c r="E176" s="54"/>
      <c r="F176" s="54"/>
      <c r="G176" s="54"/>
      <c r="H176" s="54"/>
      <c r="I176" s="52">
        <f t="shared" si="7"/>
        <v>5.625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Robinier faux-acacia</v>
      </c>
      <c r="C188" s="25" t="s">
        <v>324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5</v>
      </c>
      <c r="B192" s="63">
        <f>34</f>
        <v>34</v>
      </c>
      <c r="C192" s="63"/>
      <c r="D192" s="63"/>
      <c r="E192" s="54"/>
      <c r="F192" s="54"/>
      <c r="G192" s="54"/>
      <c r="H192" s="54"/>
      <c r="I192" s="52">
        <f>IFERROR(B192/A192,"")</f>
        <v>6.8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10</v>
      </c>
      <c r="B193" s="63">
        <f>99+6</f>
        <v>105</v>
      </c>
      <c r="C193" s="63">
        <v>1</v>
      </c>
      <c r="D193" s="63">
        <f>6+28</f>
        <v>34</v>
      </c>
      <c r="E193" s="54"/>
      <c r="F193" s="54"/>
      <c r="G193" s="54"/>
      <c r="H193" s="54">
        <v>1</v>
      </c>
      <c r="I193" s="52">
        <f t="shared" ref="I193:I211" si="8">IF(A193&lt;&gt;0,(B193-(B192-D192))/(A193-A192),"")</f>
        <v>14.2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15</v>
      </c>
      <c r="B194" s="63">
        <v>140</v>
      </c>
      <c r="C194" s="63">
        <v>2</v>
      </c>
      <c r="D194" s="63">
        <v>23</v>
      </c>
      <c r="E194" s="54"/>
      <c r="F194" s="54"/>
      <c r="G194" s="54"/>
      <c r="H194" s="54">
        <v>1</v>
      </c>
      <c r="I194" s="52">
        <f t="shared" si="8"/>
        <v>13.8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20</v>
      </c>
      <c r="B195" s="63">
        <v>180</v>
      </c>
      <c r="C195" s="63">
        <v>3</v>
      </c>
      <c r="D195" s="63">
        <v>18</v>
      </c>
      <c r="E195" s="54"/>
      <c r="F195" s="54"/>
      <c r="G195" s="54"/>
      <c r="H195" s="54">
        <v>1</v>
      </c>
      <c r="I195" s="52">
        <f t="shared" si="8"/>
        <v>12.6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25</v>
      </c>
      <c r="B196" s="63">
        <v>214</v>
      </c>
      <c r="C196" s="63">
        <v>4</v>
      </c>
      <c r="D196" s="63">
        <v>14</v>
      </c>
      <c r="E196" s="54"/>
      <c r="F196" s="54"/>
      <c r="G196" s="54"/>
      <c r="H196" s="54">
        <v>1</v>
      </c>
      <c r="I196" s="52">
        <f t="shared" si="8"/>
        <v>10.4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30</v>
      </c>
      <c r="B197" s="63">
        <v>243</v>
      </c>
      <c r="C197" s="63">
        <v>5</v>
      </c>
      <c r="D197" s="63">
        <v>11</v>
      </c>
      <c r="E197" s="54"/>
      <c r="F197" s="54"/>
      <c r="G197" s="54"/>
      <c r="H197" s="54">
        <v>1</v>
      </c>
      <c r="I197" s="52">
        <f t="shared" si="8"/>
        <v>8.6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35</v>
      </c>
      <c r="B198" s="63">
        <v>267</v>
      </c>
      <c r="C198" s="63">
        <v>6</v>
      </c>
      <c r="D198" s="63">
        <v>9</v>
      </c>
      <c r="E198" s="54"/>
      <c r="F198" s="54"/>
      <c r="G198" s="54"/>
      <c r="H198" s="54"/>
      <c r="I198" s="52">
        <f t="shared" si="8"/>
        <v>7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40</v>
      </c>
      <c r="B199" s="53">
        <v>289</v>
      </c>
      <c r="C199" s="53">
        <v>7</v>
      </c>
      <c r="D199" s="53">
        <v>7</v>
      </c>
      <c r="E199" s="54"/>
      <c r="F199" s="54"/>
      <c r="G199" s="54"/>
      <c r="H199" s="54"/>
      <c r="I199" s="52">
        <f t="shared" si="8"/>
        <v>6.2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45</v>
      </c>
      <c r="B200" s="53">
        <v>312</v>
      </c>
      <c r="C200" s="53">
        <v>8</v>
      </c>
      <c r="D200" s="53">
        <v>312</v>
      </c>
      <c r="E200" s="54"/>
      <c r="F200" s="54"/>
      <c r="G200" s="54"/>
      <c r="H200" s="54"/>
      <c r="I200" s="52">
        <f t="shared" si="8"/>
        <v>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F17" sqref="F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pubescent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laricio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Mélèze d'Europe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Pin sylvestre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Robinier faux-acacia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302.20483575440988</v>
      </c>
      <c r="T3" s="62">
        <f>IF('Données projet'!E9&gt;30,$R$33-$H$33,LOOKUP('Données projet'!$E$9,$A$3:$A$203,R3:R203)-LOOKUP('Données projet'!$E$9,$A$3:$A$203,$H$3:$H$203))</f>
        <v>275.32862097158687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384.44848355636935</v>
      </c>
      <c r="AO3" s="62">
        <f>IF('Données projet'!E10&gt;30,$AM$33-$H$33,LOOKUP('Données projet'!$E$10,$A$3:$A$203,AM3:AM203)-LOOKUP('Données projet'!$E$10,$A$3:$A$203,$H$3:$H$203))</f>
        <v>203.5274665601915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440.60698566758532</v>
      </c>
      <c r="BJ3" s="62">
        <f>IF('Données projet'!E11&gt;30,$BH$33-$H$33,LOOKUP('Données projet'!$E$11,$A$3:$A$203,BH3:BH203)-LOOKUP('Données projet'!$E$11,$A$3:$A$203,$H$3:$H$203))</f>
        <v>231.92898690465887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287.29865338866551</v>
      </c>
      <c r="CE3" s="62">
        <f>IF('Données projet'!E12&gt;30,$CC$33-$H$33,LOOKUP('Données projet'!$E$12,$A$3:$A$203,CC3:CC203)-LOOKUP('Données projet'!$E$12,$A$3:$A$203,$H$3:$H$203))</f>
        <v>217.57508587672368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175.05987582828078</v>
      </c>
      <c r="CZ3" s="62">
        <f>IF('Données projet'!E13&gt;30,$CX$33-$H$33,LOOKUP('Données projet'!$E$13,$A$3:$A$203,CX3:CX203)-LOOKUP('Données projet'!$E$13,$A$3:$A$203,$H$3:$H$203))</f>
        <v>268.54782308462387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228.06050741667258</v>
      </c>
      <c r="DU3" s="62">
        <f>IF('Données projet'!E14&gt;30,$DS$33-$H$33,LOOKUP('Données projet'!$E$14,$A$3:$A$203,DS3:DS203)-LOOKUP('Données projet'!$E$14,$A$3:$A$203,$H$3:$H$203))</f>
        <v>191.94885821983536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293.33333333333331</v>
      </c>
      <c r="EO3" s="62">
        <f ca="1">AVERAGE(OFFSET($EN$3,0,0,'Données projet'!$E$15+1,1))-AVERAGE(OFFSET($H$3,0,0,'Données projet'!$E$15+1,1))</f>
        <v>315.23521260143986</v>
      </c>
      <c r="EP3" s="62">
        <f>IF('Données projet'!E15&gt;30,$EN$33-$H$33,LOOKUP('Données projet'!$E$15,$A$3:$A$203,EN3:EN203)-LOOKUP('Données projet'!$E$15,$A$3:$A$203,$H$3:$H$203))</f>
        <v>439.11021845472641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</v>
      </c>
      <c r="N4" s="14">
        <f>IF('Données projet'!$A$36&gt;35,N3+M4-V3,IF(A4&lt;'Données projet'!$A$36,$K$205^A4,IF(A4='Données projet'!$A$36,'Données projet'!$B$36,N3+M4-V3)))</f>
        <v>1.289976715395158</v>
      </c>
      <c r="O4" s="14">
        <f>N4*VLOOKUP('Données projet'!$B$9,Paramètres!$A$1:$I$89,3,0)*VLOOKUP('Données projet'!$B$9,Paramètres!$A$1:$I$89,5,0)</f>
        <v>0.72109698390589339</v>
      </c>
      <c r="P4" s="14">
        <f>EXP(-1.0587+0.8836*LN(O4)+0.284)</f>
        <v>0.34520357101002697</v>
      </c>
      <c r="Q4" s="22">
        <f t="shared" ref="Q4:Q34" si="2">(O4+P4)*0.475*44/12</f>
        <v>1.8571401331452277</v>
      </c>
      <c r="R4" s="62">
        <f t="shared" si="0"/>
        <v>295.19047346647852</v>
      </c>
      <c r="S4" s="62">
        <f ca="1">AVERAGE(OFFSET($R$3,0,0,'Données projet'!$E$9+1,1))-AVERAGE(OFFSET($H$3,0,0,'Données projet'!$E$9+1,1))</f>
        <v>302.20483575440988</v>
      </c>
      <c r="T4" s="62">
        <f>$T$3</f>
        <v>275.32862097158687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1.1212920291467359</v>
      </c>
      <c r="AK4" s="14">
        <f>EXP(-1.0587+0.8836*LN(AJ4)+0.284)</f>
        <v>0.50989827066551541</v>
      </c>
      <c r="AL4" s="22">
        <f t="shared" ref="AL4:AL67" si="4">(AJ4+AK4)*0.475*44/12</f>
        <v>2.8409897721730037</v>
      </c>
      <c r="AM4" s="62">
        <f t="shared" ref="AM4:AM67" si="5">AL4+(AD4+AE4)*44/12</f>
        <v>296.17432310550635</v>
      </c>
      <c r="AN4" s="62">
        <f ca="1">AVERAGE(OFFSET($AM$3,0,0,'Données projet'!$E$10+1,1))-AVERAGE(OFFSET($H$3,0,0,'Données projet'!$E$10+1,1))</f>
        <v>384.44848355636935</v>
      </c>
      <c r="AO4" s="62">
        <f>$AO$3</f>
        <v>203.5274665601915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1.2566203774920315</v>
      </c>
      <c r="BF4" s="14">
        <f>EXP(-1.0587+0.8836*LN(BE4)+0.284)</f>
        <v>0.56390871417545174</v>
      </c>
      <c r="BG4" s="22">
        <f t="shared" ref="BG4:BG67" si="7">(BE4+BF4)*0.475*44/12</f>
        <v>3.1707548346542</v>
      </c>
      <c r="BH4" s="62">
        <f t="shared" ref="BH4:BH67" si="8">BG4+(AY4+AZ4)*44/12</f>
        <v>296.5040881679875</v>
      </c>
      <c r="BI4" s="62">
        <f ca="1">AVERAGE(OFFSET($BH$3,0,0,'Données projet'!$E$11+1,1))-AVERAGE(OFFSET($H$3,0,0,'Données projet'!$E$11+1,1))</f>
        <v>440.60698566758532</v>
      </c>
      <c r="BJ4" s="62">
        <f>$BJ$3</f>
        <v>231.92898690465887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5.5909090909090908</v>
      </c>
      <c r="BY4" s="13">
        <f>IF('Données projet'!$A$114&gt;35,BY3+BX4-CG3,IF(A4&lt;'Données projet'!$A$114,$BV$205^A4,IF(A4='Données projet'!$A$114,'Données projet'!$B$114,BY3+BX4-CG3)))</f>
        <v>1.244502252163008</v>
      </c>
      <c r="BZ4" s="14">
        <f>BY4*VLOOKUP('Données projet'!$B$12,Paramètres!$A$1:$I$89,3,0)*VLOOKUP('Données projet'!$B$12,Paramètres!$A$1:$I$89,5,0)</f>
        <v>0.74421234679347892</v>
      </c>
      <c r="CA4" s="14">
        <f>EXP(-1.0587+0.8836*LN(BZ4)+0.284)</f>
        <v>0.3549632728022305</v>
      </c>
      <c r="CB4" s="22">
        <f t="shared" ref="CB4:CB67" si="10">(BZ4+CA4)*0.475*44/12</f>
        <v>1.9143975374625271</v>
      </c>
      <c r="CC4" s="62">
        <f t="shared" ref="CC4:CC67" si="11">CB4+(BT4+BU4)*44/12</f>
        <v>295.24773087079586</v>
      </c>
      <c r="CD4" s="62">
        <f ca="1">AVERAGE(OFFSET($CC$3,0,0,'Données projet'!$E$12+1,1))-AVERAGE(OFFSET($H$3,0,0,'Données projet'!$E$12+1,1))</f>
        <v>287.29865338866551</v>
      </c>
      <c r="CE4" s="62">
        <f>$CE$3</f>
        <v>217.57508587672368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6.2222222222222223</v>
      </c>
      <c r="CT4" s="13">
        <f>IF('Données projet'!$A$140&gt;35,CT3+CS4-DB3,IF(A4&lt;'Données projet'!$A$140,$CQ$205^A4,IF(A4='Données projet'!$A$140,'Données projet'!$B$140,CT3+CS4-DB3)))</f>
        <v>1.2997069632623315</v>
      </c>
      <c r="CU4" s="18">
        <f>CT4*VLOOKUP('Données projet'!$B$13,Paramètres!$A$1:$I$89,3,0)*VLOOKUP('Données projet'!$B$13,Paramètres!$A$1:$I$89,5,0)</f>
        <v>0.81101714507569489</v>
      </c>
      <c r="CV4" s="14">
        <f>EXP(-1.0587+0.8836*LN(CU4)+0.284)</f>
        <v>0.38297551084354686</v>
      </c>
      <c r="CW4" s="22">
        <f t="shared" ref="CW4:CW67" si="13">(CU4+CV4)*0.475*44/12</f>
        <v>2.0795372090593456</v>
      </c>
      <c r="CX4" s="62">
        <f t="shared" ref="CX4:CX67" si="14">CW4+(CO4+CP4)*44/12</f>
        <v>295.41287054239268</v>
      </c>
      <c r="CY4" s="62">
        <f ca="1">AVERAGE(OFFSET($CX$3,0,0,'Données projet'!$E$13+1,1))-AVERAGE(OFFSET($H$3,0,0,'Données projet'!$E$13+1,1))</f>
        <v>175.05987582828078</v>
      </c>
      <c r="CZ4" s="62">
        <f>$CZ$3</f>
        <v>268.54782308462387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3.8181818181818183</v>
      </c>
      <c r="DO4" s="13">
        <f>IF('Données projet'!$A$166&gt;35,DO3+DN4-DW3,IF(A4&lt;'Données projet'!$A$166,$DL$205^A4,IF(A4='Données projet'!$A$166,'Données projet'!$B$166,DO3+DN4-DW3)))</f>
        <v>1.2231148535053959</v>
      </c>
      <c r="DP4" s="18">
        <f>DO4*VLOOKUP('Données projet'!$B$14,Paramètres!$A$1:$I$89,3,0)*VLOOKUP('Données projet'!$B$14,Paramètres!$A$1:$I$89,5,0)</f>
        <v>0.69962169620508652</v>
      </c>
      <c r="DQ4" s="14">
        <f>EXP(-1.0587+0.8836*LN(DP4)+0.284)</f>
        <v>0.33610366593941898</v>
      </c>
      <c r="DR4" s="22">
        <f t="shared" ref="DR4:DR67" si="16">(DP4+DQ4)*0.475*44/12</f>
        <v>1.8038883390683471</v>
      </c>
      <c r="DS4" s="62">
        <f t="shared" ref="DS4:DS67" si="17">DR4+(DJ4+DK4)*44/12</f>
        <v>295.13722167240167</v>
      </c>
      <c r="DT4" s="62">
        <f ca="1">AVERAGE(OFFSET($DS$3,0,0,'Données projet'!$E$14+1,1))-AVERAGE(OFFSET($H$3,0,0,'Données projet'!$E$14+1,1))</f>
        <v>228.06050741667258</v>
      </c>
      <c r="DU4" s="62">
        <f>$DU$3</f>
        <v>191.94885821983536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6.8</v>
      </c>
      <c r="EJ4" s="13">
        <f>IF('Données projet'!$A$192&gt;35,EJ3+EI4-ER3,IF(A4&lt;'Données projet'!$A$192,$EG$205^A4,IF(A4='Données projet'!$A$192,'Données projet'!$B$192,EJ3+EI4-ER3)))</f>
        <v>2.0243974584998852</v>
      </c>
      <c r="EK4" s="18">
        <f>EJ4*VLOOKUP('Données projet'!$B$15,Paramètres!$A$1:$I$89,3,0)*VLOOKUP('Données projet'!$B$15,Paramètres!$A$1:$I$89,5,0)</f>
        <v>1.8316748204506961</v>
      </c>
      <c r="EL4" s="14">
        <f>EXP(-1.0587+0.8836*LN(EK4)+0.284)</f>
        <v>0.78669228172688432</v>
      </c>
      <c r="EM4" s="22">
        <f t="shared" ref="EM4:EM67" si="19">(EK4+EL4)*0.475*44/12</f>
        <v>4.5603227029592857</v>
      </c>
      <c r="EN4" s="62">
        <f t="shared" ref="EN4:EN67" si="20">EM4+(EE4+EF4)*44/12</f>
        <v>297.89365603629261</v>
      </c>
      <c r="EO4" s="62">
        <f ca="1">AVERAGE(OFFSET($EN$3,0,0,'Données projet'!$E$15+1,1))-AVERAGE(OFFSET($H$3,0,0,'Données projet'!$E$15+1,1))</f>
        <v>315.23521260143986</v>
      </c>
      <c r="EP4" s="62">
        <f>$EP$3</f>
        <v>439.11021845472641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</v>
      </c>
      <c r="N5" s="14">
        <f>IF('Données projet'!$A$36&gt;35,N4+M5-V4,IF(A5&lt;'Données projet'!$A$36,$K$205^A5,IF(A5='Données projet'!$A$36,'Données projet'!$B$36,N4+M5-V4)))</f>
        <v>1.6640399262616805</v>
      </c>
      <c r="O5" s="14">
        <f>N5*VLOOKUP('Données projet'!$B$9,Paramètres!$A$1:$I$89,3,0)*VLOOKUP('Données projet'!$B$9,Paramètres!$A$1:$I$89,5,0)</f>
        <v>0.93019831878027937</v>
      </c>
      <c r="P5" s="14">
        <f t="shared" ref="P5:P68" si="33">EXP(-1.0587+0.8836*LN(O5)+0.284)</f>
        <v>0.43230018467776149</v>
      </c>
      <c r="Q5" s="22">
        <f t="shared" si="2"/>
        <v>2.3730182268560873</v>
      </c>
      <c r="R5" s="62">
        <f t="shared" si="0"/>
        <v>295.70635156018938</v>
      </c>
      <c r="S5" s="62">
        <f ca="1">AVERAGE(OFFSET($R$3,0,0,'Données projet'!$E$9+1,1))-AVERAGE(OFFSET($H$3,0,0,'Données projet'!$E$9+1,1))</f>
        <v>302.20483575440988</v>
      </c>
      <c r="T5" s="62">
        <f t="shared" ref="T5:T68" si="34">$T$3</f>
        <v>275.32862097158687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1.3895842336737447</v>
      </c>
      <c r="AK5" s="14">
        <f t="shared" ref="AK5:AK68" si="35">EXP(-1.0587+0.8836*LN(AJ5)+0.284)</f>
        <v>0.61631841327304715</v>
      </c>
      <c r="AL5" s="22">
        <f t="shared" si="4"/>
        <v>3.4936137767656628</v>
      </c>
      <c r="AM5" s="62">
        <f t="shared" si="5"/>
        <v>296.82694711009896</v>
      </c>
      <c r="AN5" s="62">
        <f ca="1">AVERAGE(OFFSET($AM$3,0,0,'Données projet'!$E$10+1,1))-AVERAGE(OFFSET($H$3,0,0,'Données projet'!$E$10+1,1))</f>
        <v>384.44848355636935</v>
      </c>
      <c r="AO5" s="62">
        <f t="shared" ref="AO5:AO68" si="36">$AO$3</f>
        <v>203.5274665601915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1.5572926756688519</v>
      </c>
      <c r="BF5" s="14">
        <f t="shared" ref="BF5:BF68" si="37">EXP(-1.0587+0.8836*LN(BE5)+0.284)</f>
        <v>0.68160129960402205</v>
      </c>
      <c r="BG5" s="22">
        <f t="shared" si="7"/>
        <v>3.8994070069335893</v>
      </c>
      <c r="BH5" s="62">
        <f t="shared" si="8"/>
        <v>297.2327403402669</v>
      </c>
      <c r="BI5" s="62">
        <f ca="1">AVERAGE(OFFSET($BH$3,0,0,'Données projet'!$E$11+1,1))-AVERAGE(OFFSET($H$3,0,0,'Données projet'!$E$11+1,1))</f>
        <v>440.60698566758532</v>
      </c>
      <c r="BJ5" s="62">
        <f t="shared" ref="BJ5:BJ68" si="38">$BJ$3</f>
        <v>231.92898690465887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5.5909090909090908</v>
      </c>
      <c r="BY5" s="13">
        <f>IF('Données projet'!$A$114&gt;35,BY4+BX5-CG4,IF(A5&lt;'Données projet'!$A$114,$BV$205^A5,IF(A5='Données projet'!$A$114,'Données projet'!$B$114,BY4+BX5-CG4)))</f>
        <v>1.5487858556387992</v>
      </c>
      <c r="BZ5" s="14">
        <f>BY5*VLOOKUP('Données projet'!$B$12,Paramètres!$A$1:$I$89,3,0)*VLOOKUP('Données projet'!$B$12,Paramètres!$A$1:$I$89,5,0)</f>
        <v>0.92617394167200195</v>
      </c>
      <c r="CA5" s="14">
        <f t="shared" ref="CA5:CA68" si="39">EXP(-1.0587+0.8836*LN(BZ5)+0.284)</f>
        <v>0.43064718121421069</v>
      </c>
      <c r="CB5" s="22">
        <f t="shared" si="10"/>
        <v>2.3631301223601535</v>
      </c>
      <c r="CC5" s="62">
        <f t="shared" si="11"/>
        <v>295.69646345569345</v>
      </c>
      <c r="CD5" s="62">
        <f ca="1">AVERAGE(OFFSET($CC$3,0,0,'Données projet'!$E$12+1,1))-AVERAGE(OFFSET($H$3,0,0,'Données projet'!$E$12+1,1))</f>
        <v>287.29865338866551</v>
      </c>
      <c r="CE5" s="62">
        <f t="shared" ref="CE5:CE68" si="40">$CE$3</f>
        <v>217.57508587672368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6.2222222222222223</v>
      </c>
      <c r="CT5" s="13">
        <f>IF('Données projet'!$A$140&gt;35,CT4+CS5-DB4,IF(A5&lt;'Données projet'!$A$140,$CQ$205^A5,IF(A5='Données projet'!$A$140,'Données projet'!$B$140,CT4+CS5-DB4)))</f>
        <v>1.6892381903525915</v>
      </c>
      <c r="CU5" s="18">
        <f>CT5*VLOOKUP('Données projet'!$B$13,Paramètres!$A$1:$I$89,3,0)*VLOOKUP('Données projet'!$B$13,Paramètres!$A$1:$I$89,5,0)</f>
        <v>1.0540846307800171</v>
      </c>
      <c r="CV5" s="14">
        <f t="shared" ref="CV5:CV68" si="41">EXP(-1.0587+0.8836*LN(CU5)+0.284)</f>
        <v>0.48279730809434274</v>
      </c>
      <c r="CW5" s="22">
        <f t="shared" si="13"/>
        <v>2.6767360435395098</v>
      </c>
      <c r="CX5" s="62">
        <f t="shared" si="14"/>
        <v>296.01006937687282</v>
      </c>
      <c r="CY5" s="62">
        <f ca="1">AVERAGE(OFFSET($CX$3,0,0,'Données projet'!$E$13+1,1))-AVERAGE(OFFSET($H$3,0,0,'Données projet'!$E$13+1,1))</f>
        <v>175.05987582828078</v>
      </c>
      <c r="CZ5" s="62">
        <f t="shared" ref="CZ5:CZ68" si="42">$CZ$3</f>
        <v>268.54782308462387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3.8181818181818183</v>
      </c>
      <c r="DO5" s="13">
        <f>IF('Données projet'!$A$166&gt;35,DO4+DN5-DW4,IF(A5&lt;'Données projet'!$A$166,$DL$205^A5,IF(A5='Données projet'!$A$166,'Données projet'!$B$166,DO4+DN5-DW4)))</f>
        <v>1.4960099448655262</v>
      </c>
      <c r="DP5" s="18">
        <f>DO5*VLOOKUP('Données projet'!$B$14,Paramètres!$A$1:$I$89,3,0)*VLOOKUP('Données projet'!$B$14,Paramètres!$A$1:$I$89,5,0)</f>
        <v>0.85571768846308094</v>
      </c>
      <c r="DQ5" s="14">
        <f t="shared" ref="DQ5:DQ68" si="43">EXP(-1.0587+0.8836*LN(DP5)+0.284)</f>
        <v>0.40156818983492421</v>
      </c>
      <c r="DR5" s="22">
        <f t="shared" si="16"/>
        <v>2.1897729047023593</v>
      </c>
      <c r="DS5" s="62">
        <f t="shared" si="17"/>
        <v>295.52310623803567</v>
      </c>
      <c r="DT5" s="62">
        <f ca="1">AVERAGE(OFFSET($DS$3,0,0,'Données projet'!$E$14+1,1))-AVERAGE(OFFSET($H$3,0,0,'Données projet'!$E$14+1,1))</f>
        <v>228.06050741667258</v>
      </c>
      <c r="DU5" s="62">
        <f t="shared" ref="DU5:DU68" si="44">$DU$3</f>
        <v>191.94885821983536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6.8</v>
      </c>
      <c r="EJ5" s="13">
        <f>IF('Données projet'!$A$192&gt;35,EJ4+EI5-ER4,IF(A5&lt;'Données projet'!$A$192,$EG$205^A5,IF(A5='Données projet'!$A$192,'Données projet'!$B$192,EJ4+EI5-ER4)))</f>
        <v>4.0981850699807945</v>
      </c>
      <c r="EK5" s="18">
        <f>EJ5*VLOOKUP('Données projet'!$B$15,Paramètres!$A$1:$I$89,3,0)*VLOOKUP('Données projet'!$B$15,Paramètres!$A$1:$I$89,5,0)</f>
        <v>3.7080378513186227</v>
      </c>
      <c r="EL5" s="14">
        <f t="shared" ref="EL5:EL68" si="45">EXP(-1.0587+0.8836*LN(EK5)+0.284)</f>
        <v>1.4670598901857457</v>
      </c>
      <c r="EM5" s="22">
        <f t="shared" si="19"/>
        <v>9.0132952331201093</v>
      </c>
      <c r="EN5" s="62">
        <f t="shared" si="20"/>
        <v>302.34662856645343</v>
      </c>
      <c r="EO5" s="62">
        <f ca="1">AVERAGE(OFFSET($EN$3,0,0,'Données projet'!$E$15+1,1))-AVERAGE(OFFSET($H$3,0,0,'Données projet'!$E$15+1,1))</f>
        <v>315.23521260143986</v>
      </c>
      <c r="EP5" s="62">
        <f t="shared" ref="EP5:EP68" si="46">$EP$3</f>
        <v>439.11021845472641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</v>
      </c>
      <c r="N6" s="14">
        <f>IF('Données projet'!$A$36&gt;35,N5+M6-V5,IF(A6&lt;'Données projet'!$A$36,$K$205^A6,IF(A6='Données projet'!$A$36,'Données projet'!$B$36,N5+M6-V5)))</f>
        <v>2.1465727583654437</v>
      </c>
      <c r="O6" s="14">
        <f>N6*VLOOKUP('Données projet'!$B$9,Paramètres!$A$1:$I$89,3,0)*VLOOKUP('Données projet'!$B$9,Paramètres!$A$1:$I$89,5,0)</f>
        <v>1.199934171926283</v>
      </c>
      <c r="P6" s="14">
        <f t="shared" si="33"/>
        <v>0.54137171618945512</v>
      </c>
      <c r="Q6" s="22">
        <f t="shared" si="2"/>
        <v>3.0327744218015771</v>
      </c>
      <c r="R6" s="62">
        <f t="shared" si="0"/>
        <v>296.36610775513492</v>
      </c>
      <c r="S6" s="62">
        <f ca="1">AVERAGE(OFFSET($R$3,0,0,'Données projet'!$E$9+1,1))-AVERAGE(OFFSET($H$3,0,0,'Données projet'!$E$9+1,1))</f>
        <v>302.20483575440988</v>
      </c>
      <c r="T6" s="62">
        <f t="shared" si="34"/>
        <v>275.32862097158687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1.7220708720671365</v>
      </c>
      <c r="AK6" s="14">
        <f t="shared" si="35"/>
        <v>0.74494935243383209</v>
      </c>
      <c r="AL6" s="22">
        <f t="shared" si="4"/>
        <v>4.2967268910058536</v>
      </c>
      <c r="AM6" s="62">
        <f t="shared" si="5"/>
        <v>297.63006022433916</v>
      </c>
      <c r="AN6" s="62">
        <f ca="1">AVERAGE(OFFSET($AM$3,0,0,'Données projet'!$E$10+1,1))-AVERAGE(OFFSET($H$3,0,0,'Données projet'!$E$10+1,1))</f>
        <v>384.44848355636935</v>
      </c>
      <c r="AO6" s="62">
        <f t="shared" si="36"/>
        <v>203.5274665601915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1.9299070117993768</v>
      </c>
      <c r="BF6" s="14">
        <f t="shared" si="37"/>
        <v>0.82385733708903885</v>
      </c>
      <c r="BG6" s="22">
        <f t="shared" si="7"/>
        <v>4.7961395743139903</v>
      </c>
      <c r="BH6" s="62">
        <f t="shared" si="8"/>
        <v>298.12947290764731</v>
      </c>
      <c r="BI6" s="62">
        <f ca="1">AVERAGE(OFFSET($BH$3,0,0,'Données projet'!$E$11+1,1))-AVERAGE(OFFSET($H$3,0,0,'Données projet'!$E$11+1,1))</f>
        <v>440.60698566758532</v>
      </c>
      <c r="BJ6" s="62">
        <f t="shared" si="38"/>
        <v>231.92898690465887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5.5909090909090908</v>
      </c>
      <c r="BY6" s="13">
        <f>IF('Données projet'!$A$114&gt;35,BY5+BX6-CG5,IF(A6&lt;'Données projet'!$A$114,$BV$205^A6,IF(A6='Données projet'!$A$114,'Données projet'!$B$114,BY5+BX6-CG5)))</f>
        <v>1.927467485460697</v>
      </c>
      <c r="BZ6" s="14">
        <f>BY6*VLOOKUP('Données projet'!$B$12,Paramètres!$A$1:$I$89,3,0)*VLOOKUP('Données projet'!$B$12,Paramètres!$A$1:$I$89,5,0)</f>
        <v>1.152625556305497</v>
      </c>
      <c r="CA6" s="14">
        <f t="shared" si="39"/>
        <v>0.52246812247269758</v>
      </c>
      <c r="CB6" s="22">
        <f t="shared" si="10"/>
        <v>2.9174548238720219</v>
      </c>
      <c r="CC6" s="62">
        <f t="shared" si="11"/>
        <v>296.25078815720536</v>
      </c>
      <c r="CD6" s="62">
        <f ca="1">AVERAGE(OFFSET($CC$3,0,0,'Données projet'!$E$12+1,1))-AVERAGE(OFFSET($H$3,0,0,'Données projet'!$E$12+1,1))</f>
        <v>287.29865338866551</v>
      </c>
      <c r="CE6" s="62">
        <f t="shared" si="40"/>
        <v>217.57508587672368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6.2222222222222223</v>
      </c>
      <c r="CT6" s="13">
        <f>IF('Données projet'!$A$140&gt;35,CT5+CS6-DB5,IF(A6&lt;'Données projet'!$A$140,$CQ$205^A6,IF(A6='Données projet'!$A$140,'Données projet'!$B$140,CT5+CS6-DB5)))</f>
        <v>2.1955146386099229</v>
      </c>
      <c r="CU6" s="18">
        <f>CT6*VLOOKUP('Données projet'!$B$13,Paramètres!$A$1:$I$89,3,0)*VLOOKUP('Données projet'!$B$13,Paramètres!$A$1:$I$89,5,0)</f>
        <v>1.3700011344925918</v>
      </c>
      <c r="CV6" s="14">
        <f t="shared" si="41"/>
        <v>0.60863745619068288</v>
      </c>
      <c r="CW6" s="22">
        <f t="shared" si="13"/>
        <v>3.4461288787733699</v>
      </c>
      <c r="CX6" s="62">
        <f t="shared" si="14"/>
        <v>296.77946221210669</v>
      </c>
      <c r="CY6" s="62">
        <f ca="1">AVERAGE(OFFSET($CX$3,0,0,'Données projet'!$E$13+1,1))-AVERAGE(OFFSET($H$3,0,0,'Données projet'!$E$13+1,1))</f>
        <v>175.05987582828078</v>
      </c>
      <c r="CZ6" s="62">
        <f t="shared" si="42"/>
        <v>268.54782308462387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3.8181818181818183</v>
      </c>
      <c r="DO6" s="13">
        <f>IF('Données projet'!$A$166&gt;35,DO5+DN6-DW5,IF(A6&lt;'Données projet'!$A$166,$DL$205^A6,IF(A6='Données projet'!$A$166,'Données projet'!$B$166,DO5+DN6-DW5)))</f>
        <v>1.8297919845568136</v>
      </c>
      <c r="DP6" s="18">
        <f>DO6*VLOOKUP('Données projet'!$B$14,Paramètres!$A$1:$I$89,3,0)*VLOOKUP('Données projet'!$B$14,Paramètres!$A$1:$I$89,5,0)</f>
        <v>1.0466410151664975</v>
      </c>
      <c r="DQ6" s="14">
        <f t="shared" si="43"/>
        <v>0.47978355319802907</v>
      </c>
      <c r="DR6" s="22">
        <f t="shared" si="16"/>
        <v>2.6585227899015504</v>
      </c>
      <c r="DS6" s="62">
        <f t="shared" si="17"/>
        <v>295.99185612323487</v>
      </c>
      <c r="DT6" s="62">
        <f ca="1">AVERAGE(OFFSET($DS$3,0,0,'Données projet'!$E$14+1,1))-AVERAGE(OFFSET($H$3,0,0,'Données projet'!$E$14+1,1))</f>
        <v>228.06050741667258</v>
      </c>
      <c r="DU6" s="62">
        <f t="shared" si="44"/>
        <v>191.94885821983536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6.8</v>
      </c>
      <c r="EJ6" s="13">
        <f>IF('Données projet'!$A$192&gt;35,EJ5+EI6-ER5,IF(A6&lt;'Données projet'!$A$192,$EG$205^A6,IF(A6='Données projet'!$A$192,'Données projet'!$B$192,EJ5+EI6-ER5)))</f>
        <v>8.2963554401312951</v>
      </c>
      <c r="EK6" s="18">
        <f>EJ6*VLOOKUP('Données projet'!$B$15,Paramètres!$A$1:$I$89,3,0)*VLOOKUP('Données projet'!$B$15,Paramètres!$A$1:$I$89,5,0)</f>
        <v>7.5065424022307949</v>
      </c>
      <c r="EL6" s="14">
        <f t="shared" si="45"/>
        <v>2.7358406474604431</v>
      </c>
      <c r="EM6" s="22">
        <f t="shared" si="19"/>
        <v>17.838817144878906</v>
      </c>
      <c r="EN6" s="62">
        <f t="shared" si="20"/>
        <v>311.17215047821225</v>
      </c>
      <c r="EO6" s="62">
        <f ca="1">AVERAGE(OFFSET($EN$3,0,0,'Données projet'!$E$15+1,1))-AVERAGE(OFFSET($H$3,0,0,'Données projet'!$E$15+1,1))</f>
        <v>315.23521260143986</v>
      </c>
      <c r="EP6" s="62">
        <f t="shared" si="46"/>
        <v>439.11021845472641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</v>
      </c>
      <c r="N7" s="14">
        <f>IF('Données projet'!$A$36&gt;35,N6+M7-V6,IF(A7&lt;'Données projet'!$A$36,$K$205^A7,IF(A7='Données projet'!$A$36,'Données projet'!$B$36,N6+M7-V6)))</f>
        <v>2.7690288761929791</v>
      </c>
      <c r="O7" s="14">
        <f>N7*VLOOKUP('Données projet'!$B$9,Paramètres!$A$1:$I$89,3,0)*VLOOKUP('Données projet'!$B$9,Paramètres!$A$1:$I$89,5,0)</f>
        <v>1.5478871417918754</v>
      </c>
      <c r="P7" s="14">
        <f t="shared" si="33"/>
        <v>0.67796254889037699</v>
      </c>
      <c r="Q7" s="22">
        <f t="shared" si="2"/>
        <v>3.8766882112715897</v>
      </c>
      <c r="R7" s="62">
        <f t="shared" si="0"/>
        <v>297.2100215446049</v>
      </c>
      <c r="S7" s="62">
        <f ca="1">AVERAGE(OFFSET($R$3,0,0,'Données projet'!$E$9+1,1))-AVERAGE(OFFSET($H$3,0,0,'Données projet'!$E$9+1,1))</f>
        <v>302.20483575440988</v>
      </c>
      <c r="T7" s="62">
        <f t="shared" si="34"/>
        <v>275.32862097158687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2.1341117843442179</v>
      </c>
      <c r="AK7" s="14">
        <f t="shared" si="35"/>
        <v>0.90042667189585779</v>
      </c>
      <c r="AL7" s="22">
        <f t="shared" si="4"/>
        <v>5.2851544779514645</v>
      </c>
      <c r="AM7" s="62">
        <f t="shared" si="5"/>
        <v>298.61848781128475</v>
      </c>
      <c r="AN7" s="62">
        <f ca="1">AVERAGE(OFFSET($AM$3,0,0,'Données projet'!$E$10+1,1))-AVERAGE(OFFSET($H$3,0,0,'Données projet'!$E$10+1,1))</f>
        <v>384.44848355636935</v>
      </c>
      <c r="AO7" s="62">
        <f t="shared" si="36"/>
        <v>203.5274665601915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2.3916769996961063</v>
      </c>
      <c r="BF7" s="14">
        <f t="shared" si="37"/>
        <v>0.9958034297612971</v>
      </c>
      <c r="BG7" s="22">
        <f t="shared" si="7"/>
        <v>5.8998617479716442</v>
      </c>
      <c r="BH7" s="62">
        <f t="shared" si="8"/>
        <v>299.23319508130498</v>
      </c>
      <c r="BI7" s="62">
        <f ca="1">AVERAGE(OFFSET($BH$3,0,0,'Données projet'!$E$11+1,1))-AVERAGE(OFFSET($H$3,0,0,'Données projet'!$E$11+1,1))</f>
        <v>440.60698566758532</v>
      </c>
      <c r="BJ7" s="62">
        <f t="shared" si="38"/>
        <v>231.92898690465887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5.5909090909090908</v>
      </c>
      <c r="BY7" s="13">
        <f>IF('Données projet'!$A$114&gt;35,BY6+BX7-CG6,IF(A7&lt;'Données projet'!$A$114,$BV$205^A7,IF(A7='Données projet'!$A$114,'Données projet'!$B$114,BY6+BX7-CG6)))</f>
        <v>2.3987376266268075</v>
      </c>
      <c r="BZ7" s="14">
        <f>BY7*VLOOKUP('Données projet'!$B$12,Paramètres!$A$1:$I$89,3,0)*VLOOKUP('Données projet'!$B$12,Paramètres!$A$1:$I$89,5,0)</f>
        <v>1.4344451007228309</v>
      </c>
      <c r="CA7" s="14">
        <f t="shared" si="39"/>
        <v>0.63386677286612625</v>
      </c>
      <c r="CB7" s="22">
        <f t="shared" si="10"/>
        <v>3.6023098465007668</v>
      </c>
      <c r="CC7" s="62">
        <f t="shared" si="11"/>
        <v>296.93564317983407</v>
      </c>
      <c r="CD7" s="62">
        <f ca="1">AVERAGE(OFFSET($CC$3,0,0,'Données projet'!$E$12+1,1))-AVERAGE(OFFSET($H$3,0,0,'Données projet'!$E$12+1,1))</f>
        <v>287.29865338866551</v>
      </c>
      <c r="CE7" s="62">
        <f t="shared" si="40"/>
        <v>217.57508587672368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6.2222222222222223</v>
      </c>
      <c r="CT7" s="13">
        <f>IF('Données projet'!$A$140&gt;35,CT6+CS7-DB6,IF(A7&lt;'Données projet'!$A$140,$CQ$205^A7,IF(A7='Données projet'!$A$140,'Données projet'!$B$140,CT6+CS7-DB6)))</f>
        <v>2.8535256637456983</v>
      </c>
      <c r="CU7" s="18">
        <f>CT7*VLOOKUP('Données projet'!$B$13,Paramètres!$A$1:$I$89,3,0)*VLOOKUP('Données projet'!$B$13,Paramètres!$A$1:$I$89,5,0)</f>
        <v>1.7806000141773157</v>
      </c>
      <c r="CV7" s="14">
        <f t="shared" si="41"/>
        <v>0.76727758599241935</v>
      </c>
      <c r="CW7" s="22">
        <f t="shared" si="13"/>
        <v>4.4375534869622877</v>
      </c>
      <c r="CX7" s="62">
        <f t="shared" si="14"/>
        <v>297.77088682029563</v>
      </c>
      <c r="CY7" s="62">
        <f ca="1">AVERAGE(OFFSET($CX$3,0,0,'Données projet'!$E$13+1,1))-AVERAGE(OFFSET($H$3,0,0,'Données projet'!$E$13+1,1))</f>
        <v>175.05987582828078</v>
      </c>
      <c r="CZ7" s="62">
        <f t="shared" si="42"/>
        <v>268.54782308462387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3.8181818181818183</v>
      </c>
      <c r="DO7" s="13">
        <f>IF('Données projet'!$A$166&gt;35,DO6+DN7-DW6,IF(A7&lt;'Données projet'!$A$166,$DL$205^A7,IF(A7='Données projet'!$A$166,'Données projet'!$B$166,DO6+DN7-DW6)))</f>
        <v>2.2380457551365547</v>
      </c>
      <c r="DP7" s="18">
        <f>DO7*VLOOKUP('Données projet'!$B$14,Paramètres!$A$1:$I$89,3,0)*VLOOKUP('Données projet'!$B$14,Paramètres!$A$1:$I$89,5,0)</f>
        <v>1.2801621719381093</v>
      </c>
      <c r="DQ7" s="14">
        <f t="shared" si="43"/>
        <v>0.57323329822004276</v>
      </c>
      <c r="DR7" s="22">
        <f t="shared" si="16"/>
        <v>3.2279971105254481</v>
      </c>
      <c r="DS7" s="62">
        <f t="shared" si="17"/>
        <v>296.56133044385876</v>
      </c>
      <c r="DT7" s="62">
        <f ca="1">AVERAGE(OFFSET($DS$3,0,0,'Données projet'!$E$14+1,1))-AVERAGE(OFFSET($H$3,0,0,'Données projet'!$E$14+1,1))</f>
        <v>228.06050741667258</v>
      </c>
      <c r="DU7" s="62">
        <f t="shared" si="44"/>
        <v>191.94885821983536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6.8</v>
      </c>
      <c r="EJ7" s="13">
        <f>IF('Données projet'!$A$192&gt;35,EJ6+EI7-ER6,IF(A7&lt;'Données projet'!$A$192,$EG$205^A7,IF(A7='Données projet'!$A$192,'Données projet'!$B$192,EJ6+EI7-ER6)))</f>
        <v>16.795120867813488</v>
      </c>
      <c r="EK7" s="18">
        <f>EJ7*VLOOKUP('Données projet'!$B$15,Paramètres!$A$1:$I$89,3,0)*VLOOKUP('Données projet'!$B$15,Paramètres!$A$1:$I$89,5,0)</f>
        <v>15.196225361197643</v>
      </c>
      <c r="EL7" s="14">
        <f t="shared" si="45"/>
        <v>5.1019212633160578</v>
      </c>
      <c r="EM7" s="22">
        <f t="shared" si="19"/>
        <v>35.352605371028027</v>
      </c>
      <c r="EN7" s="62">
        <f t="shared" si="20"/>
        <v>328.68593870436132</v>
      </c>
      <c r="EO7" s="62">
        <f ca="1">AVERAGE(OFFSET($EN$3,0,0,'Données projet'!$E$15+1,1))-AVERAGE(OFFSET($H$3,0,0,'Données projet'!$E$15+1,1))</f>
        <v>315.23521260143986</v>
      </c>
      <c r="EP7" s="62">
        <f t="shared" si="46"/>
        <v>439.11021845472641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</v>
      </c>
      <c r="N8" s="14">
        <f>IF('Données projet'!$A$36&gt;35,N7+M8-V7,IF(A8&lt;'Données projet'!$A$36,$K$205^A8,IF(A8='Données projet'!$A$36,'Données projet'!$B$36,N7+M8-V7)))</f>
        <v>3.5719827745457646</v>
      </c>
      <c r="O8" s="14">
        <f>N8*VLOOKUP('Données projet'!$B$9,Paramètres!$A$1:$I$89,3,0)*VLOOKUP('Données projet'!$B$9,Paramètres!$A$1:$I$89,5,0)</f>
        <v>1.9967383709710824</v>
      </c>
      <c r="P8" s="14">
        <f t="shared" si="33"/>
        <v>0.84901594219430265</v>
      </c>
      <c r="Q8" s="22">
        <f t="shared" si="2"/>
        <v>4.9563554287630449</v>
      </c>
      <c r="R8" s="62">
        <f t="shared" si="0"/>
        <v>298.28968876209638</v>
      </c>
      <c r="S8" s="62">
        <f ca="1">AVERAGE(OFFSET($R$3,0,0,'Données projet'!$E$9+1,1))-AVERAGE(OFFSET($H$3,0,0,'Données projet'!$E$9+1,1))</f>
        <v>302.20483575440988</v>
      </c>
      <c r="T8" s="62">
        <f t="shared" si="34"/>
        <v>275.32862097158687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2.6447419684939089</v>
      </c>
      <c r="AK8" s="14">
        <f t="shared" si="35"/>
        <v>1.0883534414958294</v>
      </c>
      <c r="AL8" s="22">
        <f t="shared" si="4"/>
        <v>6.5018078390654601</v>
      </c>
      <c r="AM8" s="62">
        <f t="shared" si="5"/>
        <v>299.83514117239878</v>
      </c>
      <c r="AN8" s="62">
        <f ca="1">AVERAGE(OFFSET($AM$3,0,0,'Données projet'!$E$10+1,1))-AVERAGE(OFFSET($H$3,0,0,'Données projet'!$E$10+1,1))</f>
        <v>384.44848355636935</v>
      </c>
      <c r="AO8" s="62">
        <f t="shared" si="36"/>
        <v>203.5274665601915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2.9639349646914495</v>
      </c>
      <c r="BF8" s="14">
        <f t="shared" si="37"/>
        <v>1.2036361467970902</v>
      </c>
      <c r="BG8" s="22">
        <f t="shared" si="7"/>
        <v>7.2585196858425398</v>
      </c>
      <c r="BH8" s="62">
        <f t="shared" si="8"/>
        <v>300.59185301917586</v>
      </c>
      <c r="BI8" s="62">
        <f ca="1">AVERAGE(OFFSET($BH$3,0,0,'Données projet'!$E$11+1,1))-AVERAGE(OFFSET($H$3,0,0,'Données projet'!$E$11+1,1))</f>
        <v>440.60698566758532</v>
      </c>
      <c r="BJ8" s="62">
        <f t="shared" si="38"/>
        <v>231.92898690465887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5.5909090909090908</v>
      </c>
      <c r="BY8" s="13">
        <f>IF('Données projet'!$A$114&gt;35,BY7+BX8-CG7,IF(A8&lt;'Données projet'!$A$114,$BV$205^A8,IF(A8='Données projet'!$A$114,'Données projet'!$B$114,BY7+BX8-CG7)))</f>
        <v>2.9852343786852105</v>
      </c>
      <c r="BZ8" s="14">
        <f>BY8*VLOOKUP('Données projet'!$B$12,Paramètres!$A$1:$I$89,3,0)*VLOOKUP('Données projet'!$B$12,Paramètres!$A$1:$I$89,5,0)</f>
        <v>1.785170158453756</v>
      </c>
      <c r="CA8" s="14">
        <f t="shared" si="39"/>
        <v>0.7690174164926461</v>
      </c>
      <c r="CB8" s="22">
        <f t="shared" si="10"/>
        <v>4.4485433596983173</v>
      </c>
      <c r="CC8" s="62">
        <f t="shared" si="11"/>
        <v>297.78187669303162</v>
      </c>
      <c r="CD8" s="62">
        <f ca="1">AVERAGE(OFFSET($CC$3,0,0,'Données projet'!$E$12+1,1))-AVERAGE(OFFSET($H$3,0,0,'Données projet'!$E$12+1,1))</f>
        <v>287.29865338866551</v>
      </c>
      <c r="CE8" s="62">
        <f t="shared" si="40"/>
        <v>217.57508587672368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6.2222222222222223</v>
      </c>
      <c r="CT8" s="13">
        <f>IF('Données projet'!$A$140&gt;35,CT7+CS8-DB7,IF(A8&lt;'Données projet'!$A$140,$CQ$205^A8,IF(A8='Données projet'!$A$140,'Données projet'!$B$140,CT7+CS8-DB7)))</f>
        <v>3.7087471750180505</v>
      </c>
      <c r="CU8" s="18">
        <f>CT8*VLOOKUP('Données projet'!$B$13,Paramètres!$A$1:$I$89,3,0)*VLOOKUP('Données projet'!$B$13,Paramètres!$A$1:$I$89,5,0)</f>
        <v>2.3142582372112632</v>
      </c>
      <c r="CV8" s="14">
        <f t="shared" si="41"/>
        <v>0.96726694681425085</v>
      </c>
      <c r="CW8" s="22">
        <f t="shared" si="13"/>
        <v>5.7153230288444377</v>
      </c>
      <c r="CX8" s="62">
        <f t="shared" si="14"/>
        <v>299.04865636217778</v>
      </c>
      <c r="CY8" s="62">
        <f ca="1">AVERAGE(OFFSET($CX$3,0,0,'Données projet'!$E$13+1,1))-AVERAGE(OFFSET($H$3,0,0,'Données projet'!$E$13+1,1))</f>
        <v>175.05987582828078</v>
      </c>
      <c r="CZ8" s="62">
        <f t="shared" si="42"/>
        <v>268.54782308462387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3.8181818181818183</v>
      </c>
      <c r="DO8" s="13">
        <f>IF('Données projet'!$A$166&gt;35,DO7+DN8-DW7,IF(A8&lt;'Données projet'!$A$166,$DL$205^A8,IF(A8='Données projet'!$A$166,'Données projet'!$B$166,DO7+DN8-DW7)))</f>
        <v>2.7373870059322205</v>
      </c>
      <c r="DP8" s="18">
        <f>DO8*VLOOKUP('Données projet'!$B$14,Paramètres!$A$1:$I$89,3,0)*VLOOKUP('Données projet'!$B$14,Paramètres!$A$1:$I$89,5,0)</f>
        <v>1.5657853673932303</v>
      </c>
      <c r="DQ8" s="14">
        <f t="shared" si="43"/>
        <v>0.68488469852279721</v>
      </c>
      <c r="DR8" s="22">
        <f t="shared" si="16"/>
        <v>3.919917031470415</v>
      </c>
      <c r="DS8" s="62">
        <f t="shared" si="17"/>
        <v>297.2532503648037</v>
      </c>
      <c r="DT8" s="62">
        <f ca="1">AVERAGE(OFFSET($DS$3,0,0,'Données projet'!$E$14+1,1))-AVERAGE(OFFSET($H$3,0,0,'Données projet'!$E$14+1,1))</f>
        <v>228.06050741667258</v>
      </c>
      <c r="DU8" s="62">
        <f t="shared" si="44"/>
        <v>191.94885821983536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>
        <f>VLOOKUP(A8,'Données projet'!$A$191:$I$211,2,0)</f>
        <v>34</v>
      </c>
      <c r="EH8" s="13">
        <f>VLOOKUP(A8,'Données projet'!$A$191:$I$211,9,0)</f>
        <v>6.8</v>
      </c>
      <c r="EI8" s="13">
        <f t="array" ref="EI8">INDEX(EH:EH,MIN(IF(ISNUMBER(EH8:EH204),ROW(EH8:EH204),"")))</f>
        <v>6.8</v>
      </c>
      <c r="EJ8" s="13">
        <f>IF('Données projet'!$A$192&gt;35,EJ7+EI8-ER7,IF(A8&lt;'Données projet'!$A$192,$EG$205^A8,IF(A8='Données projet'!$A$192,'Données projet'!$B$192,EJ7+EI8-ER7)))</f>
        <v>34</v>
      </c>
      <c r="EK8" s="18">
        <f>EJ8*VLOOKUP('Données projet'!$B$15,Paramètres!$A$1:$I$89,3,0)*VLOOKUP('Données projet'!$B$15,Paramètres!$A$1:$I$89,5,0)</f>
        <v>30.763199999999998</v>
      </c>
      <c r="EL8" s="14">
        <f t="shared" si="45"/>
        <v>9.5142970411082253</v>
      </c>
      <c r="EM8" s="22">
        <f t="shared" si="19"/>
        <v>70.149974013263474</v>
      </c>
      <c r="EN8" s="62">
        <f t="shared" si="20"/>
        <v>363.4833073465968</v>
      </c>
      <c r="EO8" s="62">
        <f ca="1">AVERAGE(OFFSET($EN$3,0,0,'Données projet'!$E$15+1,1))-AVERAGE(OFFSET($H$3,0,0,'Données projet'!$E$15+1,1))</f>
        <v>315.23521260143986</v>
      </c>
      <c r="EP8" s="62">
        <f t="shared" si="46"/>
        <v>439.11021845472641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</v>
      </c>
      <c r="N9" s="14">
        <f>IF('Données projet'!$A$36&gt;35,N8+M9-V8,IF(A9&lt;'Données projet'!$A$36,$K$205^A9,IF(A9='Données projet'!$A$36,'Données projet'!$B$36,N8+M9-V8)))</f>
        <v>4.607774606956629</v>
      </c>
      <c r="O9" s="14">
        <f>N9*VLOOKUP('Données projet'!$B$9,Paramètres!$A$1:$I$89,3,0)*VLOOKUP('Données projet'!$B$9,Paramètres!$A$1:$I$89,5,0)</f>
        <v>2.5757460052887557</v>
      </c>
      <c r="P9" s="14">
        <f t="shared" si="33"/>
        <v>1.0632269751181105</v>
      </c>
      <c r="Q9" s="22">
        <f t="shared" si="2"/>
        <v>6.3378779408752912</v>
      </c>
      <c r="R9" s="62">
        <f t="shared" si="0"/>
        <v>299.67121127420859</v>
      </c>
      <c r="S9" s="62">
        <f ca="1">AVERAGE(OFFSET($R$3,0,0,'Données projet'!$E$9+1,1))-AVERAGE(OFFSET($H$3,0,0,'Données projet'!$E$9+1,1))</f>
        <v>302.20483575440988</v>
      </c>
      <c r="T9" s="62">
        <f t="shared" si="34"/>
        <v>275.32862097158687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3.2775509376901719</v>
      </c>
      <c r="AK9" s="14">
        <f t="shared" si="35"/>
        <v>1.315502139804245</v>
      </c>
      <c r="AL9" s="22">
        <f t="shared" si="4"/>
        <v>7.9995674433027766</v>
      </c>
      <c r="AM9" s="62">
        <f t="shared" si="5"/>
        <v>301.33290077663611</v>
      </c>
      <c r="AN9" s="62">
        <f ca="1">AVERAGE(OFFSET($AM$3,0,0,'Données projet'!$E$10+1,1))-AVERAGE(OFFSET($H$3,0,0,'Données projet'!$E$10+1,1))</f>
        <v>384.44848355636935</v>
      </c>
      <c r="AO9" s="62">
        <f t="shared" si="36"/>
        <v>203.5274665601915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3.6731174301700205</v>
      </c>
      <c r="BF9" s="14">
        <f t="shared" si="37"/>
        <v>1.4548453345092642</v>
      </c>
      <c r="BG9" s="22">
        <f t="shared" si="7"/>
        <v>8.9312018151497536</v>
      </c>
      <c r="BH9" s="62">
        <f t="shared" si="8"/>
        <v>302.26453514848305</v>
      </c>
      <c r="BI9" s="62">
        <f ca="1">AVERAGE(OFFSET($BH$3,0,0,'Données projet'!$E$11+1,1))-AVERAGE(OFFSET($H$3,0,0,'Données projet'!$E$11+1,1))</f>
        <v>440.60698566758532</v>
      </c>
      <c r="BJ9" s="62">
        <f t="shared" si="38"/>
        <v>231.92898690465887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5.5909090909090908</v>
      </c>
      <c r="BY9" s="13">
        <f>IF('Données projet'!$A$114&gt;35,BY8+BX9-CG8,IF(A9&lt;'Données projet'!$A$114,$BV$205^A9,IF(A9='Données projet'!$A$114,'Données projet'!$B$114,BY8+BX9-CG8)))</f>
        <v>3.7151309075081826</v>
      </c>
      <c r="BZ9" s="14">
        <f>BY9*VLOOKUP('Données projet'!$B$12,Paramètres!$A$1:$I$89,3,0)*VLOOKUP('Données projet'!$B$12,Paramètres!$A$1:$I$89,5,0)</f>
        <v>2.2216482826898933</v>
      </c>
      <c r="CA9" s="14">
        <f t="shared" si="39"/>
        <v>0.93298436230530435</v>
      </c>
      <c r="CB9" s="22">
        <f t="shared" si="10"/>
        <v>5.4943185233666361</v>
      </c>
      <c r="CC9" s="62">
        <f t="shared" si="11"/>
        <v>298.82765185669996</v>
      </c>
      <c r="CD9" s="62">
        <f ca="1">AVERAGE(OFFSET($CC$3,0,0,'Données projet'!$E$12+1,1))-AVERAGE(OFFSET($H$3,0,0,'Données projet'!$E$12+1,1))</f>
        <v>287.29865338866551</v>
      </c>
      <c r="CE9" s="62">
        <f t="shared" si="40"/>
        <v>217.57508587672368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6.2222222222222223</v>
      </c>
      <c r="CT9" s="13">
        <f>IF('Données projet'!$A$140&gt;35,CT8+CS9-DB8,IF(A9&lt;'Données projet'!$A$140,$CQ$205^A9,IF(A9='Données projet'!$A$140,'Données projet'!$B$140,CT8+CS9-DB8)))</f>
        <v>4.8202845283504612</v>
      </c>
      <c r="CU9" s="18">
        <f>CT9*VLOOKUP('Données projet'!$B$13,Paramètres!$A$1:$I$89,3,0)*VLOOKUP('Données projet'!$B$13,Paramètres!$A$1:$I$89,5,0)</f>
        <v>3.0078575456906878</v>
      </c>
      <c r="CV9" s="14">
        <f t="shared" si="41"/>
        <v>1.2193831326236693</v>
      </c>
      <c r="CW9" s="22">
        <f t="shared" si="13"/>
        <v>7.3624441813975059</v>
      </c>
      <c r="CX9" s="62">
        <f t="shared" si="14"/>
        <v>300.69577751473082</v>
      </c>
      <c r="CY9" s="62">
        <f ca="1">AVERAGE(OFFSET($CX$3,0,0,'Données projet'!$E$13+1,1))-AVERAGE(OFFSET($H$3,0,0,'Données projet'!$E$13+1,1))</f>
        <v>175.05987582828078</v>
      </c>
      <c r="CZ9" s="62">
        <f t="shared" si="42"/>
        <v>268.54782308462387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3.8181818181818183</v>
      </c>
      <c r="DO9" s="13">
        <f>IF('Données projet'!$A$166&gt;35,DO8+DN9-DW8,IF(A9&lt;'Données projet'!$A$166,$DL$205^A9,IF(A9='Données projet'!$A$166,'Données projet'!$B$166,DO8+DN9-DW8)))</f>
        <v>3.3481387067483621</v>
      </c>
      <c r="DP9" s="18">
        <f>DO9*VLOOKUP('Données projet'!$B$14,Paramètres!$A$1:$I$89,3,0)*VLOOKUP('Données projet'!$B$14,Paramètres!$A$1:$I$89,5,0)</f>
        <v>1.9151353402600633</v>
      </c>
      <c r="DQ9" s="14">
        <f t="shared" si="43"/>
        <v>0.81828297785067872</v>
      </c>
      <c r="DR9" s="22">
        <f t="shared" si="16"/>
        <v>4.7607035707095422</v>
      </c>
      <c r="DS9" s="62">
        <f t="shared" si="17"/>
        <v>298.09403690404287</v>
      </c>
      <c r="DT9" s="62">
        <f ca="1">AVERAGE(OFFSET($DS$3,0,0,'Données projet'!$E$14+1,1))-AVERAGE(OFFSET($H$3,0,0,'Données projet'!$E$14+1,1))</f>
        <v>228.06050741667258</v>
      </c>
      <c r="DU9" s="62">
        <f t="shared" si="44"/>
        <v>191.94885821983536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14.2</v>
      </c>
      <c r="EJ9" s="13">
        <f>IF('Données projet'!$A$192&gt;35,EJ8+EI9-ER8,IF(A9&lt;'Données projet'!$A$192,$EG$205^A9,IF(A9='Données projet'!$A$192,'Données projet'!$B$192,EJ8+EI9-ER8)))</f>
        <v>48.2</v>
      </c>
      <c r="EK9" s="18">
        <f>EJ9*VLOOKUP('Données projet'!$B$15,Paramètres!$A$1:$I$89,3,0)*VLOOKUP('Données projet'!$B$15,Paramètres!$A$1:$I$89,5,0)</f>
        <v>43.611359999999998</v>
      </c>
      <c r="EL9" s="14">
        <f t="shared" si="45"/>
        <v>12.950970021195541</v>
      </c>
      <c r="EM9" s="22">
        <f t="shared" si="19"/>
        <v>98.512724786915555</v>
      </c>
      <c r="EN9" s="62">
        <f t="shared" si="20"/>
        <v>391.84605812024887</v>
      </c>
      <c r="EO9" s="62">
        <f ca="1">AVERAGE(OFFSET($EN$3,0,0,'Données projet'!$E$15+1,1))-AVERAGE(OFFSET($H$3,0,0,'Données projet'!$E$15+1,1))</f>
        <v>315.23521260143986</v>
      </c>
      <c r="EP9" s="62">
        <f t="shared" si="46"/>
        <v>439.11021845472641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</v>
      </c>
      <c r="N10" s="14">
        <f>IF('Données projet'!$A$36&gt;35,N9+M10-V9,IF(A10&lt;'Données projet'!$A$36,$K$205^A10,IF(A10='Données projet'!$A$36,'Données projet'!$B$36,N9+M10-V9)))</f>
        <v>5.9439219527631275</v>
      </c>
      <c r="O10" s="14">
        <f>N10*VLOOKUP('Données projet'!$B$9,Paramètres!$A$1:$I$89,3,0)*VLOOKUP('Données projet'!$B$9,Paramètres!$A$1:$I$89,5,0)</f>
        <v>3.3226523715945881</v>
      </c>
      <c r="P10" s="14">
        <f t="shared" si="33"/>
        <v>1.3314845392621566</v>
      </c>
      <c r="Q10" s="22">
        <f t="shared" si="2"/>
        <v>8.1059551197421627</v>
      </c>
      <c r="R10" s="62">
        <f t="shared" si="0"/>
        <v>301.43928845307551</v>
      </c>
      <c r="S10" s="62">
        <f ca="1">AVERAGE(OFFSET($R$3,0,0,'Données projet'!$E$9+1,1))-AVERAGE(OFFSET($H$3,0,0,'Données projet'!$E$9+1,1))</f>
        <v>302.20483575440988</v>
      </c>
      <c r="T10" s="62">
        <f t="shared" si="34"/>
        <v>275.32862097158687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4.0617724818240486</v>
      </c>
      <c r="AK10" s="14">
        <f t="shared" si="35"/>
        <v>1.590058719758437</v>
      </c>
      <c r="AL10" s="22">
        <f t="shared" si="4"/>
        <v>9.8436060094228282</v>
      </c>
      <c r="AM10" s="62">
        <f t="shared" si="5"/>
        <v>303.17693934275616</v>
      </c>
      <c r="AN10" s="62">
        <f ca="1">AVERAGE(OFFSET($AM$3,0,0,'Données projet'!$E$10+1,1))-AVERAGE(OFFSET($H$3,0,0,'Données projet'!$E$10+1,1))</f>
        <v>384.44848355636935</v>
      </c>
      <c r="AO10" s="62">
        <f t="shared" si="36"/>
        <v>203.5274665601915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4.5519864020441929</v>
      </c>
      <c r="BF10" s="14">
        <f t="shared" si="37"/>
        <v>1.7584840343783612</v>
      </c>
      <c r="BG10" s="22">
        <f t="shared" si="7"/>
        <v>10.990736010102614</v>
      </c>
      <c r="BH10" s="62">
        <f t="shared" si="8"/>
        <v>304.32406934343595</v>
      </c>
      <c r="BI10" s="62">
        <f ca="1">AVERAGE(OFFSET($BH$3,0,0,'Données projet'!$E$11+1,1))-AVERAGE(OFFSET($H$3,0,0,'Données projet'!$E$11+1,1))</f>
        <v>440.60698566758532</v>
      </c>
      <c r="BJ10" s="62">
        <f t="shared" si="38"/>
        <v>231.92898690465887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5.5909090909090908</v>
      </c>
      <c r="BY10" s="13">
        <f>IF('Données projet'!$A$114&gt;35,BY9+BX10-CG9,IF(A10&lt;'Données projet'!$A$114,$BV$205^A10,IF(A10='Données projet'!$A$114,'Données projet'!$B$114,BY9+BX10-CG9)))</f>
        <v>4.6234887814743333</v>
      </c>
      <c r="BZ10" s="14">
        <f>BY10*VLOOKUP('Données projet'!$B$12,Paramètres!$A$1:$I$89,3,0)*VLOOKUP('Données projet'!$B$12,Paramètres!$A$1:$I$89,5,0)</f>
        <v>2.7648462913216516</v>
      </c>
      <c r="CA10" s="14">
        <f t="shared" si="39"/>
        <v>1.1319117118000401</v>
      </c>
      <c r="CB10" s="22">
        <f t="shared" si="10"/>
        <v>6.7868535221036126</v>
      </c>
      <c r="CC10" s="62">
        <f t="shared" si="11"/>
        <v>300.12018685543694</v>
      </c>
      <c r="CD10" s="62">
        <f ca="1">AVERAGE(OFFSET($CC$3,0,0,'Données projet'!$E$12+1,1))-AVERAGE(OFFSET($H$3,0,0,'Données projet'!$E$12+1,1))</f>
        <v>287.29865338866551</v>
      </c>
      <c r="CE10" s="62">
        <f t="shared" si="40"/>
        <v>217.57508587672368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6.2222222222222223</v>
      </c>
      <c r="CT10" s="13">
        <f>IF('Données projet'!$A$140&gt;35,CT9+CS10-DB9,IF(A10&lt;'Données projet'!$A$140,$CQ$205^A10,IF(A10='Données projet'!$A$140,'Données projet'!$B$140,CT9+CS10-DB9)))</f>
        <v>6.2649573664027773</v>
      </c>
      <c r="CU10" s="18">
        <f>CT10*VLOOKUP('Données projet'!$B$13,Paramètres!$A$1:$I$89,3,0)*VLOOKUP('Données projet'!$B$13,Paramètres!$A$1:$I$89,5,0)</f>
        <v>3.9093333966353332</v>
      </c>
      <c r="CV10" s="14">
        <f t="shared" si="41"/>
        <v>1.5372128955964925</v>
      </c>
      <c r="CW10" s="22">
        <f t="shared" si="13"/>
        <v>9.4860681256370967</v>
      </c>
      <c r="CX10" s="62">
        <f t="shared" si="14"/>
        <v>302.81940145897039</v>
      </c>
      <c r="CY10" s="62">
        <f ca="1">AVERAGE(OFFSET($CX$3,0,0,'Données projet'!$E$13+1,1))-AVERAGE(OFFSET($H$3,0,0,'Données projet'!$E$13+1,1))</f>
        <v>175.05987582828078</v>
      </c>
      <c r="CZ10" s="62">
        <f t="shared" si="42"/>
        <v>268.54782308462387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3.8181818181818183</v>
      </c>
      <c r="DO10" s="13">
        <f>IF('Données projet'!$A$166&gt;35,DO9+DN10-DW9,IF(A10&lt;'Données projet'!$A$166,$DL$205^A10,IF(A10='Données projet'!$A$166,'Données projet'!$B$166,DO9+DN10-DW9)))</f>
        <v>4.0951581838202689</v>
      </c>
      <c r="DP10" s="18">
        <f>DO10*VLOOKUP('Données projet'!$B$14,Paramètres!$A$1:$I$89,3,0)*VLOOKUP('Données projet'!$B$14,Paramètres!$A$1:$I$89,5,0)</f>
        <v>2.3424304811451937</v>
      </c>
      <c r="DQ10" s="14">
        <f t="shared" si="43"/>
        <v>0.97766388018944239</v>
      </c>
      <c r="DR10" s="22">
        <f t="shared" si="16"/>
        <v>5.7824976793244902</v>
      </c>
      <c r="DS10" s="62">
        <f t="shared" si="17"/>
        <v>299.11583101265779</v>
      </c>
      <c r="DT10" s="62">
        <f ca="1">AVERAGE(OFFSET($DS$3,0,0,'Données projet'!$E$14+1,1))-AVERAGE(OFFSET($H$3,0,0,'Données projet'!$E$14+1,1))</f>
        <v>228.06050741667258</v>
      </c>
      <c r="DU10" s="62">
        <f t="shared" si="44"/>
        <v>191.94885821983536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14.2</v>
      </c>
      <c r="EJ10" s="13">
        <f>IF('Données projet'!$A$192&gt;35,EJ9+EI10-ER9,IF(A10&lt;'Données projet'!$A$192,$EG$205^A10,IF(A10='Données projet'!$A$192,'Données projet'!$B$192,EJ9+EI10-ER9)))</f>
        <v>62.400000000000006</v>
      </c>
      <c r="EK10" s="18">
        <f>EJ10*VLOOKUP('Données projet'!$B$15,Paramètres!$A$1:$I$89,3,0)*VLOOKUP('Données projet'!$B$15,Paramètres!$A$1:$I$89,5,0)</f>
        <v>56.459520000000005</v>
      </c>
      <c r="EL10" s="14">
        <f t="shared" si="45"/>
        <v>16.269980728799919</v>
      </c>
      <c r="EM10" s="22">
        <f t="shared" si="19"/>
        <v>126.67054710265984</v>
      </c>
      <c r="EN10" s="62">
        <f t="shared" si="20"/>
        <v>420.00388043599315</v>
      </c>
      <c r="EO10" s="62">
        <f ca="1">AVERAGE(OFFSET($EN$3,0,0,'Données projet'!$E$15+1,1))-AVERAGE(OFFSET($H$3,0,0,'Données projet'!$E$15+1,1))</f>
        <v>315.23521260143986</v>
      </c>
      <c r="EP10" s="62">
        <f t="shared" si="46"/>
        <v>439.11021845472641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</v>
      </c>
      <c r="N11" s="14">
        <f>IF('Données projet'!$A$36&gt;35,N10+M11-V10,IF(A11&lt;'Données projet'!$A$36,$K$205^A11,IF(A11='Données projet'!$A$36,'Données projet'!$B$36,N10+M11-V10)))</f>
        <v>7.6675209171905525</v>
      </c>
      <c r="O11" s="14">
        <f>N11*VLOOKUP('Données projet'!$B$9,Paramètres!$A$1:$I$89,3,0)*VLOOKUP('Données projet'!$B$9,Paramètres!$A$1:$I$89,5,0)</f>
        <v>4.2861441927095187</v>
      </c>
      <c r="P11" s="14">
        <f t="shared" si="33"/>
        <v>1.6674248488637313</v>
      </c>
      <c r="Q11" s="22">
        <f t="shared" si="2"/>
        <v>10.369132747406743</v>
      </c>
      <c r="R11" s="62">
        <f t="shared" si="0"/>
        <v>303.70246608074007</v>
      </c>
      <c r="S11" s="62">
        <f ca="1">AVERAGE(OFFSET($R$3,0,0,'Données projet'!$E$9+1,1))-AVERAGE(OFFSET($H$3,0,0,'Données projet'!$E$9+1,1))</f>
        <v>302.20483575440988</v>
      </c>
      <c r="T11" s="62">
        <f t="shared" si="34"/>
        <v>275.32862097158687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5.0336351769196082</v>
      </c>
      <c r="AK11" s="14">
        <f t="shared" si="35"/>
        <v>1.9219176128866391</v>
      </c>
      <c r="AL11" s="22">
        <f t="shared" si="4"/>
        <v>12.11425444224588</v>
      </c>
      <c r="AM11" s="62">
        <f t="shared" si="5"/>
        <v>305.44758777557922</v>
      </c>
      <c r="AN11" s="62">
        <f ca="1">AVERAGE(OFFSET($AM$3,0,0,'Données projet'!$E$10+1,1))-AVERAGE(OFFSET($H$3,0,0,'Données projet'!$E$10+1,1))</f>
        <v>384.44848355636935</v>
      </c>
      <c r="AO11" s="62">
        <f t="shared" si="36"/>
        <v>203.5274665601915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5.6411428706857674</v>
      </c>
      <c r="BF11" s="14">
        <f t="shared" si="37"/>
        <v>2.125494735292019</v>
      </c>
      <c r="BG11" s="22">
        <f t="shared" si="7"/>
        <v>13.526893830411311</v>
      </c>
      <c r="BH11" s="62">
        <f t="shared" si="8"/>
        <v>306.86022716374464</v>
      </c>
      <c r="BI11" s="62">
        <f ca="1">AVERAGE(OFFSET($BH$3,0,0,'Données projet'!$E$11+1,1))-AVERAGE(OFFSET($H$3,0,0,'Données projet'!$E$11+1,1))</f>
        <v>440.60698566758532</v>
      </c>
      <c r="BJ11" s="62">
        <f t="shared" si="38"/>
        <v>231.92898690465887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5.5909090909090908</v>
      </c>
      <c r="BY11" s="13">
        <f>IF('Données projet'!$A$114&gt;35,BY10+BX11-CG10,IF(A11&lt;'Données projet'!$A$114,$BV$205^A11,IF(A11='Données projet'!$A$114,'Données projet'!$B$114,BY10+BX11-CG10)))</f>
        <v>5.7539422013952093</v>
      </c>
      <c r="BZ11" s="14">
        <f>BY11*VLOOKUP('Données projet'!$B$12,Paramètres!$A$1:$I$89,3,0)*VLOOKUP('Données projet'!$B$12,Paramètres!$A$1:$I$89,5,0)</f>
        <v>3.4408574364343356</v>
      </c>
      <c r="CA11" s="14">
        <f t="shared" si="39"/>
        <v>1.3732535882427113</v>
      </c>
      <c r="CB11" s="22">
        <f t="shared" si="10"/>
        <v>8.3845767013125236</v>
      </c>
      <c r="CC11" s="62">
        <f t="shared" si="11"/>
        <v>301.71791003464585</v>
      </c>
      <c r="CD11" s="62">
        <f ca="1">AVERAGE(OFFSET($CC$3,0,0,'Données projet'!$E$12+1,1))-AVERAGE(OFFSET($H$3,0,0,'Données projet'!$E$12+1,1))</f>
        <v>287.29865338866551</v>
      </c>
      <c r="CE11" s="62">
        <f t="shared" si="40"/>
        <v>217.57508587672368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6.2222222222222223</v>
      </c>
      <c r="CT11" s="13">
        <f>IF('Données projet'!$A$140&gt;35,CT10+CS11-DB10,IF(A11&lt;'Données projet'!$A$140,$CQ$205^A11,IF(A11='Données projet'!$A$140,'Données projet'!$B$140,CT10+CS11-DB10)))</f>
        <v>8.1426087136553278</v>
      </c>
      <c r="CU11" s="18">
        <f>CT11*VLOOKUP('Données projet'!$B$13,Paramètres!$A$1:$I$89,3,0)*VLOOKUP('Données projet'!$B$13,Paramètres!$A$1:$I$89,5,0)</f>
        <v>5.080987837320925</v>
      </c>
      <c r="CV11" s="14">
        <f t="shared" si="41"/>
        <v>1.9378843475584122</v>
      </c>
      <c r="CW11" s="22">
        <f t="shared" si="13"/>
        <v>12.224535721998178</v>
      </c>
      <c r="CX11" s="62">
        <f t="shared" si="14"/>
        <v>305.55786905533148</v>
      </c>
      <c r="CY11" s="62">
        <f ca="1">AVERAGE(OFFSET($CX$3,0,0,'Données projet'!$E$13+1,1))-AVERAGE(OFFSET($H$3,0,0,'Données projet'!$E$13+1,1))</f>
        <v>175.05987582828078</v>
      </c>
      <c r="CZ11" s="62">
        <f t="shared" si="42"/>
        <v>268.54782308462387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3.8181818181818183</v>
      </c>
      <c r="DO11" s="13">
        <f>IF('Données projet'!$A$166&gt;35,DO10+DN11-DW10,IF(A11&lt;'Données projet'!$A$166,$DL$205^A11,IF(A11='Données projet'!$A$166,'Données projet'!$B$166,DO10+DN11-DW10)))</f>
        <v>5.008848802084751</v>
      </c>
      <c r="DP11" s="18">
        <f>DO11*VLOOKUP('Données projet'!$B$14,Paramètres!$A$1:$I$89,3,0)*VLOOKUP('Données projet'!$B$14,Paramètres!$A$1:$I$89,5,0)</f>
        <v>2.8650615147924778</v>
      </c>
      <c r="DQ11" s="14">
        <f t="shared" si="43"/>
        <v>1.1680881657072633</v>
      </c>
      <c r="DR11" s="22">
        <f t="shared" si="16"/>
        <v>7.0244023602037151</v>
      </c>
      <c r="DS11" s="62">
        <f t="shared" si="17"/>
        <v>300.35773569353705</v>
      </c>
      <c r="DT11" s="62">
        <f ca="1">AVERAGE(OFFSET($DS$3,0,0,'Données projet'!$E$14+1,1))-AVERAGE(OFFSET($H$3,0,0,'Données projet'!$E$14+1,1))</f>
        <v>228.06050741667258</v>
      </c>
      <c r="DU11" s="62">
        <f t="shared" si="44"/>
        <v>191.94885821983536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14.2</v>
      </c>
      <c r="EJ11" s="13">
        <f>IF('Données projet'!$A$192&gt;35,EJ10+EI11-ER10,IF(A11&lt;'Données projet'!$A$192,$EG$205^A11,IF(A11='Données projet'!$A$192,'Données projet'!$B$192,EJ10+EI11-ER10)))</f>
        <v>76.600000000000009</v>
      </c>
      <c r="EK11" s="18">
        <f>EJ11*VLOOKUP('Données projet'!$B$15,Paramètres!$A$1:$I$89,3,0)*VLOOKUP('Données projet'!$B$15,Paramètres!$A$1:$I$89,5,0)</f>
        <v>69.307680000000005</v>
      </c>
      <c r="EL11" s="14">
        <f t="shared" si="45"/>
        <v>19.501430784841368</v>
      </c>
      <c r="EM11" s="22">
        <f t="shared" si="19"/>
        <v>154.67586795026543</v>
      </c>
      <c r="EN11" s="62">
        <f t="shared" si="20"/>
        <v>448.00920128359871</v>
      </c>
      <c r="EO11" s="62">
        <f ca="1">AVERAGE(OFFSET($EN$3,0,0,'Données projet'!$E$15+1,1))-AVERAGE(OFFSET($H$3,0,0,'Données projet'!$E$15+1,1))</f>
        <v>315.23521260143986</v>
      </c>
      <c r="EP11" s="62">
        <f t="shared" si="46"/>
        <v>439.11021845472641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</v>
      </c>
      <c r="N12" s="14">
        <f>IF('Données projet'!$A$36&gt;35,N11+M12-V11,IF(A12&lt;'Données projet'!$A$36,$K$205^A12,IF(A12='Données projet'!$A$36,'Données projet'!$B$36,N11+M12-V11)))</f>
        <v>9.8909234479811374</v>
      </c>
      <c r="O12" s="14">
        <f>N12*VLOOKUP('Données projet'!$B$9,Paramètres!$A$1:$I$89,3,0)*VLOOKUP('Données projet'!$B$9,Paramètres!$A$1:$I$89,5,0)</f>
        <v>5.529026207421456</v>
      </c>
      <c r="P12" s="14">
        <f t="shared" si="33"/>
        <v>2.0881246042473354</v>
      </c>
      <c r="Q12" s="22">
        <f t="shared" si="2"/>
        <v>13.266537663656479</v>
      </c>
      <c r="R12" s="62">
        <f t="shared" si="0"/>
        <v>306.59987099698981</v>
      </c>
      <c r="S12" s="62">
        <f ca="1">AVERAGE(OFFSET($R$3,0,0,'Données projet'!$E$9+1,1))-AVERAGE(OFFSET($H$3,0,0,'Données projet'!$E$9+1,1))</f>
        <v>302.20483575440988</v>
      </c>
      <c r="T12" s="62">
        <f t="shared" si="34"/>
        <v>275.32862097158687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6.2380360317336141</v>
      </c>
      <c r="AK12" s="14">
        <f t="shared" si="35"/>
        <v>2.3230383034439352</v>
      </c>
      <c r="AL12" s="22">
        <f t="shared" si="4"/>
        <v>14.910537800434229</v>
      </c>
      <c r="AM12" s="62">
        <f t="shared" si="5"/>
        <v>308.24387113376753</v>
      </c>
      <c r="AN12" s="62">
        <f ca="1">AVERAGE(OFFSET($AM$3,0,0,'Données projet'!$E$10+1,1))-AVERAGE(OFFSET($H$3,0,0,'Données projet'!$E$10+1,1))</f>
        <v>384.44848355636935</v>
      </c>
      <c r="AO12" s="62">
        <f t="shared" si="36"/>
        <v>203.5274665601915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6.9909024493566383</v>
      </c>
      <c r="BF12" s="14">
        <f t="shared" si="37"/>
        <v>2.5691037174250742</v>
      </c>
      <c r="BG12" s="22">
        <f t="shared" si="7"/>
        <v>16.650344073811482</v>
      </c>
      <c r="BH12" s="62">
        <f t="shared" si="8"/>
        <v>309.9836774071448</v>
      </c>
      <c r="BI12" s="62">
        <f ca="1">AVERAGE(OFFSET($BH$3,0,0,'Données projet'!$E$11+1,1))-AVERAGE(OFFSET($H$3,0,0,'Données projet'!$E$11+1,1))</f>
        <v>440.60698566758532</v>
      </c>
      <c r="BJ12" s="62">
        <f t="shared" si="38"/>
        <v>231.92898690465887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5.5909090909090908</v>
      </c>
      <c r="BY12" s="13">
        <f>IF('Données projet'!$A$114&gt;35,BY11+BX12-CG11,IF(A12&lt;'Données projet'!$A$114,$BV$205^A12,IF(A12='Données projet'!$A$114,'Données projet'!$B$114,BY11+BX12-CG11)))</f>
        <v>7.1607940284521145</v>
      </c>
      <c r="BZ12" s="14">
        <f>BY12*VLOOKUP('Données projet'!$B$12,Paramètres!$A$1:$I$89,3,0)*VLOOKUP('Données projet'!$B$12,Paramètres!$A$1:$I$89,5,0)</f>
        <v>4.2821548290143649</v>
      </c>
      <c r="CA12" s="14">
        <f t="shared" si="39"/>
        <v>1.6660534544894132</v>
      </c>
      <c r="CB12" s="22">
        <f t="shared" si="10"/>
        <v>10.359796093769079</v>
      </c>
      <c r="CC12" s="62">
        <f t="shared" si="11"/>
        <v>303.69312942710241</v>
      </c>
      <c r="CD12" s="62">
        <f ca="1">AVERAGE(OFFSET($CC$3,0,0,'Données projet'!$E$12+1,1))-AVERAGE(OFFSET($H$3,0,0,'Données projet'!$E$12+1,1))</f>
        <v>287.29865338866551</v>
      </c>
      <c r="CE12" s="62">
        <f t="shared" si="40"/>
        <v>217.57508587672368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6.2222222222222223</v>
      </c>
      <c r="CT12" s="13">
        <f>IF('Données projet'!$A$140&gt;35,CT11+CS12-DB11,IF(A12&lt;'Données projet'!$A$140,$CQ$205^A12,IF(A12='Données projet'!$A$140,'Données projet'!$B$140,CT11+CS12-DB11)))</f>
        <v>10.583005244258365</v>
      </c>
      <c r="CU12" s="18">
        <f>CT12*VLOOKUP('Données projet'!$B$13,Paramètres!$A$1:$I$89,3,0)*VLOOKUP('Données projet'!$B$13,Paramètres!$A$1:$I$89,5,0)</f>
        <v>6.6037952724172193</v>
      </c>
      <c r="CV12" s="14">
        <f t="shared" si="41"/>
        <v>2.4429900082608067</v>
      </c>
      <c r="CW12" s="22">
        <f t="shared" si="13"/>
        <v>15.75648436384756</v>
      </c>
      <c r="CX12" s="62">
        <f t="shared" si="14"/>
        <v>309.08981769718088</v>
      </c>
      <c r="CY12" s="62">
        <f ca="1">AVERAGE(OFFSET($CX$3,0,0,'Données projet'!$E$13+1,1))-AVERAGE(OFFSET($H$3,0,0,'Données projet'!$E$13+1,1))</f>
        <v>175.05987582828078</v>
      </c>
      <c r="CZ12" s="62">
        <f t="shared" si="42"/>
        <v>268.54782308462387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3.8181818181818183</v>
      </c>
      <c r="DO12" s="13">
        <f>IF('Données projet'!$A$166&gt;35,DO11+DN12-DW11,IF(A12&lt;'Données projet'!$A$166,$DL$205^A12,IF(A12='Données projet'!$A$166,'Données projet'!$B$166,DO11+DN12-DW11)))</f>
        <v>6.1263973687925679</v>
      </c>
      <c r="DP12" s="18">
        <f>DO12*VLOOKUP('Données projet'!$B$14,Paramètres!$A$1:$I$89,3,0)*VLOOKUP('Données projet'!$B$14,Paramètres!$A$1:$I$89,5,0)</f>
        <v>3.504299294949349</v>
      </c>
      <c r="DQ12" s="14">
        <f t="shared" si="43"/>
        <v>1.3956023031156395</v>
      </c>
      <c r="DR12" s="22">
        <f t="shared" si="16"/>
        <v>8.5339952832965214</v>
      </c>
      <c r="DS12" s="62">
        <f t="shared" si="17"/>
        <v>301.86732861662983</v>
      </c>
      <c r="DT12" s="62">
        <f ca="1">AVERAGE(OFFSET($DS$3,0,0,'Données projet'!$E$14+1,1))-AVERAGE(OFFSET($H$3,0,0,'Données projet'!$E$14+1,1))</f>
        <v>228.06050741667258</v>
      </c>
      <c r="DU12" s="62">
        <f t="shared" si="44"/>
        <v>191.94885821983536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14.2</v>
      </c>
      <c r="EJ12" s="13">
        <f>IF('Données projet'!$A$192&gt;35,EJ11+EI12-ER11,IF(A12&lt;'Données projet'!$A$192,$EG$205^A12,IF(A12='Données projet'!$A$192,'Données projet'!$B$192,EJ11+EI12-ER11)))</f>
        <v>90.800000000000011</v>
      </c>
      <c r="EK12" s="18">
        <f>EJ12*VLOOKUP('Données projet'!$B$15,Paramètres!$A$1:$I$89,3,0)*VLOOKUP('Données projet'!$B$15,Paramètres!$A$1:$I$89,5,0)</f>
        <v>82.155840000000012</v>
      </c>
      <c r="EL12" s="14">
        <f t="shared" si="45"/>
        <v>22.663479678624277</v>
      </c>
      <c r="EM12" s="22">
        <f t="shared" si="19"/>
        <v>182.56031510693728</v>
      </c>
      <c r="EN12" s="62">
        <f t="shared" si="20"/>
        <v>475.89364844027057</v>
      </c>
      <c r="EO12" s="62">
        <f ca="1">AVERAGE(OFFSET($EN$3,0,0,'Données projet'!$E$15+1,1))-AVERAGE(OFFSET($H$3,0,0,'Données projet'!$E$15+1,1))</f>
        <v>315.23521260143986</v>
      </c>
      <c r="EP12" s="62">
        <f t="shared" si="46"/>
        <v>439.11021845472641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</v>
      </c>
      <c r="N13" s="14">
        <f>IF('Données projet'!$A$36&gt;35,N12+M13-V12,IF(A13&lt;'Données projet'!$A$36,$K$205^A13,IF(A13='Données projet'!$A$36,'Données projet'!$B$36,N12+M13-V12)))</f>
        <v>12.75906094165166</v>
      </c>
      <c r="O13" s="14">
        <f>N13*VLOOKUP('Données projet'!$B$9,Paramètres!$A$1:$I$89,3,0)*VLOOKUP('Données projet'!$B$9,Paramètres!$A$1:$I$89,5,0)</f>
        <v>7.1323150663832777</v>
      </c>
      <c r="P13" s="14">
        <f t="shared" si="33"/>
        <v>2.6149690439328648</v>
      </c>
      <c r="Q13" s="22">
        <f t="shared" si="2"/>
        <v>16.976519825467278</v>
      </c>
      <c r="R13" s="62">
        <f t="shared" si="0"/>
        <v>310.30985315880059</v>
      </c>
      <c r="S13" s="62">
        <f ca="1">AVERAGE(OFFSET($R$3,0,0,'Données projet'!$E$9+1,1))-AVERAGE(OFFSET($H$3,0,0,'Données projet'!$E$9+1,1))</f>
        <v>302.20483575440988</v>
      </c>
      <c r="T13" s="62">
        <f t="shared" si="34"/>
        <v>275.32862097158687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7.7306145887633031</v>
      </c>
      <c r="AK13" s="14">
        <f t="shared" si="35"/>
        <v>2.8078763226288115</v>
      </c>
      <c r="AL13" s="22">
        <f t="shared" si="4"/>
        <v>18.354538337341264</v>
      </c>
      <c r="AM13" s="62">
        <f t="shared" si="5"/>
        <v>311.68787167067455</v>
      </c>
      <c r="AN13" s="62">
        <f ca="1">AVERAGE(OFFSET($AM$3,0,0,'Données projet'!$E$10+1,1))-AVERAGE(OFFSET($H$3,0,0,'Données projet'!$E$10+1,1))</f>
        <v>384.44848355636935</v>
      </c>
      <c r="AO13" s="62">
        <f t="shared" si="36"/>
        <v>203.5274665601915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8.6636197977519771</v>
      </c>
      <c r="BF13" s="14">
        <f t="shared" si="37"/>
        <v>3.1052976990698267</v>
      </c>
      <c r="BG13" s="22">
        <f t="shared" si="7"/>
        <v>20.497531306964643</v>
      </c>
      <c r="BH13" s="62">
        <f t="shared" si="8"/>
        <v>313.83086464029793</v>
      </c>
      <c r="BI13" s="62">
        <f ca="1">AVERAGE(OFFSET($BH$3,0,0,'Données projet'!$E$11+1,1))-AVERAGE(OFFSET($H$3,0,0,'Données projet'!$E$11+1,1))</f>
        <v>440.60698566758532</v>
      </c>
      <c r="BJ13" s="62">
        <f t="shared" si="38"/>
        <v>231.92898690465887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5.5909090909090908</v>
      </c>
      <c r="BY13" s="13">
        <f>IF('Données projet'!$A$114&gt;35,BY12+BX13-CG12,IF(A13&lt;'Données projet'!$A$114,$BV$205^A13,IF(A13='Données projet'!$A$114,'Données projet'!$B$114,BY12+BX13-CG12)))</f>
        <v>8.9116242956840761</v>
      </c>
      <c r="BZ13" s="14">
        <f>BY13*VLOOKUP('Données projet'!$B$12,Paramètres!$A$1:$I$89,3,0)*VLOOKUP('Données projet'!$B$12,Paramètres!$A$1:$I$89,5,0)</f>
        <v>5.3291513288190782</v>
      </c>
      <c r="CA13" s="14">
        <f t="shared" si="39"/>
        <v>2.0212829858817885</v>
      </c>
      <c r="CB13" s="22">
        <f t="shared" si="10"/>
        <v>12.802006431437341</v>
      </c>
      <c r="CC13" s="62">
        <f t="shared" si="11"/>
        <v>306.13533976477066</v>
      </c>
      <c r="CD13" s="62">
        <f ca="1">AVERAGE(OFFSET($CC$3,0,0,'Données projet'!$E$12+1,1))-AVERAGE(OFFSET($H$3,0,0,'Données projet'!$E$12+1,1))</f>
        <v>287.29865338866551</v>
      </c>
      <c r="CE13" s="62">
        <f t="shared" si="40"/>
        <v>217.57508587672368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6.2222222222222223</v>
      </c>
      <c r="CT13" s="13">
        <f>IF('Données projet'!$A$140&gt;35,CT12+CS13-DB12,IF(A13&lt;'Données projet'!$A$140,$CQ$205^A13,IF(A13='Données projet'!$A$140,'Données projet'!$B$140,CT12+CS13-DB12)))</f>
        <v>13.754805608204368</v>
      </c>
      <c r="CU13" s="18">
        <f>CT13*VLOOKUP('Données projet'!$B$13,Paramètres!$A$1:$I$89,3,0)*VLOOKUP('Données projet'!$B$13,Paramètres!$A$1:$I$89,5,0)</f>
        <v>8.5829986995195267</v>
      </c>
      <c r="CV13" s="14">
        <f t="shared" si="41"/>
        <v>3.0797504443346257</v>
      </c>
      <c r="CW13" s="22">
        <f t="shared" si="13"/>
        <v>20.312621425545984</v>
      </c>
      <c r="CX13" s="62">
        <f t="shared" si="14"/>
        <v>313.64595475887927</v>
      </c>
      <c r="CY13" s="62">
        <f ca="1">AVERAGE(OFFSET($CX$3,0,0,'Données projet'!$E$13+1,1))-AVERAGE(OFFSET($H$3,0,0,'Données projet'!$E$13+1,1))</f>
        <v>175.05987582828078</v>
      </c>
      <c r="CZ13" s="62">
        <f t="shared" si="42"/>
        <v>268.54782308462387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3.8181818181818183</v>
      </c>
      <c r="DO13" s="13">
        <f>IF('Données projet'!$A$166&gt;35,DO12+DN13-DW12,IF(A13&lt;'Données projet'!$A$166,$DL$205^A13,IF(A13='Données projet'!$A$166,'Données projet'!$B$166,DO12+DN13-DW12)))</f>
        <v>7.4932876202465657</v>
      </c>
      <c r="DP13" s="18">
        <f>DO13*VLOOKUP('Données projet'!$B$14,Paramètres!$A$1:$I$89,3,0)*VLOOKUP('Données projet'!$B$14,Paramètres!$A$1:$I$89,5,0)</f>
        <v>4.2861605187810357</v>
      </c>
      <c r="DQ13" s="14">
        <f t="shared" si="43"/>
        <v>1.6674304608525559</v>
      </c>
      <c r="DR13" s="22">
        <f t="shared" si="16"/>
        <v>10.369170956195171</v>
      </c>
      <c r="DS13" s="62">
        <f t="shared" si="17"/>
        <v>303.70250428952846</v>
      </c>
      <c r="DT13" s="62">
        <f ca="1">AVERAGE(OFFSET($DS$3,0,0,'Données projet'!$E$14+1,1))-AVERAGE(OFFSET($H$3,0,0,'Données projet'!$E$14+1,1))</f>
        <v>228.06050741667258</v>
      </c>
      <c r="DU13" s="62">
        <f t="shared" si="44"/>
        <v>191.94885821983536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>
        <f>VLOOKUP(A13,'Données projet'!$A$191:$I$211,2,0)</f>
        <v>105</v>
      </c>
      <c r="EH13" s="13">
        <f>VLOOKUP(A13,'Données projet'!$A$191:$I$211,9,0)</f>
        <v>14.2</v>
      </c>
      <c r="EI13" s="13">
        <f t="array" ref="EI13">INDEX(EH:EH,MIN(IF(ISNUMBER(EH13:EH209),ROW(EH13:EH209),"")))</f>
        <v>14.2</v>
      </c>
      <c r="EJ13" s="13">
        <f>IF('Données projet'!$A$192&gt;35,EJ12+EI13-ER12,IF(A13&lt;'Données projet'!$A$192,$EG$205^A13,IF(A13='Données projet'!$A$192,'Données projet'!$B$192,EJ12+EI13-ER12)))</f>
        <v>105.00000000000001</v>
      </c>
      <c r="EK13" s="18">
        <f>EJ13*VLOOKUP('Données projet'!$B$15,Paramètres!$A$1:$I$89,3,0)*VLOOKUP('Données projet'!$B$15,Paramètres!$A$1:$I$89,5,0)</f>
        <v>95.004000000000019</v>
      </c>
      <c r="EL13" s="14">
        <f t="shared" si="45"/>
        <v>25.768242550600785</v>
      </c>
      <c r="EM13" s="22">
        <f t="shared" si="19"/>
        <v>210.34498910896306</v>
      </c>
      <c r="EN13" s="62">
        <f t="shared" si="20"/>
        <v>503.67832244229635</v>
      </c>
      <c r="EO13" s="62">
        <f ca="1">AVERAGE(OFFSET($EN$3,0,0,'Données projet'!$E$15+1,1))-AVERAGE(OFFSET($H$3,0,0,'Données projet'!$E$15+1,1))</f>
        <v>315.23521260143986</v>
      </c>
      <c r="EP13" s="62">
        <f t="shared" si="46"/>
        <v>439.11021845472641</v>
      </c>
      <c r="EQ13" s="16">
        <f>IF(ISNA(VLOOKUP(A13,'Données projet'!$A$191:$I$211,3,0)),0,VLOOKUP(A13,'Données projet'!$A$191:$I$211,3,0))</f>
        <v>1</v>
      </c>
      <c r="ER13" s="16">
        <f>IF(ISNA(VLOOKUP(A13,'Données projet'!$A$191:$I$211,4,0)),0,VLOOKUP(A13,'Données projet'!$A$191:$I$211,4,0))</f>
        <v>34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</v>
      </c>
      <c r="N14" s="14">
        <f>IF('Données projet'!$A$36&gt;35,N13+M14-V13,IF(A14&lt;'Données projet'!$A$36,$K$205^A14,IF(A14='Données projet'!$A$36,'Données projet'!$B$36,N13+M14-V13)))</f>
        <v>16.45889152503846</v>
      </c>
      <c r="O14" s="14">
        <f>N14*VLOOKUP('Données projet'!$B$9,Paramètres!$A$1:$I$89,3,0)*VLOOKUP('Données projet'!$B$9,Paramètres!$A$1:$I$89,5,0)</f>
        <v>9.2005203624964995</v>
      </c>
      <c r="P14" s="14">
        <f t="shared" si="33"/>
        <v>3.2747390106980423</v>
      </c>
      <c r="Q14" s="22">
        <f t="shared" si="2"/>
        <v>21.727743408313824</v>
      </c>
      <c r="R14" s="62">
        <f t="shared" si="0"/>
        <v>315.06107674164713</v>
      </c>
      <c r="S14" s="62">
        <f ca="1">AVERAGE(OFFSET($R$3,0,0,'Données projet'!$E$9+1,1))-AVERAGE(OFFSET($H$3,0,0,'Données projet'!$E$9+1,1))</f>
        <v>302.20483575440988</v>
      </c>
      <c r="T14" s="62">
        <f t="shared" si="34"/>
        <v>275.32862097158687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9.5803232966244067</v>
      </c>
      <c r="AK14" s="14">
        <f t="shared" si="35"/>
        <v>3.3939041949894282</v>
      </c>
      <c r="AL14" s="22">
        <f t="shared" si="4"/>
        <v>22.596779547894098</v>
      </c>
      <c r="AM14" s="62">
        <f t="shared" si="5"/>
        <v>315.93011288122739</v>
      </c>
      <c r="AN14" s="62">
        <f ca="1">AVERAGE(OFFSET($AM$3,0,0,'Données projet'!$E$10+1,1))-AVERAGE(OFFSET($H$3,0,0,'Données projet'!$E$10+1,1))</f>
        <v>384.44848355636935</v>
      </c>
      <c r="AO14" s="62">
        <f t="shared" si="36"/>
        <v>203.5274665601915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10.736569211734251</v>
      </c>
      <c r="BF14" s="14">
        <f t="shared" si="37"/>
        <v>3.7533999637480915</v>
      </c>
      <c r="BG14" s="22">
        <f t="shared" si="7"/>
        <v>25.23669631396508</v>
      </c>
      <c r="BH14" s="62">
        <f t="shared" si="8"/>
        <v>318.57002964729838</v>
      </c>
      <c r="BI14" s="62">
        <f ca="1">AVERAGE(OFFSET($BH$3,0,0,'Données projet'!$E$11+1,1))-AVERAGE(OFFSET($H$3,0,0,'Données projet'!$E$11+1,1))</f>
        <v>440.60698566758532</v>
      </c>
      <c r="BJ14" s="62">
        <f t="shared" si="38"/>
        <v>231.92898690465887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5.5909090909090908</v>
      </c>
      <c r="BY14" s="13">
        <f>IF('Données projet'!$A$114&gt;35,BY13+BX14-CG13,IF(A14&lt;'Données projet'!$A$114,$BV$205^A14,IF(A14='Données projet'!$A$114,'Données projet'!$B$114,BY13+BX14-CG13)))</f>
        <v>11.090536506409412</v>
      </c>
      <c r="BZ14" s="14">
        <f>BY14*VLOOKUP('Données projet'!$B$12,Paramètres!$A$1:$I$89,3,0)*VLOOKUP('Données projet'!$B$12,Paramètres!$A$1:$I$89,5,0)</f>
        <v>6.6321408308328289</v>
      </c>
      <c r="CA14" s="14">
        <f t="shared" si="39"/>
        <v>2.4522531963221348</v>
      </c>
      <c r="CB14" s="22">
        <f t="shared" si="10"/>
        <v>15.821986263961561</v>
      </c>
      <c r="CC14" s="62">
        <f t="shared" si="11"/>
        <v>309.15531959729486</v>
      </c>
      <c r="CD14" s="62">
        <f ca="1">AVERAGE(OFFSET($CC$3,0,0,'Données projet'!$E$12+1,1))-AVERAGE(OFFSET($H$3,0,0,'Données projet'!$E$12+1,1))</f>
        <v>287.29865338866551</v>
      </c>
      <c r="CE14" s="62">
        <f t="shared" si="40"/>
        <v>217.57508587672368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6.2222222222222223</v>
      </c>
      <c r="CT14" s="13">
        <f>IF('Données projet'!$A$140&gt;35,CT13+CS14-DB13,IF(A14&lt;'Données projet'!$A$140,$CQ$205^A14,IF(A14='Données projet'!$A$140,'Données projet'!$B$140,CT13+CS14-DB13)))</f>
        <v>17.877216627302985</v>
      </c>
      <c r="CU14" s="18">
        <f>CT14*VLOOKUP('Données projet'!$B$13,Paramètres!$A$1:$I$89,3,0)*VLOOKUP('Données projet'!$B$13,Paramètres!$A$1:$I$89,5,0)</f>
        <v>11.155383175437063</v>
      </c>
      <c r="CV14" s="14">
        <f t="shared" si="41"/>
        <v>3.8824812083990929</v>
      </c>
      <c r="CW14" s="22">
        <f t="shared" si="13"/>
        <v>26.1909471351813</v>
      </c>
      <c r="CX14" s="62">
        <f t="shared" si="14"/>
        <v>319.52428046851463</v>
      </c>
      <c r="CY14" s="62">
        <f ca="1">AVERAGE(OFFSET($CX$3,0,0,'Données projet'!$E$13+1,1))-AVERAGE(OFFSET($H$3,0,0,'Données projet'!$E$13+1,1))</f>
        <v>175.05987582828078</v>
      </c>
      <c r="CZ14" s="62">
        <f t="shared" si="42"/>
        <v>268.54782308462387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3.8181818181818183</v>
      </c>
      <c r="DO14" s="13">
        <f>IF('Données projet'!$A$166&gt;35,DO13+DN14-DW13,IF(A14&lt;'Données projet'!$A$166,$DL$205^A14,IF(A14='Données projet'!$A$166,'Données projet'!$B$166,DO13+DN14-DW13)))</f>
        <v>9.1651513899116743</v>
      </c>
      <c r="DP14" s="18">
        <f>DO14*VLOOKUP('Données projet'!$B$14,Paramètres!$A$1:$I$89,3,0)*VLOOKUP('Données projet'!$B$14,Paramètres!$A$1:$I$89,5,0)</f>
        <v>5.2424665950294775</v>
      </c>
      <c r="DQ14" s="14">
        <f t="shared" si="43"/>
        <v>1.9922038933097028</v>
      </c>
      <c r="DR14" s="22">
        <f t="shared" si="16"/>
        <v>12.600384433857405</v>
      </c>
      <c r="DS14" s="62">
        <f t="shared" si="17"/>
        <v>305.93371776719073</v>
      </c>
      <c r="DT14" s="62">
        <f ca="1">AVERAGE(OFFSET($DS$3,0,0,'Données projet'!$E$14+1,1))-AVERAGE(OFFSET($H$3,0,0,'Données projet'!$E$14+1,1))</f>
        <v>228.06050741667258</v>
      </c>
      <c r="DU14" s="62">
        <f t="shared" si="44"/>
        <v>191.94885821983536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13.8</v>
      </c>
      <c r="EJ14" s="13">
        <f>IF('Données projet'!$A$192&gt;35,EJ13+EI14-ER13,IF(A14&lt;'Données projet'!$A$192,$EG$205^A14,IF(A14='Données projet'!$A$192,'Données projet'!$B$192,EJ13+EI14-ER13)))</f>
        <v>84.800000000000011</v>
      </c>
      <c r="EK14" s="18">
        <f>EJ14*VLOOKUP('Données projet'!$B$15,Paramètres!$A$1:$I$89,3,0)*VLOOKUP('Données projet'!$B$15,Paramètres!$A$1:$I$89,5,0)</f>
        <v>76.727040000000017</v>
      </c>
      <c r="EL14" s="14">
        <f t="shared" si="45"/>
        <v>21.334993267156719</v>
      </c>
      <c r="EM14" s="22">
        <f t="shared" si="19"/>
        <v>170.79137460696464</v>
      </c>
      <c r="EN14" s="62">
        <f t="shared" si="20"/>
        <v>464.12470794029798</v>
      </c>
      <c r="EO14" s="62">
        <f ca="1">AVERAGE(OFFSET($EN$3,0,0,'Données projet'!$E$15+1,1))-AVERAGE(OFFSET($H$3,0,0,'Données projet'!$E$15+1,1))</f>
        <v>315.23521260143986</v>
      </c>
      <c r="EP14" s="62">
        <f t="shared" si="46"/>
        <v>439.11021845472641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</v>
      </c>
      <c r="N15" s="14">
        <f>IF('Données projet'!$A$36&gt;35,N14+M15-V14,IF(A15&lt;'Données projet'!$A$36,$K$205^A15,IF(A15='Données projet'!$A$36,'Données projet'!$B$36,N14+M15-V14)))</f>
        <v>21.231586828514317</v>
      </c>
      <c r="O15" s="14">
        <f>N15*VLOOKUP('Données projet'!$B$9,Paramètres!$A$1:$I$89,3,0)*VLOOKUP('Données projet'!$B$9,Paramètres!$A$1:$I$89,5,0)</f>
        <v>11.868457037139505</v>
      </c>
      <c r="P15" s="14">
        <f t="shared" si="33"/>
        <v>4.1009722899277703</v>
      </c>
      <c r="Q15" s="22">
        <f t="shared" si="2"/>
        <v>27.813422744642168</v>
      </c>
      <c r="R15" s="62">
        <f t="shared" si="0"/>
        <v>321.14675607797551</v>
      </c>
      <c r="S15" s="62">
        <f ca="1">AVERAGE(OFFSET($R$3,0,0,'Données projet'!$E$9+1,1))-AVERAGE(OFFSET($H$3,0,0,'Données projet'!$E$9+1,1))</f>
        <v>302.20483575440988</v>
      </c>
      <c r="T15" s="62">
        <f t="shared" si="34"/>
        <v>275.32862097158687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11.872612896942668</v>
      </c>
      <c r="AK15" s="14">
        <f t="shared" si="35"/>
        <v>4.1022411108131784</v>
      </c>
      <c r="AL15" s="22">
        <f t="shared" si="4"/>
        <v>27.822870730174767</v>
      </c>
      <c r="AM15" s="62">
        <f t="shared" si="5"/>
        <v>321.15620406350808</v>
      </c>
      <c r="AN15" s="62">
        <f ca="1">AVERAGE(OFFSET($AM$3,0,0,'Données projet'!$E$10+1,1))-AVERAGE(OFFSET($H$3,0,0,'Données projet'!$E$10+1,1))</f>
        <v>384.44848355636935</v>
      </c>
      <c r="AO15" s="62">
        <f t="shared" si="36"/>
        <v>203.5274665601915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13.305514453470233</v>
      </c>
      <c r="BF15" s="14">
        <f t="shared" si="37"/>
        <v>4.5367667299931158</v>
      </c>
      <c r="BG15" s="22">
        <f t="shared" si="7"/>
        <v>31.075306394532003</v>
      </c>
      <c r="BH15" s="62">
        <f t="shared" si="8"/>
        <v>324.40863972786531</v>
      </c>
      <c r="BI15" s="62">
        <f ca="1">AVERAGE(OFFSET($BH$3,0,0,'Données projet'!$E$11+1,1))-AVERAGE(OFFSET($H$3,0,0,'Données projet'!$E$11+1,1))</f>
        <v>440.60698566758532</v>
      </c>
      <c r="BJ15" s="62">
        <f t="shared" si="38"/>
        <v>231.92898690465887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5.5909090909090908</v>
      </c>
      <c r="BY15" s="13">
        <f>IF('Données projet'!$A$114&gt;35,BY14+BX15-CG14,IF(A15&lt;'Données projet'!$A$114,$BV$205^A15,IF(A15='Données projet'!$A$114,'Données projet'!$B$114,BY14+BX15-CG14)))</f>
        <v>13.802197659922571</v>
      </c>
      <c r="BZ15" s="14">
        <f>BY15*VLOOKUP('Données projet'!$B$12,Paramètres!$A$1:$I$89,3,0)*VLOOKUP('Données projet'!$B$12,Paramètres!$A$1:$I$89,5,0)</f>
        <v>8.2537142006336985</v>
      </c>
      <c r="CA15" s="14">
        <f t="shared" si="39"/>
        <v>2.9751132230743558</v>
      </c>
      <c r="CB15" s="22">
        <f t="shared" si="10"/>
        <v>19.556874429624859</v>
      </c>
      <c r="CC15" s="62">
        <f t="shared" si="11"/>
        <v>312.8902077629582</v>
      </c>
      <c r="CD15" s="62">
        <f ca="1">AVERAGE(OFFSET($CC$3,0,0,'Données projet'!$E$12+1,1))-AVERAGE(OFFSET($H$3,0,0,'Données projet'!$E$12+1,1))</f>
        <v>287.29865338866551</v>
      </c>
      <c r="CE15" s="62">
        <f t="shared" si="40"/>
        <v>217.57508587672368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6.2222222222222223</v>
      </c>
      <c r="CT15" s="13">
        <f>IF('Données projet'!$A$140&gt;35,CT14+CS15-DB14,IF(A15&lt;'Données projet'!$A$140,$CQ$205^A15,IF(A15='Données projet'!$A$140,'Données projet'!$B$140,CT14+CS15-DB14)))</f>
        <v>23.235142934254824</v>
      </c>
      <c r="CU15" s="18">
        <f>CT15*VLOOKUP('Données projet'!$B$13,Paramètres!$A$1:$I$89,3,0)*VLOOKUP('Données projet'!$B$13,Paramètres!$A$1:$I$89,5,0)</f>
        <v>14.498729190975009</v>
      </c>
      <c r="CV15" s="14">
        <f t="shared" si="41"/>
        <v>4.8944421329010357</v>
      </c>
      <c r="CW15" s="22">
        <f t="shared" si="13"/>
        <v>33.776440055750776</v>
      </c>
      <c r="CX15" s="62">
        <f t="shared" si="14"/>
        <v>327.10977338908407</v>
      </c>
      <c r="CY15" s="62">
        <f ca="1">AVERAGE(OFFSET($CX$3,0,0,'Données projet'!$E$13+1,1))-AVERAGE(OFFSET($H$3,0,0,'Données projet'!$E$13+1,1))</f>
        <v>175.05987582828078</v>
      </c>
      <c r="CZ15" s="62">
        <f t="shared" si="42"/>
        <v>268.54782308462387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3.8181818181818183</v>
      </c>
      <c r="DO15" s="13">
        <f>IF('Données projet'!$A$166&gt;35,DO14+DN15-DW14,IF(A15&lt;'Données projet'!$A$166,$DL$205^A15,IF(A15='Données projet'!$A$166,'Données projet'!$B$166,DO14+DN15-DW14)))</f>
        <v>11.210032799626594</v>
      </c>
      <c r="DP15" s="18">
        <f>DO15*VLOOKUP('Données projet'!$B$14,Paramètres!$A$1:$I$89,3,0)*VLOOKUP('Données projet'!$B$14,Paramètres!$A$1:$I$89,5,0)</f>
        <v>6.4121387613864131</v>
      </c>
      <c r="DQ15" s="14">
        <f t="shared" si="43"/>
        <v>2.3802350057159547</v>
      </c>
      <c r="DR15" s="22">
        <f t="shared" si="16"/>
        <v>15.313384311036627</v>
      </c>
      <c r="DS15" s="62">
        <f t="shared" si="17"/>
        <v>308.64671764436991</v>
      </c>
      <c r="DT15" s="62">
        <f ca="1">AVERAGE(OFFSET($DS$3,0,0,'Données projet'!$E$14+1,1))-AVERAGE(OFFSET($H$3,0,0,'Données projet'!$E$14+1,1))</f>
        <v>228.06050741667258</v>
      </c>
      <c r="DU15" s="62">
        <f t="shared" si="44"/>
        <v>191.94885821983536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13.8</v>
      </c>
      <c r="EJ15" s="13">
        <f>IF('Données projet'!$A$192&gt;35,EJ14+EI15-ER14,IF(A15&lt;'Données projet'!$A$192,$EG$205^A15,IF(A15='Données projet'!$A$192,'Données projet'!$B$192,EJ14+EI15-ER14)))</f>
        <v>98.600000000000009</v>
      </c>
      <c r="EK15" s="18">
        <f>EJ15*VLOOKUP('Données projet'!$B$15,Paramètres!$A$1:$I$89,3,0)*VLOOKUP('Données projet'!$B$15,Paramètres!$A$1:$I$89,5,0)</f>
        <v>89.213280000000012</v>
      </c>
      <c r="EL15" s="14">
        <f t="shared" si="45"/>
        <v>24.375390230293569</v>
      </c>
      <c r="EM15" s="22">
        <f t="shared" si="19"/>
        <v>197.83360065109466</v>
      </c>
      <c r="EN15" s="62">
        <f t="shared" si="20"/>
        <v>491.16693398442794</v>
      </c>
      <c r="EO15" s="62">
        <f ca="1">AVERAGE(OFFSET($EN$3,0,0,'Données projet'!$E$15+1,1))-AVERAGE(OFFSET($H$3,0,0,'Données projet'!$E$15+1,1))</f>
        <v>315.23521260143986</v>
      </c>
      <c r="EP15" s="62">
        <f t="shared" si="46"/>
        <v>439.11021845472641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</v>
      </c>
      <c r="N16" s="14">
        <f>IF('Données projet'!$A$36&gt;35,N15+M16-V15,IF(A16&lt;'Données projet'!$A$36,$K$205^A16,IF(A16='Données projet'!$A$36,'Données projet'!$B$36,N15+M16-V15)))</f>
        <v>27.388252639673997</v>
      </c>
      <c r="O16" s="14">
        <f>N16*VLOOKUP('Données projet'!$B$9,Paramètres!$A$1:$I$89,3,0)*VLOOKUP('Données projet'!$B$9,Paramètres!$A$1:$I$89,5,0)</f>
        <v>15.310033225577765</v>
      </c>
      <c r="P16" s="14">
        <f t="shared" si="33"/>
        <v>5.1356684205409415</v>
      </c>
      <c r="Q16" s="22">
        <f t="shared" si="2"/>
        <v>35.609597033656748</v>
      </c>
      <c r="R16" s="62">
        <f t="shared" si="0"/>
        <v>328.94293036699008</v>
      </c>
      <c r="S16" s="62">
        <f ca="1">AVERAGE(OFFSET($R$3,0,0,'Données projet'!$E$9+1,1))-AVERAGE(OFFSET($H$3,0,0,'Données projet'!$E$9+1,1))</f>
        <v>302.20483575440988</v>
      </c>
      <c r="T16" s="62">
        <f t="shared" si="34"/>
        <v>275.32862097158687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14.713379980643843</v>
      </c>
      <c r="AK16" s="14">
        <f t="shared" si="35"/>
        <v>4.9584140165447881</v>
      </c>
      <c r="AL16" s="22">
        <f t="shared" si="4"/>
        <v>34.261707878436859</v>
      </c>
      <c r="AM16" s="62">
        <f t="shared" si="5"/>
        <v>327.59504121177019</v>
      </c>
      <c r="AN16" s="62">
        <f ca="1">AVERAGE(OFFSET($AM$3,0,0,'Données projet'!$E$10+1,1))-AVERAGE(OFFSET($H$3,0,0,'Données projet'!$E$10+1,1))</f>
        <v>384.44848355636935</v>
      </c>
      <c r="AO16" s="62">
        <f t="shared" si="36"/>
        <v>203.5274665601915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16.489132736928447</v>
      </c>
      <c r="BF16" s="14">
        <f t="shared" si="37"/>
        <v>5.4836288594779292</v>
      </c>
      <c r="BG16" s="22">
        <f t="shared" si="7"/>
        <v>38.269226447074438</v>
      </c>
      <c r="BH16" s="62">
        <f t="shared" si="8"/>
        <v>331.60255978040777</v>
      </c>
      <c r="BI16" s="62">
        <f ca="1">AVERAGE(OFFSET($BH$3,0,0,'Données projet'!$E$11+1,1))-AVERAGE(OFFSET($H$3,0,0,'Données projet'!$E$11+1,1))</f>
        <v>440.60698566758532</v>
      </c>
      <c r="BJ16" s="62">
        <f t="shared" si="38"/>
        <v>231.92898690465887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5.5909090909090908</v>
      </c>
      <c r="BY16" s="13">
        <f>IF('Données projet'!$A$114&gt;35,BY15+BX16-CG15,IF(A16&lt;'Données projet'!$A$114,$BV$205^A16,IF(A16='Données projet'!$A$114,'Données projet'!$B$114,BY15+BX16-CG15)))</f>
        <v>17.17686607257264</v>
      </c>
      <c r="BZ16" s="14">
        <f>BY16*VLOOKUP('Données projet'!$B$12,Paramètres!$A$1:$I$89,3,0)*VLOOKUP('Données projet'!$B$12,Paramètres!$A$1:$I$89,5,0)</f>
        <v>10.27176591139844</v>
      </c>
      <c r="CA16" s="14">
        <f t="shared" si="39"/>
        <v>3.609455460548272</v>
      </c>
      <c r="CB16" s="22">
        <f t="shared" si="10"/>
        <v>24.176460556140523</v>
      </c>
      <c r="CC16" s="62">
        <f t="shared" si="11"/>
        <v>317.50979388947383</v>
      </c>
      <c r="CD16" s="62">
        <f ca="1">AVERAGE(OFFSET($CC$3,0,0,'Données projet'!$E$12+1,1))-AVERAGE(OFFSET($H$3,0,0,'Données projet'!$E$12+1,1))</f>
        <v>287.29865338866551</v>
      </c>
      <c r="CE16" s="62">
        <f t="shared" si="40"/>
        <v>217.57508587672368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6.2222222222222223</v>
      </c>
      <c r="CT16" s="13">
        <f>IF('Données projet'!$A$140&gt;35,CT15+CS16-DB15,IF(A16&lt;'Données projet'!$A$140,$CQ$205^A16,IF(A16='Données projet'!$A$140,'Données projet'!$B$140,CT15+CS16-DB15)))</f>
        <v>30.19887706404656</v>
      </c>
      <c r="CU16" s="18">
        <f>CT16*VLOOKUP('Données projet'!$B$13,Paramètres!$A$1:$I$89,3,0)*VLOOKUP('Données projet'!$B$13,Paramètres!$A$1:$I$89,5,0)</f>
        <v>18.844099287965054</v>
      </c>
      <c r="CV16" s="14">
        <f t="shared" si="41"/>
        <v>6.1701686386769925</v>
      </c>
      <c r="CW16" s="22">
        <f t="shared" si="13"/>
        <v>43.566516638901568</v>
      </c>
      <c r="CX16" s="62">
        <f t="shared" si="14"/>
        <v>336.8998499722349</v>
      </c>
      <c r="CY16" s="62">
        <f ca="1">AVERAGE(OFFSET($CX$3,0,0,'Données projet'!$E$13+1,1))-AVERAGE(OFFSET($H$3,0,0,'Données projet'!$E$13+1,1))</f>
        <v>175.05987582828078</v>
      </c>
      <c r="CZ16" s="62">
        <f t="shared" si="42"/>
        <v>268.54782308462387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3.8181818181818183</v>
      </c>
      <c r="DO16" s="13">
        <f>IF('Données projet'!$A$166&gt;35,DO15+DN16-DW15,IF(A16&lt;'Données projet'!$A$166,$DL$205^A16,IF(A16='Données projet'!$A$166,'Données projet'!$B$166,DO15+DN16-DW15)))</f>
        <v>13.711157625505965</v>
      </c>
      <c r="DP16" s="18">
        <f>DO16*VLOOKUP('Données projet'!$B$14,Paramètres!$A$1:$I$89,3,0)*VLOOKUP('Données projet'!$B$14,Paramètres!$A$1:$I$89,5,0)</f>
        <v>7.8427821617894127</v>
      </c>
      <c r="DQ16" s="14">
        <f t="shared" si="43"/>
        <v>2.8438447999533554</v>
      </c>
      <c r="DR16" s="22">
        <f t="shared" si="16"/>
        <v>18.612541958368652</v>
      </c>
      <c r="DS16" s="62">
        <f t="shared" si="17"/>
        <v>311.94587529170195</v>
      </c>
      <c r="DT16" s="62">
        <f ca="1">AVERAGE(OFFSET($DS$3,0,0,'Données projet'!$E$14+1,1))-AVERAGE(OFFSET($H$3,0,0,'Données projet'!$E$14+1,1))</f>
        <v>228.06050741667258</v>
      </c>
      <c r="DU16" s="62">
        <f t="shared" si="44"/>
        <v>191.94885821983536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13.8</v>
      </c>
      <c r="EJ16" s="13">
        <f>IF('Données projet'!$A$192&gt;35,EJ15+EI16-ER15,IF(A16&lt;'Données projet'!$A$192,$EG$205^A16,IF(A16='Données projet'!$A$192,'Données projet'!$B$192,EJ15+EI16-ER15)))</f>
        <v>112.4</v>
      </c>
      <c r="EK16" s="18">
        <f>EJ16*VLOOKUP('Données projet'!$B$15,Paramètres!$A$1:$I$89,3,0)*VLOOKUP('Données projet'!$B$15,Paramètres!$A$1:$I$89,5,0)</f>
        <v>101.69951999999999</v>
      </c>
      <c r="EL16" s="14">
        <f t="shared" si="45"/>
        <v>27.366486780557949</v>
      </c>
      <c r="EM16" s="22">
        <f t="shared" si="19"/>
        <v>224.78996180947172</v>
      </c>
      <c r="EN16" s="62">
        <f t="shared" si="20"/>
        <v>518.12329514280509</v>
      </c>
      <c r="EO16" s="62">
        <f ca="1">AVERAGE(OFFSET($EN$3,0,0,'Données projet'!$E$15+1,1))-AVERAGE(OFFSET($H$3,0,0,'Données projet'!$E$15+1,1))</f>
        <v>315.23521260143986</v>
      </c>
      <c r="EP16" s="62">
        <f t="shared" si="46"/>
        <v>439.11021845472641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</v>
      </c>
      <c r="N17" s="14">
        <f>IF('Données projet'!$A$36&gt;35,N16+M17-V16,IF(A17&lt;'Données projet'!$A$36,$K$205^A17,IF(A17='Données projet'!$A$36,'Données projet'!$B$36,N16+M17-V16)))</f>
        <v>35.330208180539429</v>
      </c>
      <c r="O17" s="14">
        <f>N17*VLOOKUP('Données projet'!$B$9,Paramètres!$A$1:$I$89,3,0)*VLOOKUP('Données projet'!$B$9,Paramètres!$A$1:$I$89,5,0)</f>
        <v>19.749586372921542</v>
      </c>
      <c r="P17" s="14">
        <f t="shared" si="33"/>
        <v>6.4314236383699175</v>
      </c>
      <c r="Q17" s="22">
        <f t="shared" si="2"/>
        <v>45.598592436332616</v>
      </c>
      <c r="R17" s="62">
        <f t="shared" si="0"/>
        <v>338.93192576966595</v>
      </c>
      <c r="S17" s="62">
        <f ca="1">AVERAGE(OFFSET($R$3,0,0,'Données projet'!$E$9+1,1))-AVERAGE(OFFSET($H$3,0,0,'Données projet'!$E$9+1,1))</f>
        <v>302.20483575440988</v>
      </c>
      <c r="T17" s="62">
        <f t="shared" si="34"/>
        <v>275.32862097158687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18.233859078363277</v>
      </c>
      <c r="AK17" s="14">
        <f t="shared" si="35"/>
        <v>5.9932775513027368</v>
      </c>
      <c r="AL17" s="22">
        <f t="shared" si="4"/>
        <v>42.195596296668306</v>
      </c>
      <c r="AM17" s="62">
        <f t="shared" si="5"/>
        <v>335.52892963000164</v>
      </c>
      <c r="AN17" s="62">
        <f ca="1">AVERAGE(OFFSET($AM$3,0,0,'Données projet'!$E$10+1,1))-AVERAGE(OFFSET($H$3,0,0,'Données projet'!$E$10+1,1))</f>
        <v>384.44848355636935</v>
      </c>
      <c r="AO17" s="62">
        <f t="shared" si="36"/>
        <v>203.5274665601915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20.434497242993334</v>
      </c>
      <c r="BF17" s="14">
        <f t="shared" si="37"/>
        <v>6.6281092368495731</v>
      </c>
      <c r="BG17" s="22">
        <f t="shared" si="7"/>
        <v>47.134039619059727</v>
      </c>
      <c r="BH17" s="62">
        <f t="shared" si="8"/>
        <v>340.46737295239302</v>
      </c>
      <c r="BI17" s="62">
        <f ca="1">AVERAGE(OFFSET($BH$3,0,0,'Données projet'!$E$11+1,1))-AVERAGE(OFFSET($H$3,0,0,'Données projet'!$E$11+1,1))</f>
        <v>440.60698566758532</v>
      </c>
      <c r="BJ17" s="62">
        <f t="shared" si="38"/>
        <v>231.92898690465887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5.5909090909090908</v>
      </c>
      <c r="BY17" s="13">
        <f>IF('Données projet'!$A$114&gt;35,BY16+BX17-CG16,IF(A17&lt;'Données projet'!$A$114,$BV$205^A17,IF(A17='Données projet'!$A$114,'Données projet'!$B$114,BY16+BX17-CG16)))</f>
        <v>21.376648512419013</v>
      </c>
      <c r="BZ17" s="14">
        <f>BY17*VLOOKUP('Données projet'!$B$12,Paramètres!$A$1:$I$89,3,0)*VLOOKUP('Données projet'!$B$12,Paramètres!$A$1:$I$89,5,0)</f>
        <v>12.783235810426572</v>
      </c>
      <c r="CA17" s="14">
        <f t="shared" si="39"/>
        <v>4.3790497183898731</v>
      </c>
      <c r="CB17" s="22">
        <f t="shared" si="10"/>
        <v>29.890980629355308</v>
      </c>
      <c r="CC17" s="62">
        <f t="shared" si="11"/>
        <v>323.2243139626886</v>
      </c>
      <c r="CD17" s="62">
        <f ca="1">AVERAGE(OFFSET($CC$3,0,0,'Données projet'!$E$12+1,1))-AVERAGE(OFFSET($H$3,0,0,'Données projet'!$E$12+1,1))</f>
        <v>287.29865338866551</v>
      </c>
      <c r="CE17" s="62">
        <f t="shared" si="40"/>
        <v>217.57508587672368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6.2222222222222223</v>
      </c>
      <c r="CT17" s="13">
        <f>IF('Données projet'!$A$140&gt;35,CT16+CS17-DB16,IF(A17&lt;'Données projet'!$A$140,$CQ$205^A17,IF(A17='Données projet'!$A$140,'Données projet'!$B$140,CT16+CS17-DB16)))</f>
        <v>39.249690802844427</v>
      </c>
      <c r="CU17" s="18">
        <f>CT17*VLOOKUP('Données projet'!$B$13,Paramètres!$A$1:$I$89,3,0)*VLOOKUP('Données projet'!$B$13,Paramètres!$A$1:$I$89,5,0)</f>
        <v>24.491807060974921</v>
      </c>
      <c r="CV17" s="14">
        <f t="shared" si="41"/>
        <v>7.7784106944068903</v>
      </c>
      <c r="CW17" s="22">
        <f t="shared" si="13"/>
        <v>56.203962590623313</v>
      </c>
      <c r="CX17" s="62">
        <f t="shared" si="14"/>
        <v>349.53729592395661</v>
      </c>
      <c r="CY17" s="62">
        <f ca="1">AVERAGE(OFFSET($CX$3,0,0,'Données projet'!$E$13+1,1))-AVERAGE(OFFSET($H$3,0,0,'Données projet'!$E$13+1,1))</f>
        <v>175.05987582828078</v>
      </c>
      <c r="CZ17" s="62">
        <f t="shared" si="42"/>
        <v>268.54782308462387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3.8181818181818183</v>
      </c>
      <c r="DO17" s="13">
        <f>IF('Données projet'!$A$166&gt;35,DO16+DN17-DW16,IF(A17&lt;'Données projet'!$A$166,$DL$205^A17,IF(A17='Données projet'!$A$166,'Données projet'!$B$166,DO16+DN17-DW16)))</f>
        <v>16.770320550510121</v>
      </c>
      <c r="DP17" s="18">
        <f>DO17*VLOOKUP('Données projet'!$B$14,Paramètres!$A$1:$I$89,3,0)*VLOOKUP('Données projet'!$B$14,Paramètres!$A$1:$I$89,5,0)</f>
        <v>9.5926233548917903</v>
      </c>
      <c r="DQ17" s="14">
        <f t="shared" si="43"/>
        <v>3.3977540985660379</v>
      </c>
      <c r="DR17" s="22">
        <f t="shared" si="16"/>
        <v>22.624907398105716</v>
      </c>
      <c r="DS17" s="62">
        <f t="shared" si="17"/>
        <v>315.95824073143905</v>
      </c>
      <c r="DT17" s="62">
        <f ca="1">AVERAGE(OFFSET($DS$3,0,0,'Données projet'!$E$14+1,1))-AVERAGE(OFFSET($H$3,0,0,'Données projet'!$E$14+1,1))</f>
        <v>228.06050741667258</v>
      </c>
      <c r="DU17" s="62">
        <f t="shared" si="44"/>
        <v>191.94885821983536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13.8</v>
      </c>
      <c r="EJ17" s="13">
        <f>IF('Données projet'!$A$192&gt;35,EJ16+EI17-ER16,IF(A17&lt;'Données projet'!$A$192,$EG$205^A17,IF(A17='Données projet'!$A$192,'Données projet'!$B$192,EJ16+EI17-ER16)))</f>
        <v>126.2</v>
      </c>
      <c r="EK17" s="18">
        <f>EJ17*VLOOKUP('Données projet'!$B$15,Paramètres!$A$1:$I$89,3,0)*VLOOKUP('Données projet'!$B$15,Paramètres!$A$1:$I$89,5,0)</f>
        <v>114.18576</v>
      </c>
      <c r="EL17" s="14">
        <f t="shared" si="45"/>
        <v>30.315028515433259</v>
      </c>
      <c r="EM17" s="22">
        <f t="shared" si="19"/>
        <v>251.67220666437959</v>
      </c>
      <c r="EN17" s="62">
        <f t="shared" si="20"/>
        <v>545.00553999771296</v>
      </c>
      <c r="EO17" s="62">
        <f ca="1">AVERAGE(OFFSET($EN$3,0,0,'Données projet'!$E$15+1,1))-AVERAGE(OFFSET($H$3,0,0,'Données projet'!$E$15+1,1))</f>
        <v>315.23521260143986</v>
      </c>
      <c r="EP17" s="62">
        <f t="shared" si="46"/>
        <v>439.11021845472641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</v>
      </c>
      <c r="N18" s="14">
        <f>IF('Données projet'!$A$36&gt;35,N17+M18-V17,IF(A18&lt;'Données projet'!$A$36,$K$205^A18,IF(A18='Données projet'!$A$36,'Données projet'!$B$36,N17+M18-V17)))</f>
        <v>45.575145902959399</v>
      </c>
      <c r="O18" s="14">
        <f>N18*VLOOKUP('Données projet'!$B$9,Paramètres!$A$1:$I$89,3,0)*VLOOKUP('Données projet'!$B$9,Paramètres!$A$1:$I$89,5,0)</f>
        <v>25.476506559754306</v>
      </c>
      <c r="P18" s="14">
        <f t="shared" si="33"/>
        <v>8.0541044765944179</v>
      </c>
      <c r="Q18" s="22">
        <f t="shared" si="2"/>
        <v>58.399147554974014</v>
      </c>
      <c r="R18" s="62">
        <f t="shared" si="0"/>
        <v>351.73248088830735</v>
      </c>
      <c r="S18" s="62">
        <f ca="1">AVERAGE(OFFSET($R$3,0,0,'Données projet'!$E$9+1,1))-AVERAGE(OFFSET($H$3,0,0,'Données projet'!$E$9+1,1))</f>
        <v>302.20483575440988</v>
      </c>
      <c r="T18" s="62">
        <f t="shared" si="34"/>
        <v>275.32862097158687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22.596685284210423</v>
      </c>
      <c r="AK18" s="14">
        <f t="shared" si="35"/>
        <v>7.2441259820371586</v>
      </c>
      <c r="AL18" s="22">
        <f t="shared" si="4"/>
        <v>51.972746288714539</v>
      </c>
      <c r="AM18" s="62">
        <f t="shared" si="5"/>
        <v>345.30607962204783</v>
      </c>
      <c r="AN18" s="62">
        <f ca="1">AVERAGE(OFFSET($AM$3,0,0,'Données projet'!$E$10+1,1))-AVERAGE(OFFSET($H$3,0,0,'Données projet'!$E$10+1,1))</f>
        <v>384.44848355636935</v>
      </c>
      <c r="AO18" s="62">
        <f t="shared" si="36"/>
        <v>203.5274665601915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25.323871439201337</v>
      </c>
      <c r="BF18" s="14">
        <f t="shared" si="37"/>
        <v>8.0114524854610902</v>
      </c>
      <c r="BG18" s="22">
        <f t="shared" si="7"/>
        <v>58.059022502120392</v>
      </c>
      <c r="BH18" s="62">
        <f t="shared" si="8"/>
        <v>351.39235583545371</v>
      </c>
      <c r="BI18" s="62">
        <f ca="1">AVERAGE(OFFSET($BH$3,0,0,'Données projet'!$E$11+1,1))-AVERAGE(OFFSET($H$3,0,0,'Données projet'!$E$11+1,1))</f>
        <v>440.60698566758532</v>
      </c>
      <c r="BJ18" s="62">
        <f t="shared" si="38"/>
        <v>231.92898690465887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5.5909090909090908</v>
      </c>
      <c r="BY18" s="13">
        <f>IF('Données projet'!$A$114&gt;35,BY17+BX18-CG17,IF(A18&lt;'Données projet'!$A$114,$BV$205^A18,IF(A18='Données projet'!$A$114,'Données projet'!$B$114,BY17+BX18-CG17)))</f>
        <v>26.603287217402478</v>
      </c>
      <c r="BZ18" s="14">
        <f>BY18*VLOOKUP('Données projet'!$B$12,Paramètres!$A$1:$I$89,3,0)*VLOOKUP('Données projet'!$B$12,Paramètres!$A$1:$I$89,5,0)</f>
        <v>15.908765756006684</v>
      </c>
      <c r="CA18" s="14">
        <f t="shared" si="39"/>
        <v>5.312733913945455</v>
      </c>
      <c r="CB18" s="22">
        <f t="shared" si="10"/>
        <v>36.960778591833304</v>
      </c>
      <c r="CC18" s="62">
        <f t="shared" si="11"/>
        <v>330.29411192516659</v>
      </c>
      <c r="CD18" s="62">
        <f ca="1">AVERAGE(OFFSET($CC$3,0,0,'Données projet'!$E$12+1,1))-AVERAGE(OFFSET($H$3,0,0,'Données projet'!$E$12+1,1))</f>
        <v>287.29865338866551</v>
      </c>
      <c r="CE18" s="62">
        <f t="shared" si="40"/>
        <v>217.57508587672368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6.2222222222222223</v>
      </c>
      <c r="CT18" s="13">
        <f>IF('Données projet'!$A$140&gt;35,CT17+CS18-DB17,IF(A18&lt;'Données projet'!$A$140,$CQ$205^A18,IF(A18='Données projet'!$A$140,'Données projet'!$B$140,CT17+CS18-DB17)))</f>
        <v>51.013096442350388</v>
      </c>
      <c r="CU18" s="18">
        <f>CT18*VLOOKUP('Données projet'!$B$13,Paramètres!$A$1:$I$89,3,0)*VLOOKUP('Données projet'!$B$13,Paramètres!$A$1:$I$89,5,0)</f>
        <v>31.832172180026642</v>
      </c>
      <c r="CV18" s="14">
        <f t="shared" si="41"/>
        <v>9.8058378099430179</v>
      </c>
      <c r="CW18" s="22">
        <f t="shared" si="13"/>
        <v>72.519534065863823</v>
      </c>
      <c r="CX18" s="62">
        <f t="shared" si="14"/>
        <v>365.85286739919712</v>
      </c>
      <c r="CY18" s="62">
        <f ca="1">AVERAGE(OFFSET($CX$3,0,0,'Données projet'!$E$13+1,1))-AVERAGE(OFFSET($H$3,0,0,'Données projet'!$E$13+1,1))</f>
        <v>175.05987582828078</v>
      </c>
      <c r="CZ18" s="62">
        <f t="shared" si="42"/>
        <v>268.54782308462387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3.8181818181818183</v>
      </c>
      <c r="DO18" s="13">
        <f>IF('Données projet'!$A$166&gt;35,DO17+DN18-DW17,IF(A18&lt;'Données projet'!$A$166,$DL$205^A18,IF(A18='Données projet'!$A$166,'Données projet'!$B$166,DO17+DN18-DW17)))</f>
        <v>20.512028163375717</v>
      </c>
      <c r="DP18" s="18">
        <f>DO18*VLOOKUP('Données projet'!$B$14,Paramètres!$A$1:$I$89,3,0)*VLOOKUP('Données projet'!$B$14,Paramètres!$A$1:$I$89,5,0)</f>
        <v>11.73288010945091</v>
      </c>
      <c r="DQ18" s="14">
        <f t="shared" si="43"/>
        <v>4.0595509693467333</v>
      </c>
      <c r="DR18" s="22">
        <f t="shared" si="16"/>
        <v>27.505150795572561</v>
      </c>
      <c r="DS18" s="62">
        <f t="shared" si="17"/>
        <v>320.83848412890586</v>
      </c>
      <c r="DT18" s="62">
        <f ca="1">AVERAGE(OFFSET($DS$3,0,0,'Données projet'!$E$14+1,1))-AVERAGE(OFFSET($H$3,0,0,'Données projet'!$E$14+1,1))</f>
        <v>228.06050741667258</v>
      </c>
      <c r="DU18" s="62">
        <f t="shared" si="44"/>
        <v>191.94885821983536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>
        <f>VLOOKUP(A18,'Données projet'!$A$191:$I$211,2,0)</f>
        <v>140</v>
      </c>
      <c r="EH18" s="13">
        <f>VLOOKUP(A18,'Données projet'!$A$191:$I$211,9,0)</f>
        <v>13.8</v>
      </c>
      <c r="EI18" s="13">
        <f t="array" ref="EI18">INDEX(EH:EH,MIN(IF(ISNUMBER(EH18:EH214),ROW(EH18:EH214),"")))</f>
        <v>13.8</v>
      </c>
      <c r="EJ18" s="13">
        <f>IF('Données projet'!$A$192&gt;35,EJ17+EI18-ER17,IF(A18&lt;'Données projet'!$A$192,$EG$205^A18,IF(A18='Données projet'!$A$192,'Données projet'!$B$192,EJ17+EI18-ER17)))</f>
        <v>140</v>
      </c>
      <c r="EK18" s="18">
        <f>EJ18*VLOOKUP('Données projet'!$B$15,Paramètres!$A$1:$I$89,3,0)*VLOOKUP('Données projet'!$B$15,Paramètres!$A$1:$I$89,5,0)</f>
        <v>126.67199999999998</v>
      </c>
      <c r="EL18" s="14">
        <f t="shared" si="45"/>
        <v>33.226199426361347</v>
      </c>
      <c r="EM18" s="22">
        <f t="shared" si="19"/>
        <v>278.48936400091264</v>
      </c>
      <c r="EN18" s="62">
        <f t="shared" si="20"/>
        <v>571.82269733424596</v>
      </c>
      <c r="EO18" s="62">
        <f ca="1">AVERAGE(OFFSET($EN$3,0,0,'Données projet'!$E$15+1,1))-AVERAGE(OFFSET($H$3,0,0,'Données projet'!$E$15+1,1))</f>
        <v>315.23521260143986</v>
      </c>
      <c r="EP18" s="62">
        <f t="shared" si="46"/>
        <v>439.11021845472641</v>
      </c>
      <c r="EQ18" s="16">
        <f>IF(ISNA(VLOOKUP(A18,'Données projet'!$A$191:$I$211,3,0)),0,VLOOKUP(A18,'Données projet'!$A$191:$I$211,3,0))</f>
        <v>2</v>
      </c>
      <c r="ER18" s="16">
        <f>IF(ISNA(VLOOKUP(A18,'Données projet'!$A$191:$I$211,4,0)),0,VLOOKUP(A18,'Données projet'!$A$191:$I$211,4,0))</f>
        <v>23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</v>
      </c>
      <c r="N19" s="14">
        <f>IF('Données projet'!$A$36&gt;35,N18+M19-V18,IF(A19&lt;'Données projet'!$A$36,$K$205^A19,IF(A19='Données projet'!$A$36,'Données projet'!$B$36,N18+M19-V18)))</f>
        <v>58.790877015554649</v>
      </c>
      <c r="O19" s="14">
        <f>N19*VLOOKUP('Données projet'!$B$9,Paramètres!$A$1:$I$89,3,0)*VLOOKUP('Données projet'!$B$9,Paramètres!$A$1:$I$89,5,0)</f>
        <v>32.864100251695049</v>
      </c>
      <c r="P19" s="14">
        <f t="shared" si="33"/>
        <v>10.086195929139501</v>
      </c>
      <c r="Q19" s="22">
        <f t="shared" si="2"/>
        <v>74.805099181620164</v>
      </c>
      <c r="R19" s="62">
        <f t="shared" si="0"/>
        <v>368.13843251495348</v>
      </c>
      <c r="S19" s="62">
        <f ca="1">AVERAGE(OFFSET($R$3,0,0,'Données projet'!$E$9+1,1))-AVERAGE(OFFSET($H$3,0,0,'Données projet'!$E$9+1,1))</f>
        <v>302.20483575440988</v>
      </c>
      <c r="T19" s="62">
        <f t="shared" si="34"/>
        <v>275.32862097158687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28.003407487093821</v>
      </c>
      <c r="AK19" s="14">
        <f t="shared" si="35"/>
        <v>8.7560372090925433</v>
      </c>
      <c r="AL19" s="22">
        <f t="shared" si="4"/>
        <v>64.022699512524582</v>
      </c>
      <c r="AM19" s="62">
        <f t="shared" si="5"/>
        <v>357.3560328458579</v>
      </c>
      <c r="AN19" s="62">
        <f ca="1">AVERAGE(OFFSET($AM$3,0,0,'Données projet'!$E$10+1,1))-AVERAGE(OFFSET($H$3,0,0,'Données projet'!$E$10+1,1))</f>
        <v>384.44848355636935</v>
      </c>
      <c r="AO19" s="62">
        <f t="shared" si="36"/>
        <v>203.5274665601915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31.383129080363769</v>
      </c>
      <c r="BF19" s="14">
        <f t="shared" si="37"/>
        <v>9.6835113353243223</v>
      </c>
      <c r="BG19" s="22">
        <f t="shared" si="7"/>
        <v>71.524398723990075</v>
      </c>
      <c r="BH19" s="62">
        <f t="shared" si="8"/>
        <v>364.8577320573234</v>
      </c>
      <c r="BI19" s="62">
        <f ca="1">AVERAGE(OFFSET($BH$3,0,0,'Données projet'!$E$11+1,1))-AVERAGE(OFFSET($H$3,0,0,'Données projet'!$E$11+1,1))</f>
        <v>440.60698566758532</v>
      </c>
      <c r="BJ19" s="62">
        <f t="shared" si="38"/>
        <v>231.92898690465887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5.5909090909090908</v>
      </c>
      <c r="BY19" s="13">
        <f>IF('Données projet'!$A$114&gt;35,BY18+BX19-CG18,IF(A19&lt;'Données projet'!$A$114,$BV$205^A19,IF(A19='Données projet'!$A$114,'Données projet'!$B$114,BY18+BX19-CG18)))</f>
        <v>33.107850856996748</v>
      </c>
      <c r="BZ19" s="14">
        <f>BY19*VLOOKUP('Données projet'!$B$12,Paramètres!$A$1:$I$89,3,0)*VLOOKUP('Données projet'!$B$12,Paramètres!$A$1:$I$89,5,0)</f>
        <v>19.798494812484059</v>
      </c>
      <c r="CA19" s="14">
        <f t="shared" si="39"/>
        <v>6.4454946747588586</v>
      </c>
      <c r="CB19" s="22">
        <f t="shared" si="10"/>
        <v>45.70828169028141</v>
      </c>
      <c r="CC19" s="62">
        <f t="shared" si="11"/>
        <v>339.04161502361472</v>
      </c>
      <c r="CD19" s="62">
        <f ca="1">AVERAGE(OFFSET($CC$3,0,0,'Données projet'!$E$12+1,1))-AVERAGE(OFFSET($H$3,0,0,'Données projet'!$E$12+1,1))</f>
        <v>287.29865338866551</v>
      </c>
      <c r="CE19" s="62">
        <f t="shared" si="40"/>
        <v>217.57508587672368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6.2222222222222223</v>
      </c>
      <c r="CT19" s="13">
        <f>IF('Données projet'!$A$140&gt;35,CT18+CS19-DB18,IF(A19&lt;'Données projet'!$A$140,$CQ$205^A19,IF(A19='Données projet'!$A$140,'Données projet'!$B$140,CT18+CS19-DB18)))</f>
        <v>66.302076663695672</v>
      </c>
      <c r="CU19" s="18">
        <f>CT19*VLOOKUP('Données projet'!$B$13,Paramètres!$A$1:$I$89,3,0)*VLOOKUP('Données projet'!$B$13,Paramètres!$A$1:$I$89,5,0)</f>
        <v>41.372495838146101</v>
      </c>
      <c r="CV19" s="14">
        <f t="shared" si="41"/>
        <v>12.361709728704412</v>
      </c>
      <c r="CW19" s="22">
        <f t="shared" si="13"/>
        <v>93.587074695597963</v>
      </c>
      <c r="CX19" s="62">
        <f t="shared" si="14"/>
        <v>386.92040802893126</v>
      </c>
      <c r="CY19" s="62">
        <f ca="1">AVERAGE(OFFSET($CX$3,0,0,'Données projet'!$E$13+1,1))-AVERAGE(OFFSET($H$3,0,0,'Données projet'!$E$13+1,1))</f>
        <v>175.05987582828078</v>
      </c>
      <c r="CZ19" s="62">
        <f t="shared" si="42"/>
        <v>268.54782308462387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3.8181818181818183</v>
      </c>
      <c r="DO19" s="13">
        <f>IF('Données projet'!$A$166&gt;35,DO18+DN19-DW18,IF(A19&lt;'Données projet'!$A$166,$DL$205^A19,IF(A19='Données projet'!$A$166,'Données projet'!$B$166,DO18+DN19-DW18)))</f>
        <v>25.088566322145844</v>
      </c>
      <c r="DP19" s="18">
        <f>DO19*VLOOKUP('Données projet'!$B$14,Paramètres!$A$1:$I$89,3,0)*VLOOKUP('Données projet'!$B$14,Paramètres!$A$1:$I$89,5,0)</f>
        <v>14.350659936267423</v>
      </c>
      <c r="DQ19" s="14">
        <f t="shared" si="43"/>
        <v>4.8502491924530595</v>
      </c>
      <c r="DR19" s="22">
        <f t="shared" si="16"/>
        <v>33.441583399188175</v>
      </c>
      <c r="DS19" s="62">
        <f t="shared" si="17"/>
        <v>326.77491673252149</v>
      </c>
      <c r="DT19" s="62">
        <f ca="1">AVERAGE(OFFSET($DS$3,0,0,'Données projet'!$E$14+1,1))-AVERAGE(OFFSET($H$3,0,0,'Données projet'!$E$14+1,1))</f>
        <v>228.06050741667258</v>
      </c>
      <c r="DU19" s="62">
        <f t="shared" si="44"/>
        <v>191.94885821983536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12.6</v>
      </c>
      <c r="EJ19" s="13">
        <f>IF('Données projet'!$A$192&gt;35,EJ18+EI19-ER18,IF(A19&lt;'Données projet'!$A$192,$EG$205^A19,IF(A19='Données projet'!$A$192,'Données projet'!$B$192,EJ18+EI19-ER18)))</f>
        <v>129.6</v>
      </c>
      <c r="EK19" s="18">
        <f>EJ19*VLOOKUP('Données projet'!$B$15,Paramètres!$A$1:$I$89,3,0)*VLOOKUP('Données projet'!$B$15,Paramètres!$A$1:$I$89,5,0)</f>
        <v>117.26208</v>
      </c>
      <c r="EL19" s="14">
        <f t="shared" si="45"/>
        <v>31.035569170075775</v>
      </c>
      <c r="EM19" s="22">
        <f t="shared" si="19"/>
        <v>258.28507230454863</v>
      </c>
      <c r="EN19" s="62">
        <f t="shared" si="20"/>
        <v>551.61840563788201</v>
      </c>
      <c r="EO19" s="62">
        <f ca="1">AVERAGE(OFFSET($EN$3,0,0,'Données projet'!$E$15+1,1))-AVERAGE(OFFSET($H$3,0,0,'Données projet'!$E$15+1,1))</f>
        <v>315.23521260143986</v>
      </c>
      <c r="EP19" s="62">
        <f t="shared" si="46"/>
        <v>439.11021845472641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</v>
      </c>
      <c r="N20" s="14">
        <f>IF('Données projet'!$A$36&gt;35,N19+M20-V19,IF(A20&lt;'Données projet'!$A$36,$K$205^A20,IF(A20='Données projet'!$A$36,'Données projet'!$B$36,N19+M20-V19)))</f>
        <v>75.838862427725871</v>
      </c>
      <c r="O20" s="14">
        <f>N20*VLOOKUP('Données projet'!$B$9,Paramètres!$A$1:$I$89,3,0)*VLOOKUP('Données projet'!$B$9,Paramètres!$A$1:$I$89,5,0)</f>
        <v>42.393924097098761</v>
      </c>
      <c r="P20" s="14">
        <f t="shared" si="33"/>
        <v>12.630994372698538</v>
      </c>
      <c r="Q20" s="22">
        <f t="shared" si="2"/>
        <v>95.835066334896965</v>
      </c>
      <c r="R20" s="62">
        <f t="shared" si="0"/>
        <v>389.16839966823028</v>
      </c>
      <c r="S20" s="62">
        <f ca="1">AVERAGE(OFFSET($R$3,0,0,'Données projet'!$E$9+1,1))-AVERAGE(OFFSET($H$3,0,0,'Données projet'!$E$9+1,1))</f>
        <v>302.20483575440988</v>
      </c>
      <c r="T20" s="62">
        <f t="shared" si="34"/>
        <v>275.32862097158687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34.703799297332367</v>
      </c>
      <c r="AK20" s="14">
        <f t="shared" si="35"/>
        <v>10.583497277259243</v>
      </c>
      <c r="AL20" s="22">
        <f t="shared" si="4"/>
        <v>78.875374867413711</v>
      </c>
      <c r="AM20" s="62">
        <f t="shared" si="5"/>
        <v>372.20870820074703</v>
      </c>
      <c r="AN20" s="62">
        <f ca="1">AVERAGE(OFFSET($AM$3,0,0,'Données projet'!$E$10+1,1))-AVERAGE(OFFSET($H$3,0,0,'Données projet'!$E$10+1,1))</f>
        <v>384.44848355636935</v>
      </c>
      <c r="AO20" s="62">
        <f t="shared" si="36"/>
        <v>203.5274665601915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38.892188867700071</v>
      </c>
      <c r="BF20" s="14">
        <f t="shared" si="37"/>
        <v>11.704543208803392</v>
      </c>
      <c r="BG20" s="22">
        <f t="shared" si="7"/>
        <v>88.122641699910204</v>
      </c>
      <c r="BH20" s="62">
        <f t="shared" si="8"/>
        <v>381.45597503324353</v>
      </c>
      <c r="BI20" s="62">
        <f ca="1">AVERAGE(OFFSET($BH$3,0,0,'Données projet'!$E$11+1,1))-AVERAGE(OFFSET($H$3,0,0,'Données projet'!$E$11+1,1))</f>
        <v>440.60698566758532</v>
      </c>
      <c r="BJ20" s="62">
        <f t="shared" si="38"/>
        <v>231.92898690465887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5.5909090909090908</v>
      </c>
      <c r="BY20" s="13">
        <f>IF('Données projet'!$A$114&gt;35,BY19+BX20-CG19,IF(A20&lt;'Données projet'!$A$114,$BV$205^A20,IF(A20='Données projet'!$A$114,'Données projet'!$B$114,BY19+BX20-CG19)))</f>
        <v>41.202794955809431</v>
      </c>
      <c r="BZ20" s="14">
        <f>BY20*VLOOKUP('Données projet'!$B$12,Paramètres!$A$1:$I$89,3,0)*VLOOKUP('Données projet'!$B$12,Paramètres!$A$1:$I$89,5,0)</f>
        <v>24.639271383574041</v>
      </c>
      <c r="CA20" s="14">
        <f t="shared" si="39"/>
        <v>7.8197783429910519</v>
      </c>
      <c r="CB20" s="22">
        <f t="shared" si="10"/>
        <v>56.532844940434195</v>
      </c>
      <c r="CC20" s="62">
        <f t="shared" si="11"/>
        <v>349.8661782737675</v>
      </c>
      <c r="CD20" s="62">
        <f ca="1">AVERAGE(OFFSET($CC$3,0,0,'Données projet'!$E$12+1,1))-AVERAGE(OFFSET($H$3,0,0,'Données projet'!$E$12+1,1))</f>
        <v>287.29865338866551</v>
      </c>
      <c r="CE20" s="62">
        <f t="shared" si="40"/>
        <v>217.57508587672368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6.2222222222222223</v>
      </c>
      <c r="CT20" s="13">
        <f>IF('Données projet'!$A$140&gt;35,CT19+CS20-DB19,IF(A20&lt;'Données projet'!$A$140,$CQ$205^A20,IF(A20='Données projet'!$A$140,'Données projet'!$B$140,CT19+CS20-DB19)))</f>
        <v>86.1732707185582</v>
      </c>
      <c r="CU20" s="18">
        <f>CT20*VLOOKUP('Données projet'!$B$13,Paramètres!$A$1:$I$89,3,0)*VLOOKUP('Données projet'!$B$13,Paramètres!$A$1:$I$89,5,0)</f>
        <v>53.772120928380318</v>
      </c>
      <c r="CV20" s="14">
        <f t="shared" si="41"/>
        <v>15.583764526657339</v>
      </c>
      <c r="CW20" s="22">
        <f t="shared" si="13"/>
        <v>120.79483383419057</v>
      </c>
      <c r="CX20" s="62">
        <f t="shared" si="14"/>
        <v>414.12816716752388</v>
      </c>
      <c r="CY20" s="62">
        <f ca="1">AVERAGE(OFFSET($CX$3,0,0,'Données projet'!$E$13+1,1))-AVERAGE(OFFSET($H$3,0,0,'Données projet'!$E$13+1,1))</f>
        <v>175.05987582828078</v>
      </c>
      <c r="CZ20" s="62">
        <f t="shared" si="42"/>
        <v>268.54782308462387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3.8181818181818183</v>
      </c>
      <c r="DO20" s="13">
        <f>IF('Données projet'!$A$166&gt;35,DO19+DN20-DW19,IF(A20&lt;'Données projet'!$A$166,$DL$205^A20,IF(A20='Données projet'!$A$166,'Données projet'!$B$166,DO19+DN20-DW19)))</f>
        <v>30.686198121771824</v>
      </c>
      <c r="DP20" s="18">
        <f>DO20*VLOOKUP('Données projet'!$B$14,Paramètres!$A$1:$I$89,3,0)*VLOOKUP('Données projet'!$B$14,Paramètres!$A$1:$I$89,5,0)</f>
        <v>17.552505325653485</v>
      </c>
      <c r="DQ20" s="14">
        <f t="shared" si="43"/>
        <v>5.7949555028440027</v>
      </c>
      <c r="DR20" s="22">
        <f t="shared" si="16"/>
        <v>40.663494276299794</v>
      </c>
      <c r="DS20" s="62">
        <f t="shared" si="17"/>
        <v>333.9968276096331</v>
      </c>
      <c r="DT20" s="62">
        <f ca="1">AVERAGE(OFFSET($DS$3,0,0,'Données projet'!$E$14+1,1))-AVERAGE(OFFSET($H$3,0,0,'Données projet'!$E$14+1,1))</f>
        <v>228.06050741667258</v>
      </c>
      <c r="DU20" s="62">
        <f t="shared" si="44"/>
        <v>191.94885821983536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12.6</v>
      </c>
      <c r="EJ20" s="13">
        <f>IF('Données projet'!$A$192&gt;35,EJ19+EI20-ER19,IF(A20&lt;'Données projet'!$A$192,$EG$205^A20,IF(A20='Données projet'!$A$192,'Données projet'!$B$192,EJ19+EI20-ER19)))</f>
        <v>142.19999999999999</v>
      </c>
      <c r="EK20" s="18">
        <f>EJ20*VLOOKUP('Données projet'!$B$15,Paramètres!$A$1:$I$89,3,0)*VLOOKUP('Données projet'!$B$15,Paramètres!$A$1:$I$89,5,0)</f>
        <v>128.66255999999998</v>
      </c>
      <c r="EL20" s="14">
        <f t="shared" si="45"/>
        <v>33.687130461083775</v>
      </c>
      <c r="EM20" s="22">
        <f t="shared" si="19"/>
        <v>282.75904421972086</v>
      </c>
      <c r="EN20" s="62">
        <f t="shared" si="20"/>
        <v>576.09237755305412</v>
      </c>
      <c r="EO20" s="62">
        <f ca="1">AVERAGE(OFFSET($EN$3,0,0,'Données projet'!$E$15+1,1))-AVERAGE(OFFSET($H$3,0,0,'Données projet'!$E$15+1,1))</f>
        <v>315.23521260143986</v>
      </c>
      <c r="EP20" s="62">
        <f t="shared" si="46"/>
        <v>439.11021845472641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</v>
      </c>
      <c r="N21" s="14">
        <f>IF('Données projet'!$A$36&gt;35,N20+M21-V20,IF(A21&lt;'Données projet'!$A$36,$K$205^A21,IF(A21='Données projet'!$A$36,'Données projet'!$B$36,N20+M21-V20)))</f>
        <v>97.830366653823091</v>
      </c>
      <c r="O21" s="14">
        <f>N21*VLOOKUP('Données projet'!$B$9,Paramètres!$A$1:$I$89,3,0)*VLOOKUP('Données projet'!$B$9,Paramètres!$A$1:$I$89,5,0)</f>
        <v>54.687174959487109</v>
      </c>
      <c r="P21" s="14">
        <f t="shared" si="33"/>
        <v>15.817858384271306</v>
      </c>
      <c r="Q21" s="22">
        <f t="shared" si="2"/>
        <v>122.79626640704589</v>
      </c>
      <c r="R21" s="62">
        <f t="shared" si="0"/>
        <v>416.12959974037921</v>
      </c>
      <c r="S21" s="62">
        <f ca="1">AVERAGE(OFFSET($R$3,0,0,'Données projet'!$E$9+1,1))-AVERAGE(OFFSET($H$3,0,0,'Données projet'!$E$9+1,1))</f>
        <v>302.20483575440988</v>
      </c>
      <c r="T21" s="62">
        <f t="shared" si="34"/>
        <v>275.32862097158687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43.007397804163212</v>
      </c>
      <c r="AK21" s="14">
        <f t="shared" si="35"/>
        <v>12.792363936215189</v>
      </c>
      <c r="AL21" s="22">
        <f t="shared" si="4"/>
        <v>97.184585031159045</v>
      </c>
      <c r="AM21" s="62">
        <f t="shared" si="5"/>
        <v>390.51791836449235</v>
      </c>
      <c r="AN21" s="62">
        <f ca="1">AVERAGE(OFFSET($AM$3,0,0,'Données projet'!$E$10+1,1))-AVERAGE(OFFSET($H$3,0,0,'Données projet'!$E$10+1,1))</f>
        <v>384.44848355636935</v>
      </c>
      <c r="AO21" s="62">
        <f t="shared" si="36"/>
        <v>203.5274665601915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48.197945815010499</v>
      </c>
      <c r="BF21" s="14">
        <f t="shared" si="37"/>
        <v>14.147381769152156</v>
      </c>
      <c r="BG21" s="22">
        <f t="shared" si="7"/>
        <v>108.58477887574996</v>
      </c>
      <c r="BH21" s="62">
        <f t="shared" si="8"/>
        <v>401.91811220908329</v>
      </c>
      <c r="BI21" s="62">
        <f ca="1">AVERAGE(OFFSET($BH$3,0,0,'Données projet'!$E$11+1,1))-AVERAGE(OFFSET($H$3,0,0,'Données projet'!$E$11+1,1))</f>
        <v>440.60698566758532</v>
      </c>
      <c r="BJ21" s="62">
        <f t="shared" si="38"/>
        <v>231.92898690465887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5.5909090909090908</v>
      </c>
      <c r="BY21" s="13">
        <f>IF('Données projet'!$A$114&gt;35,BY20+BX21-CG20,IF(A21&lt;'Données projet'!$A$114,$BV$205^A21,IF(A21='Données projet'!$A$114,'Données projet'!$B$114,BY20+BX21-CG20)))</f>
        <v>51.276971117915458</v>
      </c>
      <c r="BZ21" s="14">
        <f>BY21*VLOOKUP('Données projet'!$B$12,Paramètres!$A$1:$I$89,3,0)*VLOOKUP('Données projet'!$B$12,Paramètres!$A$1:$I$89,5,0)</f>
        <v>30.663628728513448</v>
      </c>
      <c r="CA21" s="14">
        <f t="shared" si="39"/>
        <v>9.4870815071768995</v>
      </c>
      <c r="CB21" s="22">
        <f t="shared" si="10"/>
        <v>69.929153660494023</v>
      </c>
      <c r="CC21" s="62">
        <f t="shared" si="11"/>
        <v>363.26248699382734</v>
      </c>
      <c r="CD21" s="62">
        <f ca="1">AVERAGE(OFFSET($CC$3,0,0,'Données projet'!$E$12+1,1))-AVERAGE(OFFSET($H$3,0,0,'Données projet'!$E$12+1,1))</f>
        <v>287.29865338866551</v>
      </c>
      <c r="CE21" s="62">
        <f t="shared" si="40"/>
        <v>217.57508587672368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>
        <f>VLOOKUP(A21,'Données projet'!$A$139:$I$159,2,0)</f>
        <v>112</v>
      </c>
      <c r="CR21" s="13">
        <f>VLOOKUP(A21,'Données projet'!$A$139:$I$159,9,0)</f>
        <v>6.2222222222222223</v>
      </c>
      <c r="CS21" s="13">
        <f t="array" ref="CS21">INDEX(CR:CR,MIN(IF(ISNUMBER(CR21:CR217),ROW(CR21:CR217),"")))</f>
        <v>6.2222222222222223</v>
      </c>
      <c r="CT21" s="13">
        <f>IF('Données projet'!$A$140&gt;35,CT20+CS21-DB20,IF(A21&lt;'Données projet'!$A$140,$CQ$205^A21,IF(A21='Données projet'!$A$140,'Données projet'!$B$140,CT20+CS21-DB20)))</f>
        <v>112</v>
      </c>
      <c r="CU21" s="18">
        <f>CT21*VLOOKUP('Données projet'!$B$13,Paramètres!$A$1:$I$89,3,0)*VLOOKUP('Données projet'!$B$13,Paramètres!$A$1:$I$89,5,0)</f>
        <v>69.888000000000005</v>
      </c>
      <c r="CV21" s="14">
        <f t="shared" si="41"/>
        <v>19.645641432461961</v>
      </c>
      <c r="CW21" s="22">
        <f t="shared" si="13"/>
        <v>155.93775882820458</v>
      </c>
      <c r="CX21" s="62">
        <f t="shared" si="14"/>
        <v>449.27109216153792</v>
      </c>
      <c r="CY21" s="62">
        <f ca="1">AVERAGE(OFFSET($CX$3,0,0,'Données projet'!$E$13+1,1))-AVERAGE(OFFSET($H$3,0,0,'Données projet'!$E$13+1,1))</f>
        <v>175.05987582828078</v>
      </c>
      <c r="CZ21" s="62">
        <f t="shared" si="42"/>
        <v>268.54782308462387</v>
      </c>
      <c r="DA21" s="16">
        <f>IF(ISNA(VLOOKUP(A21,'Données projet'!$A$139:$I$159,3,0)),0,VLOOKUP(A21,'Données projet'!$A$139:$I$159,3,0))</f>
        <v>1</v>
      </c>
      <c r="DB21" s="16">
        <f>IF(ISNA(VLOOKUP(A21,'Données projet'!$A$139:$I$159,4,0)),0,VLOOKUP(A21,'Données projet'!$A$139:$I$159,4,0))</f>
        <v>20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0.3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4.2390777219390872</v>
      </c>
      <c r="DI21" s="24">
        <f t="shared" si="15"/>
        <v>4.2390777219390872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3.8181818181818183</v>
      </c>
      <c r="DO21" s="13">
        <f>IF('Données projet'!$A$166&gt;35,DO20+DN21-DW20,IF(A21&lt;'Données projet'!$A$166,$DL$205^A21,IF(A21='Données projet'!$A$166,'Données projet'!$B$166,DO20+DN21-DW20)))</f>
        <v>37.532744720348504</v>
      </c>
      <c r="DP21" s="18">
        <f>DO21*VLOOKUP('Données projet'!$B$14,Paramètres!$A$1:$I$89,3,0)*VLOOKUP('Données projet'!$B$14,Paramètres!$A$1:$I$89,5,0)</f>
        <v>21.468729980039349</v>
      </c>
      <c r="DQ21" s="14">
        <f t="shared" si="43"/>
        <v>6.9236667947276818</v>
      </c>
      <c r="DR21" s="22">
        <f t="shared" si="16"/>
        <v>49.450091049385911</v>
      </c>
      <c r="DS21" s="62">
        <f t="shared" si="17"/>
        <v>342.7834243827192</v>
      </c>
      <c r="DT21" s="62">
        <f ca="1">AVERAGE(OFFSET($DS$3,0,0,'Données projet'!$E$14+1,1))-AVERAGE(OFFSET($H$3,0,0,'Données projet'!$E$14+1,1))</f>
        <v>228.06050741667258</v>
      </c>
      <c r="DU21" s="62">
        <f t="shared" si="44"/>
        <v>191.94885821983536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12.6</v>
      </c>
      <c r="EJ21" s="13">
        <f>IF('Données projet'!$A$192&gt;35,EJ20+EI21-ER20,IF(A21&lt;'Données projet'!$A$192,$EG$205^A21,IF(A21='Données projet'!$A$192,'Données projet'!$B$192,EJ20+EI21-ER20)))</f>
        <v>154.79999999999998</v>
      </c>
      <c r="EK21" s="18">
        <f>EJ21*VLOOKUP('Données projet'!$B$15,Paramètres!$A$1:$I$89,3,0)*VLOOKUP('Données projet'!$B$15,Paramètres!$A$1:$I$89,5,0)</f>
        <v>140.06303999999997</v>
      </c>
      <c r="EL21" s="14">
        <f t="shared" si="45"/>
        <v>36.31144669536954</v>
      </c>
      <c r="EM21" s="22">
        <f t="shared" si="19"/>
        <v>307.18556432776853</v>
      </c>
      <c r="EN21" s="62">
        <f t="shared" si="20"/>
        <v>600.51889766110185</v>
      </c>
      <c r="EO21" s="62">
        <f ca="1">AVERAGE(OFFSET($EN$3,0,0,'Données projet'!$E$15+1,1))-AVERAGE(OFFSET($H$3,0,0,'Données projet'!$E$15+1,1))</f>
        <v>315.23521260143986</v>
      </c>
      <c r="EP21" s="62">
        <f t="shared" si="46"/>
        <v>439.11021845472641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</v>
      </c>
      <c r="N22" s="14">
        <f>IF('Données projet'!$A$36&gt;35,N21+M22-V21,IF(A22&lt;'Données projet'!$A$36,$K$205^A22,IF(A22='Données projet'!$A$36,'Données projet'!$B$36,N21+M22-V21)))</f>
        <v>126.1988950420027</v>
      </c>
      <c r="O22" s="14">
        <f>N22*VLOOKUP('Données projet'!$B$9,Paramètres!$A$1:$I$89,3,0)*VLOOKUP('Données projet'!$B$9,Paramètres!$A$1:$I$89,5,0)</f>
        <v>70.545182328479513</v>
      </c>
      <c r="P22" s="14">
        <f t="shared" si="33"/>
        <v>19.808784366626785</v>
      </c>
      <c r="Q22" s="22">
        <f t="shared" si="2"/>
        <v>157.36649199397678</v>
      </c>
      <c r="R22" s="62">
        <f t="shared" si="0"/>
        <v>450.69982532731012</v>
      </c>
      <c r="S22" s="62">
        <f ca="1">AVERAGE(OFFSET($R$3,0,0,'Données projet'!$E$9+1,1))-AVERAGE(OFFSET($H$3,0,0,'Données projet'!$E$9+1,1))</f>
        <v>302.20483575440988</v>
      </c>
      <c r="T22" s="62">
        <f t="shared" si="34"/>
        <v>275.32862097158687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53.297803218557732</v>
      </c>
      <c r="AK22" s="14">
        <f t="shared" si="35"/>
        <v>15.462240012873817</v>
      </c>
      <c r="AL22" s="22">
        <f t="shared" si="4"/>
        <v>119.75707529474329</v>
      </c>
      <c r="AM22" s="62">
        <f t="shared" si="5"/>
        <v>413.0904086280766</v>
      </c>
      <c r="AN22" s="62">
        <f ca="1">AVERAGE(OFFSET($AM$3,0,0,'Données projet'!$E$10+1,1))-AVERAGE(OFFSET($H$3,0,0,'Données projet'!$E$10+1,1))</f>
        <v>384.44848355636935</v>
      </c>
      <c r="AO22" s="62">
        <f t="shared" si="36"/>
        <v>203.5274665601915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59.730296710452635</v>
      </c>
      <c r="BF22" s="14">
        <f t="shared" si="37"/>
        <v>17.100061689857345</v>
      </c>
      <c r="BG22" s="22">
        <f t="shared" si="7"/>
        <v>133.81287421387319</v>
      </c>
      <c r="BH22" s="62">
        <f t="shared" si="8"/>
        <v>427.14620754720647</v>
      </c>
      <c r="BI22" s="62">
        <f ca="1">AVERAGE(OFFSET($BH$3,0,0,'Données projet'!$E$11+1,1))-AVERAGE(OFFSET($H$3,0,0,'Données projet'!$E$11+1,1))</f>
        <v>440.60698566758532</v>
      </c>
      <c r="BJ22" s="62">
        <f t="shared" si="38"/>
        <v>231.92898690465887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5.5909090909090908</v>
      </c>
      <c r="BY22" s="13">
        <f>IF('Données projet'!$A$114&gt;35,BY21+BX22-CG21,IF(A22&lt;'Données projet'!$A$114,$BV$205^A22,IF(A22='Données projet'!$A$114,'Données projet'!$B$114,BY21+BX22-CG21)))</f>
        <v>63.814306040343304</v>
      </c>
      <c r="BZ22" s="14">
        <f>BY22*VLOOKUP('Données projet'!$B$12,Paramètres!$A$1:$I$89,3,0)*VLOOKUP('Données projet'!$B$12,Paramètres!$A$1:$I$89,5,0)</f>
        <v>38.160955012125299</v>
      </c>
      <c r="CA22" s="14">
        <f t="shared" si="39"/>
        <v>11.509880661066306</v>
      </c>
      <c r="CB22" s="22">
        <f t="shared" si="10"/>
        <v>86.510038797475374</v>
      </c>
      <c r="CC22" s="62">
        <f t="shared" si="11"/>
        <v>379.84337213080869</v>
      </c>
      <c r="CD22" s="62">
        <f ca="1">AVERAGE(OFFSET($CC$3,0,0,'Données projet'!$E$12+1,1))-AVERAGE(OFFSET($H$3,0,0,'Données projet'!$E$12+1,1))</f>
        <v>287.29865338866551</v>
      </c>
      <c r="CE22" s="62">
        <f t="shared" si="40"/>
        <v>217.57508587672368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18</v>
      </c>
      <c r="CT22" s="13">
        <f>IF('Données projet'!$A$140&gt;35,CT21+CS22-DB21,IF(A22&lt;'Données projet'!$A$140,$CQ$205^A22,IF(A22='Données projet'!$A$140,'Données projet'!$B$140,CT21+CS22-DB21)))</f>
        <v>110</v>
      </c>
      <c r="CU22" s="18">
        <f>CT22*VLOOKUP('Données projet'!$B$13,Paramètres!$A$1:$I$89,3,0)*VLOOKUP('Données projet'!$B$13,Paramètres!$A$1:$I$89,5,0)</f>
        <v>68.64</v>
      </c>
      <c r="CV22" s="14">
        <f t="shared" si="41"/>
        <v>19.335336956640202</v>
      </c>
      <c r="CW22" s="22">
        <f t="shared" si="13"/>
        <v>153.22371186614836</v>
      </c>
      <c r="CX22" s="62">
        <f t="shared" si="14"/>
        <v>446.55704519948165</v>
      </c>
      <c r="CY22" s="62">
        <f ca="1">AVERAGE(OFFSET($CX$3,0,0,'Données projet'!$E$13+1,1))-AVERAGE(OFFSET($H$3,0,0,'Données projet'!$E$13+1,1))</f>
        <v>175.05987582828078</v>
      </c>
      <c r="CZ22" s="62">
        <f t="shared" si="42"/>
        <v>268.54782308462387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2.9974806031599508</v>
      </c>
      <c r="DI22" s="24">
        <f t="shared" si="15"/>
        <v>2.9974806031599508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3.8181818181818183</v>
      </c>
      <c r="DO22" s="13">
        <f>IF('Données projet'!$A$166&gt;35,DO21+DN22-DW21,IF(A22&lt;'Données projet'!$A$166,$DL$205^A22,IF(A22='Données projet'!$A$166,'Données projet'!$B$166,DO21+DN22-DW21)))</f>
        <v>45.906857560284479</v>
      </c>
      <c r="DP22" s="18">
        <f>DO22*VLOOKUP('Données projet'!$B$14,Paramètres!$A$1:$I$89,3,0)*VLOOKUP('Données projet'!$B$14,Paramètres!$A$1:$I$89,5,0)</f>
        <v>26.258722524482721</v>
      </c>
      <c r="DQ22" s="14">
        <f t="shared" si="43"/>
        <v>8.2722226013449838</v>
      </c>
      <c r="DR22" s="22">
        <f t="shared" si="16"/>
        <v>60.141396094149911</v>
      </c>
      <c r="DS22" s="62">
        <f t="shared" si="17"/>
        <v>353.47472942748323</v>
      </c>
      <c r="DT22" s="62">
        <f ca="1">AVERAGE(OFFSET($DS$3,0,0,'Données projet'!$E$14+1,1))-AVERAGE(OFFSET($H$3,0,0,'Données projet'!$E$14+1,1))</f>
        <v>228.06050741667258</v>
      </c>
      <c r="DU22" s="62">
        <f t="shared" si="44"/>
        <v>191.94885821983536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12.6</v>
      </c>
      <c r="EJ22" s="13">
        <f>IF('Données projet'!$A$192&gt;35,EJ21+EI22-ER21,IF(A22&lt;'Données projet'!$A$192,$EG$205^A22,IF(A22='Données projet'!$A$192,'Données projet'!$B$192,EJ21+EI22-ER21)))</f>
        <v>167.39999999999998</v>
      </c>
      <c r="EK22" s="18">
        <f>EJ22*VLOOKUP('Données projet'!$B$15,Paramètres!$A$1:$I$89,3,0)*VLOOKUP('Données projet'!$B$15,Paramètres!$A$1:$I$89,5,0)</f>
        <v>151.46351999999999</v>
      </c>
      <c r="EL22" s="14">
        <f t="shared" si="45"/>
        <v>38.910987614777085</v>
      </c>
      <c r="EM22" s="22">
        <f t="shared" si="19"/>
        <v>331.56893409573678</v>
      </c>
      <c r="EN22" s="62">
        <f t="shared" si="20"/>
        <v>624.90226742907009</v>
      </c>
      <c r="EO22" s="62">
        <f ca="1">AVERAGE(OFFSET($EN$3,0,0,'Données projet'!$E$15+1,1))-AVERAGE(OFFSET($H$3,0,0,'Données projet'!$E$15+1,1))</f>
        <v>315.23521260143986</v>
      </c>
      <c r="EP22" s="62">
        <f t="shared" si="46"/>
        <v>439.11021845472641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10</v>
      </c>
      <c r="N23" s="14">
        <f>IF('Données projet'!$A$36&gt;35,N22+M23-V22,IF(A23&lt;'Données projet'!$A$36,$K$205^A23,IF(A23='Données projet'!$A$36,'Données projet'!$B$36,N22+M23-V22)))</f>
        <v>162.79363611278094</v>
      </c>
      <c r="O23" s="14">
        <f>N23*VLOOKUP('Données projet'!$B$9,Paramètres!$A$1:$I$89,3,0)*VLOOKUP('Données projet'!$B$9,Paramètres!$A$1:$I$89,5,0)</f>
        <v>91.001642587044557</v>
      </c>
      <c r="P23" s="14">
        <f t="shared" si="33"/>
        <v>24.806641237456894</v>
      </c>
      <c r="Q23" s="22">
        <f t="shared" si="2"/>
        <v>201.69942766100667</v>
      </c>
      <c r="R23" s="62">
        <f t="shared" si="0"/>
        <v>495.03276099433998</v>
      </c>
      <c r="S23" s="62">
        <f ca="1">AVERAGE(OFFSET($R$3,0,0,'Données projet'!$E$9+1,1))-AVERAGE(OFFSET($H$3,0,0,'Données projet'!$E$9+1,1))</f>
        <v>302.20483575440988</v>
      </c>
      <c r="T23" s="62">
        <f t="shared" si="34"/>
        <v>275.32862097158687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66.050399999999996</v>
      </c>
      <c r="AK23" s="14">
        <f t="shared" si="35"/>
        <v>18.689342126897891</v>
      </c>
      <c r="AL23" s="22">
        <f t="shared" si="4"/>
        <v>147.58838420434714</v>
      </c>
      <c r="AM23" s="62">
        <f t="shared" si="5"/>
        <v>440.92171753768048</v>
      </c>
      <c r="AN23" s="62">
        <f ca="1">AVERAGE(OFFSET($AM$3,0,0,'Données projet'!$E$10+1,1))-AVERAGE(OFFSET($H$3,0,0,'Données projet'!$E$10+1,1))</f>
        <v>384.44848355636935</v>
      </c>
      <c r="AO23" s="62">
        <f t="shared" si="36"/>
        <v>203.5274665601915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74.022000000000006</v>
      </c>
      <c r="BF23" s="14">
        <f t="shared" si="37"/>
        <v>20.668991235856851</v>
      </c>
      <c r="BG23" s="22">
        <f t="shared" si="7"/>
        <v>164.92014306911736</v>
      </c>
      <c r="BH23" s="62">
        <f t="shared" si="8"/>
        <v>458.2534764024507</v>
      </c>
      <c r="BI23" s="62">
        <f ca="1">AVERAGE(OFFSET($BH$3,0,0,'Données projet'!$E$11+1,1))-AVERAGE(OFFSET($H$3,0,0,'Données projet'!$E$11+1,1))</f>
        <v>440.60698566758532</v>
      </c>
      <c r="BJ23" s="62">
        <f t="shared" si="38"/>
        <v>231.92898690465887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5.5909090909090908</v>
      </c>
      <c r="BY23" s="13">
        <f>IF('Données projet'!$A$114&gt;35,BY22+BX23-CG22,IF(A23&lt;'Données projet'!$A$114,$BV$205^A23,IF(A23='Données projet'!$A$114,'Données projet'!$B$114,BY22+BX23-CG22)))</f>
        <v>79.417047587426694</v>
      </c>
      <c r="BZ23" s="14">
        <f>BY23*VLOOKUP('Données projet'!$B$12,Paramètres!$A$1:$I$89,3,0)*VLOOKUP('Données projet'!$B$12,Paramètres!$A$1:$I$89,5,0)</f>
        <v>47.49139445728116</v>
      </c>
      <c r="CA23" s="14">
        <f t="shared" si="39"/>
        <v>13.96397329692701</v>
      </c>
      <c r="CB23" s="22">
        <f t="shared" si="10"/>
        <v>107.03476550524589</v>
      </c>
      <c r="CC23" s="62">
        <f t="shared" si="11"/>
        <v>400.36809883857921</v>
      </c>
      <c r="CD23" s="62">
        <f ca="1">AVERAGE(OFFSET($CC$3,0,0,'Données projet'!$E$12+1,1))-AVERAGE(OFFSET($H$3,0,0,'Données projet'!$E$12+1,1))</f>
        <v>287.29865338866551</v>
      </c>
      <c r="CE23" s="62">
        <f t="shared" si="40"/>
        <v>217.57508587672368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18</v>
      </c>
      <c r="CT23" s="13">
        <f>IF('Données projet'!$A$140&gt;35,CT22+CS23-DB22,IF(A23&lt;'Données projet'!$A$140,$CQ$205^A23,IF(A23='Données projet'!$A$140,'Données projet'!$B$140,CT22+CS23-DB22)))</f>
        <v>128</v>
      </c>
      <c r="CU23" s="18">
        <f>CT23*VLOOKUP('Données projet'!$B$13,Paramètres!$A$1:$I$89,3,0)*VLOOKUP('Données projet'!$B$13,Paramètres!$A$1:$I$89,5,0)</f>
        <v>79.872</v>
      </c>
      <c r="CV23" s="14">
        <f t="shared" si="41"/>
        <v>22.105884547145418</v>
      </c>
      <c r="CW23" s="22">
        <f t="shared" si="13"/>
        <v>177.61148225294494</v>
      </c>
      <c r="CX23" s="62">
        <f t="shared" si="14"/>
        <v>470.94481558627825</v>
      </c>
      <c r="CY23" s="62">
        <f ca="1">AVERAGE(OFFSET($CX$3,0,0,'Données projet'!$E$13+1,1))-AVERAGE(OFFSET($H$3,0,0,'Données projet'!$E$13+1,1))</f>
        <v>175.05987582828078</v>
      </c>
      <c r="CZ23" s="62">
        <f t="shared" si="42"/>
        <v>268.54782308462387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2.119538860969544</v>
      </c>
      <c r="DI23" s="24">
        <f t="shared" si="15"/>
        <v>2.119538860969544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3.8181818181818183</v>
      </c>
      <c r="DO23" s="13">
        <f>IF('Données projet'!$A$166&gt;35,DO22+DN23-DW22,IF(A23&lt;'Données projet'!$A$166,$DL$205^A23,IF(A23='Données projet'!$A$166,'Données projet'!$B$166,DO22+DN23-DW22)))</f>
        <v>56.14935935974043</v>
      </c>
      <c r="DP23" s="18">
        <f>DO23*VLOOKUP('Données projet'!$B$14,Paramètres!$A$1:$I$89,3,0)*VLOOKUP('Données projet'!$B$14,Paramètres!$A$1:$I$89,5,0)</f>
        <v>32.117433553771527</v>
      </c>
      <c r="DQ23" s="14">
        <f t="shared" si="43"/>
        <v>9.8834430938114259</v>
      </c>
      <c r="DR23" s="22">
        <f t="shared" si="16"/>
        <v>73.151526827873639</v>
      </c>
      <c r="DS23" s="62">
        <f t="shared" si="17"/>
        <v>366.48486016120694</v>
      </c>
      <c r="DT23" s="62">
        <f ca="1">AVERAGE(OFFSET($DS$3,0,0,'Données projet'!$E$14+1,1))-AVERAGE(OFFSET($H$3,0,0,'Données projet'!$E$14+1,1))</f>
        <v>228.06050741667258</v>
      </c>
      <c r="DU23" s="62">
        <f t="shared" si="44"/>
        <v>191.94885821983536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>
        <f>VLOOKUP(A23,'Données projet'!$A$191:$I$211,2,0)</f>
        <v>180</v>
      </c>
      <c r="EH23" s="13">
        <f>VLOOKUP(A23,'Données projet'!$A$191:$I$211,9,0)</f>
        <v>12.6</v>
      </c>
      <c r="EI23" s="13">
        <f t="array" ref="EI23">INDEX(EH:EH,MIN(IF(ISNUMBER(EH23:EH219),ROW(EH23:EH219),"")))</f>
        <v>12.6</v>
      </c>
      <c r="EJ23" s="13">
        <f>IF('Données projet'!$A$192&gt;35,EJ22+EI23-ER22,IF(A23&lt;'Données projet'!$A$192,$EG$205^A23,IF(A23='Données projet'!$A$192,'Données projet'!$B$192,EJ22+EI23-ER22)))</f>
        <v>179.99999999999997</v>
      </c>
      <c r="EK23" s="18">
        <f>EJ23*VLOOKUP('Données projet'!$B$15,Paramètres!$A$1:$I$89,3,0)*VLOOKUP('Données projet'!$B$15,Paramètres!$A$1:$I$89,5,0)</f>
        <v>162.86399999999998</v>
      </c>
      <c r="EL23" s="14">
        <f t="shared" si="45"/>
        <v>41.487830069509123</v>
      </c>
      <c r="EM23" s="22">
        <f t="shared" si="19"/>
        <v>355.91277070439497</v>
      </c>
      <c r="EN23" s="62">
        <f t="shared" si="20"/>
        <v>649.24610403772829</v>
      </c>
      <c r="EO23" s="62">
        <f ca="1">AVERAGE(OFFSET($EN$3,0,0,'Données projet'!$E$15+1,1))-AVERAGE(OFFSET($H$3,0,0,'Données projet'!$E$15+1,1))</f>
        <v>315.23521260143986</v>
      </c>
      <c r="EP23" s="62">
        <f t="shared" si="46"/>
        <v>439.11021845472641</v>
      </c>
      <c r="EQ23" s="16">
        <f>IF(ISNA(VLOOKUP(A23,'Données projet'!$A$191:$I$211,3,0)),0,VLOOKUP(A23,'Données projet'!$A$191:$I$211,3,0))</f>
        <v>3</v>
      </c>
      <c r="ER23" s="16">
        <f>IF(ISNA(VLOOKUP(A23,'Données projet'!$A$191:$I$211,4,0)),0,VLOOKUP(A23,'Données projet'!$A$191:$I$211,4,0))</f>
        <v>18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210</v>
      </c>
      <c r="L24" s="13">
        <f>VLOOKUP(A24,'Données projet'!$A$35:$I$55,9,0)</f>
        <v>10</v>
      </c>
      <c r="M24" s="13">
        <f t="array" ref="M24">INDEX(L:L,MIN(IF(ISNUMBER(L24:L220),ROW(L24:L220),"")))</f>
        <v>10</v>
      </c>
      <c r="N24" s="14">
        <f>IF('Données projet'!$A$36&gt;35,N23+M24-V23,IF(A24&lt;'Données projet'!$A$36,$K$205^A24,IF(A24='Données projet'!$A$36,'Données projet'!$B$36,N23+M24-V23)))</f>
        <v>210</v>
      </c>
      <c r="O24" s="14">
        <f>N24*VLOOKUP('Données projet'!$B$9,Paramètres!$A$1:$I$89,3,0)*VLOOKUP('Données projet'!$B$9,Paramètres!$A$1:$I$89,5,0)</f>
        <v>117.39</v>
      </c>
      <c r="P24" s="14">
        <f t="shared" si="33"/>
        <v>31.065482772413461</v>
      </c>
      <c r="Q24" s="22">
        <f t="shared" si="2"/>
        <v>258.55996582862014</v>
      </c>
      <c r="R24" s="62">
        <f t="shared" si="0"/>
        <v>551.89329916195345</v>
      </c>
      <c r="S24" s="62">
        <f ca="1">AVERAGE(OFFSET($R$3,0,0,'Données projet'!$E$9+1,1))-AVERAGE(OFFSET($H$3,0,0,'Données projet'!$E$9+1,1))</f>
        <v>302.20483575440988</v>
      </c>
      <c r="T24" s="62">
        <f t="shared" si="34"/>
        <v>275.32862097158687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63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0.27500000000000002</v>
      </c>
      <c r="Y24" s="17">
        <f>IF(ISNA(VLOOKUP(A24,'Données projet'!$A$35:$I$55,7,0)),0%,VLOOKUP(A24,'Données projet'!$A$35:$I$55,7,0))</f>
        <v>0.5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12.796760722565436</v>
      </c>
      <c r="AB24" s="23">
        <f>EXP(-LN(2)/2)*AB23+(1-EXP(-LN(2)/2))/(LN(2)/2)*V24*Y24*VLOOKUP('Données projet'!$B$9,Paramètres!$A$1:$I$89,3,0)*0.475*44/12</f>
        <v>19.936912410994776</v>
      </c>
      <c r="AC24" s="24">
        <f t="shared" si="3"/>
        <v>32.73367313356021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80.2</v>
      </c>
      <c r="AJ24" s="14">
        <f>AI24*VLOOKUP('Données projet'!$B$10,Paramètres!$A$1:$I$89,3,0)*VLOOKUP('Données projet'!$B$10,Paramètres!$A$1:$I$89,5,0)</f>
        <v>72.564959999999999</v>
      </c>
      <c r="AK24" s="14">
        <f t="shared" si="35"/>
        <v>20.30908732150932</v>
      </c>
      <c r="AL24" s="22">
        <f t="shared" si="4"/>
        <v>161.75563241829539</v>
      </c>
      <c r="AM24" s="62">
        <f t="shared" si="5"/>
        <v>455.08896575162873</v>
      </c>
      <c r="AN24" s="62">
        <f ca="1">AVERAGE(OFFSET($AM$3,0,0,'Données projet'!$E$10+1,1))-AVERAGE(OFFSET($H$3,0,0,'Données projet'!$E$10+1,1))</f>
        <v>384.44848355636935</v>
      </c>
      <c r="AO24" s="62">
        <f t="shared" si="36"/>
        <v>203.5274665601915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80.2</v>
      </c>
      <c r="BE24" s="14">
        <f>BD24*VLOOKUP('Données projet'!$B$11,Paramètres!$A$1:$I$89,3,0)*VLOOKUP('Données projet'!$B$11,Paramètres!$A$1:$I$89,5,0)</f>
        <v>81.322800000000001</v>
      </c>
      <c r="BF24" s="14">
        <f t="shared" si="37"/>
        <v>22.460306254032997</v>
      </c>
      <c r="BG24" s="22">
        <f t="shared" si="7"/>
        <v>180.75557672577415</v>
      </c>
      <c r="BH24" s="62">
        <f t="shared" si="8"/>
        <v>474.08891005910743</v>
      </c>
      <c r="BI24" s="62">
        <f ca="1">AVERAGE(OFFSET($BH$3,0,0,'Données projet'!$E$11+1,1))-AVERAGE(OFFSET($H$3,0,0,'Données projet'!$E$11+1,1))</f>
        <v>440.60698566758532</v>
      </c>
      <c r="BJ24" s="62">
        <f t="shared" si="38"/>
        <v>231.92898690465887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5.5909090909090908</v>
      </c>
      <c r="BY24" s="13">
        <f>IF('Données projet'!$A$114&gt;35,BY23+BX24-CG23,IF(A24&lt;'Données projet'!$A$114,$BV$205^A24,IF(A24='Données projet'!$A$114,'Données projet'!$B$114,BY23+BX24-CG23)))</f>
        <v>98.834694582689295</v>
      </c>
      <c r="BZ24" s="14">
        <f>BY24*VLOOKUP('Données projet'!$B$12,Paramètres!$A$1:$I$89,3,0)*VLOOKUP('Données projet'!$B$12,Paramètres!$A$1:$I$89,5,0)</f>
        <v>59.103147360448204</v>
      </c>
      <c r="CA24" s="14">
        <f t="shared" si="39"/>
        <v>16.94131815778756</v>
      </c>
      <c r="CB24" s="22">
        <f t="shared" si="10"/>
        <v>132.44411077759398</v>
      </c>
      <c r="CC24" s="62">
        <f t="shared" si="11"/>
        <v>425.77744411092726</v>
      </c>
      <c r="CD24" s="62">
        <f ca="1">AVERAGE(OFFSET($CC$3,0,0,'Données projet'!$E$12+1,1))-AVERAGE(OFFSET($H$3,0,0,'Données projet'!$E$12+1,1))</f>
        <v>287.29865338866551</v>
      </c>
      <c r="CE24" s="62">
        <f t="shared" si="40"/>
        <v>217.57508587672368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>
        <f>VLOOKUP(A24,'Données projet'!$A$139:$I$159,2,0)</f>
        <v>146</v>
      </c>
      <c r="CR24" s="13">
        <f>VLOOKUP(A24,'Données projet'!$A$139:$I$159,9,0)</f>
        <v>18</v>
      </c>
      <c r="CS24" s="13">
        <f t="array" ref="CS24">INDEX(CR:CR,MIN(IF(ISNUMBER(CR24:CR220),ROW(CR24:CR220),"")))</f>
        <v>18</v>
      </c>
      <c r="CT24" s="13">
        <f>IF('Données projet'!$A$140&gt;35,CT23+CS24-DB23,IF(A24&lt;'Données projet'!$A$140,$CQ$205^A24,IF(A24='Données projet'!$A$140,'Données projet'!$B$140,CT23+CS24-DB23)))</f>
        <v>146</v>
      </c>
      <c r="CU24" s="18">
        <f>CT24*VLOOKUP('Données projet'!$B$13,Paramètres!$A$1:$I$89,3,0)*VLOOKUP('Données projet'!$B$13,Paramètres!$A$1:$I$89,5,0)</f>
        <v>91.103999999999999</v>
      </c>
      <c r="CV24" s="14">
        <f t="shared" si="41"/>
        <v>24.831293984707884</v>
      </c>
      <c r="CW24" s="22">
        <f t="shared" si="13"/>
        <v>201.92063702336623</v>
      </c>
      <c r="CX24" s="62">
        <f t="shared" si="14"/>
        <v>495.25397035669954</v>
      </c>
      <c r="CY24" s="62">
        <f ca="1">AVERAGE(OFFSET($CX$3,0,0,'Données projet'!$E$13+1,1))-AVERAGE(OFFSET($H$3,0,0,'Données projet'!$E$13+1,1))</f>
        <v>175.05987582828078</v>
      </c>
      <c r="CZ24" s="62">
        <f t="shared" si="42"/>
        <v>268.54782308462387</v>
      </c>
      <c r="DA24" s="16">
        <f>IF(ISNA(VLOOKUP(A24,'Données projet'!$A$139:$I$159,3,0)),0,VLOOKUP(A24,'Données projet'!$A$139:$I$159,3,0))</f>
        <v>2</v>
      </c>
      <c r="DB24" s="16">
        <f>IF(ISNA(VLOOKUP(A24,'Données projet'!$A$139:$I$159,4,0)),0,VLOOKUP(A24,'Données projet'!$A$139:$I$159,4,0))</f>
        <v>26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0.4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8.8464750196077269</v>
      </c>
      <c r="DI24" s="24">
        <f t="shared" si="15"/>
        <v>8.8464750196077269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3.8181818181818183</v>
      </c>
      <c r="DO24" s="13">
        <f>IF('Données projet'!$A$166&gt;35,DO23+DN24-DW23,IF(A24&lt;'Données projet'!$A$166,$DL$205^A24,IF(A24='Données projet'!$A$166,'Données projet'!$B$166,DO23+DN24-DW23)))</f>
        <v>68.677115447710747</v>
      </c>
      <c r="DP24" s="18">
        <f>DO24*VLOOKUP('Données projet'!$B$14,Paramètres!$A$1:$I$89,3,0)*VLOOKUP('Données projet'!$B$14,Paramètres!$A$1:$I$89,5,0)</f>
        <v>39.283310036090548</v>
      </c>
      <c r="DQ24" s="14">
        <f t="shared" si="43"/>
        <v>11.808488733454363</v>
      </c>
      <c r="DR24" s="22">
        <f t="shared" si="16"/>
        <v>88.98488285695737</v>
      </c>
      <c r="DS24" s="62">
        <f t="shared" si="17"/>
        <v>382.31821619029068</v>
      </c>
      <c r="DT24" s="62">
        <f ca="1">AVERAGE(OFFSET($DS$3,0,0,'Données projet'!$E$14+1,1))-AVERAGE(OFFSET($H$3,0,0,'Données projet'!$E$14+1,1))</f>
        <v>228.06050741667258</v>
      </c>
      <c r="DU24" s="62">
        <f t="shared" si="44"/>
        <v>191.94885821983536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10.4</v>
      </c>
      <c r="EJ24" s="13">
        <f>IF('Données projet'!$A$192&gt;35,EJ23+EI24-ER23,IF(A24&lt;'Données projet'!$A$192,$EG$205^A24,IF(A24='Données projet'!$A$192,'Données projet'!$B$192,EJ23+EI24-ER23)))</f>
        <v>172.39999999999998</v>
      </c>
      <c r="EK24" s="18">
        <f>EJ24*VLOOKUP('Données projet'!$B$15,Paramètres!$A$1:$I$89,3,0)*VLOOKUP('Données projet'!$B$15,Paramètres!$A$1:$I$89,5,0)</f>
        <v>155.98751999999996</v>
      </c>
      <c r="EL24" s="14">
        <f t="shared" si="45"/>
        <v>39.936155927663087</v>
      </c>
      <c r="EM24" s="22">
        <f t="shared" si="19"/>
        <v>341.23373557401311</v>
      </c>
      <c r="EN24" s="62">
        <f t="shared" si="20"/>
        <v>634.56706890734642</v>
      </c>
      <c r="EO24" s="62">
        <f ca="1">AVERAGE(OFFSET($EN$3,0,0,'Données projet'!$E$15+1,1))-AVERAGE(OFFSET($H$3,0,0,'Données projet'!$E$15+1,1))</f>
        <v>315.23521260143986</v>
      </c>
      <c r="EP24" s="62">
        <f t="shared" si="46"/>
        <v>439.11021845472641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19</v>
      </c>
      <c r="N25" s="14">
        <f>IF('Données projet'!$A$36&gt;35,N24+M25-V24,IF(A25&lt;'Données projet'!$A$36,$K$205^A25,IF(A25='Données projet'!$A$36,'Données projet'!$B$36,N24+M25-V24)))</f>
        <v>166</v>
      </c>
      <c r="O25" s="14">
        <f>N25*VLOOKUP('Données projet'!$B$9,Paramètres!$A$1:$I$89,3,0)*VLOOKUP('Données projet'!$B$9,Paramètres!$A$1:$I$89,5,0)</f>
        <v>92.793999999999997</v>
      </c>
      <c r="P25" s="14">
        <f t="shared" si="33"/>
        <v>25.237866858098691</v>
      </c>
      <c r="Q25" s="22">
        <f t="shared" si="2"/>
        <v>205.57216811118852</v>
      </c>
      <c r="R25" s="62">
        <f t="shared" si="0"/>
        <v>498.90550144452186</v>
      </c>
      <c r="S25" s="62">
        <f ca="1">AVERAGE(OFFSET($R$3,0,0,'Données projet'!$E$9+1,1))-AVERAGE(OFFSET($H$3,0,0,'Données projet'!$E$9+1,1))</f>
        <v>302.20483575440988</v>
      </c>
      <c r="T25" s="62">
        <f t="shared" si="34"/>
        <v>275.32862097158687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12.446832627654485</v>
      </c>
      <c r="AB25" s="23">
        <f>EXP(-LN(2)/2)*AB24+(1-EXP(-LN(2)/2))/(LN(2)/2)*V25*Y25*VLOOKUP('Données projet'!$B$9,Paramètres!$A$1:$I$89,3,0)*0.475*44/12</f>
        <v>14.097525961736647</v>
      </c>
      <c r="AC25" s="24">
        <f t="shared" si="3"/>
        <v>26.54435858939113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87.4</v>
      </c>
      <c r="AJ25" s="14">
        <f>AI25*VLOOKUP('Données projet'!$B$10,Paramètres!$A$1:$I$89,3,0)*VLOOKUP('Données projet'!$B$10,Paramètres!$A$1:$I$89,5,0)</f>
        <v>79.079520000000002</v>
      </c>
      <c r="AK25" s="14">
        <f t="shared" si="35"/>
        <v>21.911970621402002</v>
      </c>
      <c r="AL25" s="22">
        <f t="shared" si="4"/>
        <v>175.89351283227515</v>
      </c>
      <c r="AM25" s="62">
        <f t="shared" si="5"/>
        <v>469.22684616560844</v>
      </c>
      <c r="AN25" s="62">
        <f ca="1">AVERAGE(OFFSET($AM$3,0,0,'Données projet'!$E$10+1,1))-AVERAGE(OFFSET($H$3,0,0,'Données projet'!$E$10+1,1))</f>
        <v>384.44848355636935</v>
      </c>
      <c r="AO25" s="62">
        <f t="shared" si="36"/>
        <v>203.5274665601915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87.4</v>
      </c>
      <c r="BE25" s="14">
        <f>BD25*VLOOKUP('Données projet'!$B$11,Paramètres!$A$1:$I$89,3,0)*VLOOKUP('Données projet'!$B$11,Paramètres!$A$1:$I$89,5,0)</f>
        <v>88.62360000000001</v>
      </c>
      <c r="BF25" s="14">
        <f t="shared" si="37"/>
        <v>24.232973298845781</v>
      </c>
      <c r="BG25" s="22">
        <f t="shared" si="7"/>
        <v>196.55853182882308</v>
      </c>
      <c r="BH25" s="62">
        <f t="shared" si="8"/>
        <v>489.89186516215636</v>
      </c>
      <c r="BI25" s="62">
        <f ca="1">AVERAGE(OFFSET($BH$3,0,0,'Données projet'!$E$11+1,1))-AVERAGE(OFFSET($H$3,0,0,'Données projet'!$E$11+1,1))</f>
        <v>440.60698566758532</v>
      </c>
      <c r="BJ25" s="62">
        <f t="shared" si="38"/>
        <v>231.92898690465887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>
        <f>VLOOKUP(A25,'Données projet'!$A$113:$I$133,2,0)</f>
        <v>123</v>
      </c>
      <c r="BW25" s="13">
        <f>VLOOKUP(A25,'Données projet'!$A$113:$I$133,9,0)</f>
        <v>5.5909090909090908</v>
      </c>
      <c r="BX25" s="13">
        <f t="array" ref="BX25">INDEX(BW:BW,MIN(IF(ISNUMBER(BW25:BW221),ROW(BW25:BW221),"")))</f>
        <v>5.5909090909090908</v>
      </c>
      <c r="BY25" s="13">
        <f>IF('Données projet'!$A$114&gt;35,BY24+BX25-CG24,IF(A25&lt;'Données projet'!$A$114,$BV$205^A25,IF(A25='Données projet'!$A$114,'Données projet'!$B$114,BY24+BX25-CG24)))</f>
        <v>123</v>
      </c>
      <c r="BZ25" s="14">
        <f>BY25*VLOOKUP('Données projet'!$B$12,Paramètres!$A$1:$I$89,3,0)*VLOOKUP('Données projet'!$B$12,Paramètres!$A$1:$I$89,5,0)</f>
        <v>73.554000000000016</v>
      </c>
      <c r="CA25" s="14">
        <f t="shared" si="39"/>
        <v>20.553481077376691</v>
      </c>
      <c r="CB25" s="22">
        <f t="shared" si="10"/>
        <v>163.90386287643108</v>
      </c>
      <c r="CC25" s="62">
        <f t="shared" si="11"/>
        <v>457.23719620976442</v>
      </c>
      <c r="CD25" s="62">
        <f ca="1">AVERAGE(OFFSET($CC$3,0,0,'Données projet'!$E$12+1,1))-AVERAGE(OFFSET($H$3,0,0,'Données projet'!$E$12+1,1))</f>
        <v>287.29865338866551</v>
      </c>
      <c r="CE25" s="62">
        <f t="shared" si="40"/>
        <v>217.57508587672368</v>
      </c>
      <c r="CF25" s="16">
        <f>IF(ISNA(VLOOKUP(A25,'Données projet'!$A$113:$I$133,3,0)),0,VLOOKUP(A25,'Données projet'!$A$113:$I$133,3,0))</f>
        <v>1</v>
      </c>
      <c r="CG25" s="16">
        <f>IF(ISNA(VLOOKUP(A25,'Données projet'!$A$113:$I$133,4,0)),0,VLOOKUP(A25,'Données projet'!$A$113:$I$133,4,0))</f>
        <v>16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0.22500000000000001</v>
      </c>
      <c r="CJ25" s="17">
        <f>IF(ISNA(VLOOKUP(A25,'Données projet'!$A$113:$I$133,7,0)),0%,VLOOKUP(A25,'Données projet'!$A$113:$I$133,7,0))</f>
        <v>0.5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2.8445834768372578</v>
      </c>
      <c r="CM25" s="23">
        <f>EXP(-LN(2)/2)*CM24+(1-EXP(-LN(2)/2))/(LN(2)/2)*CG25*CJ25*VLOOKUP('Données projet'!$B$12,Paramètres!$A$1:$I$89,3,0)*0.475*44/12</f>
        <v>5.4165993113666131</v>
      </c>
      <c r="CN25" s="24">
        <f t="shared" si="12"/>
        <v>8.2611827882038718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16</v>
      </c>
      <c r="CT25" s="13">
        <f>IF('Données projet'!$A$140&gt;35,CT24+CS25-DB24,IF(A25&lt;'Données projet'!$A$140,$CQ$205^A25,IF(A25='Données projet'!$A$140,'Données projet'!$B$140,CT24+CS25-DB24)))</f>
        <v>136</v>
      </c>
      <c r="CU25" s="18">
        <f>CT25*VLOOKUP('Données projet'!$B$13,Paramètres!$A$1:$I$89,3,0)*VLOOKUP('Données projet'!$B$13,Paramètres!$A$1:$I$89,5,0)</f>
        <v>84.864000000000004</v>
      </c>
      <c r="CV25" s="14">
        <f t="shared" si="41"/>
        <v>23.322341364766192</v>
      </c>
      <c r="CW25" s="22">
        <f t="shared" si="13"/>
        <v>188.42454454363443</v>
      </c>
      <c r="CX25" s="62">
        <f t="shared" si="14"/>
        <v>481.75787787696777</v>
      </c>
      <c r="CY25" s="62">
        <f ca="1">AVERAGE(OFFSET($CX$3,0,0,'Données projet'!$E$13+1,1))-AVERAGE(OFFSET($H$3,0,0,'Données projet'!$E$13+1,1))</f>
        <v>175.05987582828078</v>
      </c>
      <c r="CZ25" s="62">
        <f t="shared" si="42"/>
        <v>268.54782308462387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6.2554024759620201</v>
      </c>
      <c r="DI25" s="24">
        <f t="shared" si="15"/>
        <v>6.2554024759620201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>
        <f>VLOOKUP(A25,'Données projet'!$A$165:$I$185,2,0)</f>
        <v>84</v>
      </c>
      <c r="DM25" s="13">
        <f>VLOOKUP(A25,'Données projet'!$A$165:$I$185,9,0)</f>
        <v>3.8181818181818183</v>
      </c>
      <c r="DN25" s="13">
        <f t="array" ref="DN25">INDEX(DM:DM,MIN(IF(ISNUMBER(DM25:DM221),ROW(DM25:DM221),"")))</f>
        <v>3.8181818181818183</v>
      </c>
      <c r="DO25" s="13">
        <f>IF('Données projet'!$A$166&gt;35,DO24+DN25-DW24,IF(A25&lt;'Données projet'!$A$166,$DL$205^A25,IF(A25='Données projet'!$A$166,'Données projet'!$B$166,DO24+DN25-DW24)))</f>
        <v>84</v>
      </c>
      <c r="DP25" s="18">
        <f>DO25*VLOOKUP('Données projet'!$B$14,Paramètres!$A$1:$I$89,3,0)*VLOOKUP('Données projet'!$B$14,Paramètres!$A$1:$I$89,5,0)</f>
        <v>48.048000000000002</v>
      </c>
      <c r="DQ25" s="14">
        <f t="shared" si="43"/>
        <v>14.108484750160615</v>
      </c>
      <c r="DR25" s="22">
        <f t="shared" si="16"/>
        <v>108.25587760652974</v>
      </c>
      <c r="DS25" s="62">
        <f t="shared" si="17"/>
        <v>401.58921093986305</v>
      </c>
      <c r="DT25" s="62">
        <f ca="1">AVERAGE(OFFSET($DS$3,0,0,'Données projet'!$E$14+1,1))-AVERAGE(OFFSET($H$3,0,0,'Données projet'!$E$14+1,1))</f>
        <v>228.06050741667258</v>
      </c>
      <c r="DU25" s="62">
        <f t="shared" si="44"/>
        <v>191.94885821983536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10.4</v>
      </c>
      <c r="EJ25" s="13">
        <f>IF('Données projet'!$A$192&gt;35,EJ24+EI25-ER24,IF(A25&lt;'Données projet'!$A$192,$EG$205^A25,IF(A25='Données projet'!$A$192,'Données projet'!$B$192,EJ24+EI25-ER24)))</f>
        <v>182.79999999999998</v>
      </c>
      <c r="EK25" s="18">
        <f>EJ25*VLOOKUP('Données projet'!$B$15,Paramètres!$A$1:$I$89,3,0)*VLOOKUP('Données projet'!$B$15,Paramètres!$A$1:$I$89,5,0)</f>
        <v>165.39743999999999</v>
      </c>
      <c r="EL25" s="14">
        <f t="shared" si="45"/>
        <v>42.057562385840804</v>
      </c>
      <c r="EM25" s="22">
        <f t="shared" si="19"/>
        <v>361.31746248867267</v>
      </c>
      <c r="EN25" s="62">
        <f t="shared" si="20"/>
        <v>654.65079582200599</v>
      </c>
      <c r="EO25" s="62">
        <f ca="1">AVERAGE(OFFSET($EN$3,0,0,'Données projet'!$E$15+1,1))-AVERAGE(OFFSET($H$3,0,0,'Données projet'!$E$15+1,1))</f>
        <v>315.23521260143986</v>
      </c>
      <c r="EP25" s="62">
        <f t="shared" si="46"/>
        <v>439.11021845472641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19</v>
      </c>
      <c r="N26" s="14">
        <f>IF('Données projet'!$A$36&gt;35,N25+M26-V25,IF(A26&lt;'Données projet'!$A$36,$K$205^A26,IF(A26='Données projet'!$A$36,'Données projet'!$B$36,N25+M26-V25)))</f>
        <v>185</v>
      </c>
      <c r="O26" s="14">
        <f>N26*VLOOKUP('Données projet'!$B$9,Paramètres!$A$1:$I$89,3,0)*VLOOKUP('Données projet'!$B$9,Paramètres!$A$1:$I$89,5,0)</f>
        <v>103.41500000000001</v>
      </c>
      <c r="P26" s="14">
        <f t="shared" si="33"/>
        <v>27.773977384564439</v>
      </c>
      <c r="Q26" s="22">
        <f t="shared" si="2"/>
        <v>228.48746894478305</v>
      </c>
      <c r="R26" s="62">
        <f t="shared" si="0"/>
        <v>521.82080227811639</v>
      </c>
      <c r="S26" s="62">
        <f ca="1">AVERAGE(OFFSET($R$3,0,0,'Données projet'!$E$9+1,1))-AVERAGE(OFFSET($H$3,0,0,'Données projet'!$E$9+1,1))</f>
        <v>302.20483575440988</v>
      </c>
      <c r="T26" s="62">
        <f t="shared" si="34"/>
        <v>275.32862097158687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12.106473334900793</v>
      </c>
      <c r="AB26" s="23">
        <f>EXP(-LN(2)/2)*AB25+(1-EXP(-LN(2)/2))/(LN(2)/2)*V26*Y26*VLOOKUP('Données projet'!$B$9,Paramètres!$A$1:$I$89,3,0)*0.475*44/12</f>
        <v>9.9684562054973895</v>
      </c>
      <c r="AC26" s="24">
        <f t="shared" si="3"/>
        <v>22.07492954039818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94.600000000000009</v>
      </c>
      <c r="AJ26" s="14">
        <f>AI26*VLOOKUP('Données projet'!$B$10,Paramètres!$A$1:$I$89,3,0)*VLOOKUP('Données projet'!$B$10,Paramètres!$A$1:$I$89,5,0)</f>
        <v>85.594080000000005</v>
      </c>
      <c r="AK26" s="14">
        <f t="shared" si="35"/>
        <v>23.499539031833248</v>
      </c>
      <c r="AL26" s="22">
        <f t="shared" si="4"/>
        <v>190.00471981377623</v>
      </c>
      <c r="AM26" s="62">
        <f t="shared" si="5"/>
        <v>483.33805314710958</v>
      </c>
      <c r="AN26" s="62">
        <f ca="1">AVERAGE(OFFSET($AM$3,0,0,'Données projet'!$E$10+1,1))-AVERAGE(OFFSET($H$3,0,0,'Données projet'!$E$10+1,1))</f>
        <v>384.44848355636935</v>
      </c>
      <c r="AO26" s="62">
        <f t="shared" si="36"/>
        <v>203.5274665601915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94.600000000000009</v>
      </c>
      <c r="BE26" s="14">
        <f>BD26*VLOOKUP('Données projet'!$B$11,Paramètres!$A$1:$I$89,3,0)*VLOOKUP('Données projet'!$B$11,Paramètres!$A$1:$I$89,5,0)</f>
        <v>95.92440000000002</v>
      </c>
      <c r="BF26" s="14">
        <f t="shared" si="37"/>
        <v>25.988703240473907</v>
      </c>
      <c r="BG26" s="22">
        <f t="shared" si="7"/>
        <v>212.33198814382544</v>
      </c>
      <c r="BH26" s="62">
        <f t="shared" si="8"/>
        <v>505.66532147715873</v>
      </c>
      <c r="BI26" s="62">
        <f ca="1">AVERAGE(OFFSET($BH$3,0,0,'Données projet'!$E$11+1,1))-AVERAGE(OFFSET($H$3,0,0,'Données projet'!$E$11+1,1))</f>
        <v>440.60698566758532</v>
      </c>
      <c r="BJ26" s="62">
        <f t="shared" si="38"/>
        <v>231.92898690465887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12.333333333333334</v>
      </c>
      <c r="BY26" s="13">
        <f>IF('Données projet'!$A$114&gt;35,BY25+BX26-CG25,IF(A26&lt;'Données projet'!$A$114,$BV$205^A26,IF(A26='Données projet'!$A$114,'Données projet'!$B$114,BY25+BX26-CG25)))</f>
        <v>119.33333333333334</v>
      </c>
      <c r="BZ26" s="14">
        <f>BY26*VLOOKUP('Données projet'!$B$12,Paramètres!$A$1:$I$89,3,0)*VLOOKUP('Données projet'!$B$12,Paramètres!$A$1:$I$89,5,0)</f>
        <v>71.361333333333349</v>
      </c>
      <c r="CA26" s="14">
        <f t="shared" si="39"/>
        <v>20.011144716858571</v>
      </c>
      <c r="CB26" s="22">
        <f t="shared" si="10"/>
        <v>159.14039927075092</v>
      </c>
      <c r="CC26" s="62">
        <f t="shared" si="11"/>
        <v>452.47373260408426</v>
      </c>
      <c r="CD26" s="62">
        <f ca="1">AVERAGE(OFFSET($CC$3,0,0,'Données projet'!$E$12+1,1))-AVERAGE(OFFSET($H$3,0,0,'Données projet'!$E$12+1,1))</f>
        <v>287.29865338866551</v>
      </c>
      <c r="CE26" s="62">
        <f t="shared" si="40"/>
        <v>217.57508587672368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2.7667981920729994</v>
      </c>
      <c r="CM26" s="23">
        <f>EXP(-LN(2)/2)*CM25+(1-EXP(-LN(2)/2))/(LN(2)/2)*CG26*CJ26*VLOOKUP('Données projet'!$B$12,Paramètres!$A$1:$I$89,3,0)*0.475*44/12</f>
        <v>3.8301141040377158</v>
      </c>
      <c r="CN26" s="24">
        <f t="shared" si="12"/>
        <v>6.5969122961107152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16</v>
      </c>
      <c r="CT26" s="13">
        <f>IF('Données projet'!$A$140&gt;35,CT25+CS26-DB25,IF(A26&lt;'Données projet'!$A$140,$CQ$205^A26,IF(A26='Données projet'!$A$140,'Données projet'!$B$140,CT25+CS26-DB25)))</f>
        <v>152</v>
      </c>
      <c r="CU26" s="18">
        <f>CT26*VLOOKUP('Données projet'!$B$13,Paramètres!$A$1:$I$89,3,0)*VLOOKUP('Données projet'!$B$13,Paramètres!$A$1:$I$89,5,0)</f>
        <v>94.847999999999999</v>
      </c>
      <c r="CV26" s="14">
        <f t="shared" si="41"/>
        <v>25.730851751939202</v>
      </c>
      <c r="CW26" s="22">
        <f t="shared" si="13"/>
        <v>210.0081668012941</v>
      </c>
      <c r="CX26" s="62">
        <f t="shared" si="14"/>
        <v>503.34150013462738</v>
      </c>
      <c r="CY26" s="62">
        <f ca="1">AVERAGE(OFFSET($CX$3,0,0,'Données projet'!$E$13+1,1))-AVERAGE(OFFSET($H$3,0,0,'Données projet'!$E$13+1,1))</f>
        <v>175.05987582828078</v>
      </c>
      <c r="CZ26" s="62">
        <f t="shared" si="42"/>
        <v>268.54782308462387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4.4232375098038643</v>
      </c>
      <c r="DI26" s="24">
        <f t="shared" si="15"/>
        <v>4.4232375098038643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15.666666666666666</v>
      </c>
      <c r="DO26" s="13">
        <f>IF('Données projet'!$A$166&gt;35,DO25+DN26-DW25,IF(A26&lt;'Données projet'!$A$166,$DL$205^A26,IF(A26='Données projet'!$A$166,'Données projet'!$B$166,DO25+DN26-DW25)))</f>
        <v>99.666666666666671</v>
      </c>
      <c r="DP26" s="18">
        <f>DO26*VLOOKUP('Données projet'!$B$14,Paramètres!$A$1:$I$89,3,0)*VLOOKUP('Données projet'!$B$14,Paramètres!$A$1:$I$89,5,0)</f>
        <v>57.009333333333345</v>
      </c>
      <c r="DQ26" s="14">
        <f t="shared" si="43"/>
        <v>16.409899347168675</v>
      </c>
      <c r="DR26" s="22">
        <f t="shared" si="16"/>
        <v>127.87183025187436</v>
      </c>
      <c r="DS26" s="62">
        <f t="shared" si="17"/>
        <v>421.20516358520769</v>
      </c>
      <c r="DT26" s="62">
        <f ca="1">AVERAGE(OFFSET($DS$3,0,0,'Données projet'!$E$14+1,1))-AVERAGE(OFFSET($H$3,0,0,'Données projet'!$E$14+1,1))</f>
        <v>228.06050741667258</v>
      </c>
      <c r="DU26" s="62">
        <f t="shared" si="44"/>
        <v>191.94885821983536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10.4</v>
      </c>
      <c r="EJ26" s="13">
        <f>IF('Données projet'!$A$192&gt;35,EJ25+EI26-ER25,IF(A26&lt;'Données projet'!$A$192,$EG$205^A26,IF(A26='Données projet'!$A$192,'Données projet'!$B$192,EJ25+EI26-ER25)))</f>
        <v>193.2</v>
      </c>
      <c r="EK26" s="18">
        <f>EJ26*VLOOKUP('Données projet'!$B$15,Paramètres!$A$1:$I$89,3,0)*VLOOKUP('Données projet'!$B$15,Paramètres!$A$1:$I$89,5,0)</f>
        <v>174.80735999999999</v>
      </c>
      <c r="EL26" s="14">
        <f t="shared" si="45"/>
        <v>44.164958649772579</v>
      </c>
      <c r="EM26" s="22">
        <f t="shared" si="19"/>
        <v>381.37678831502052</v>
      </c>
      <c r="EN26" s="62">
        <f t="shared" si="20"/>
        <v>674.71012164835383</v>
      </c>
      <c r="EO26" s="62">
        <f ca="1">AVERAGE(OFFSET($EN$3,0,0,'Données projet'!$E$15+1,1))-AVERAGE(OFFSET($H$3,0,0,'Données projet'!$E$15+1,1))</f>
        <v>315.23521260143986</v>
      </c>
      <c r="EP26" s="62">
        <f t="shared" si="46"/>
        <v>439.11021845472641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19</v>
      </c>
      <c r="N27" s="14">
        <f>IF('Données projet'!$A$36&gt;35,N26+M27-V26,IF(A27&lt;'Données projet'!$A$36,$K$205^A27,IF(A27='Données projet'!$A$36,'Données projet'!$B$36,N26+M27-V26)))</f>
        <v>204</v>
      </c>
      <c r="O27" s="14">
        <f>N27*VLOOKUP('Données projet'!$B$9,Paramètres!$A$1:$I$89,3,0)*VLOOKUP('Données projet'!$B$9,Paramètres!$A$1:$I$89,5,0)</f>
        <v>114.036</v>
      </c>
      <c r="P27" s="14">
        <f t="shared" si="33"/>
        <v>30.279894261296121</v>
      </c>
      <c r="Q27" s="22">
        <f t="shared" si="2"/>
        <v>251.35018250509077</v>
      </c>
      <c r="R27" s="62">
        <f t="shared" si="0"/>
        <v>544.68351583842411</v>
      </c>
      <c r="S27" s="62">
        <f ca="1">AVERAGE(OFFSET($R$3,0,0,'Données projet'!$E$9+1,1))-AVERAGE(OFFSET($H$3,0,0,'Données projet'!$E$9+1,1))</f>
        <v>302.20483575440988</v>
      </c>
      <c r="T27" s="62">
        <f t="shared" si="34"/>
        <v>275.32862097158687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11.775421184906168</v>
      </c>
      <c r="AB27" s="23">
        <f>EXP(-LN(2)/2)*AB26+(1-EXP(-LN(2)/2))/(LN(2)/2)*V27*Y27*VLOOKUP('Données projet'!$B$9,Paramètres!$A$1:$I$89,3,0)*0.475*44/12</f>
        <v>7.0487629808683252</v>
      </c>
      <c r="AC27" s="24">
        <f t="shared" si="3"/>
        <v>18.824184165774493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101.80000000000001</v>
      </c>
      <c r="AJ27" s="14">
        <f>AI27*VLOOKUP('Données projet'!$B$10,Paramètres!$A$1:$I$89,3,0)*VLOOKUP('Données projet'!$B$10,Paramètres!$A$1:$I$89,5,0)</f>
        <v>92.108640000000008</v>
      </c>
      <c r="AK27" s="14">
        <f t="shared" si="35"/>
        <v>25.073090701604293</v>
      </c>
      <c r="AL27" s="22">
        <f t="shared" si="4"/>
        <v>204.09151430529414</v>
      </c>
      <c r="AM27" s="62">
        <f t="shared" si="5"/>
        <v>497.42484763862745</v>
      </c>
      <c r="AN27" s="62">
        <f ca="1">AVERAGE(OFFSET($AM$3,0,0,'Données projet'!$E$10+1,1))-AVERAGE(OFFSET($H$3,0,0,'Données projet'!$E$10+1,1))</f>
        <v>384.44848355636935</v>
      </c>
      <c r="AO27" s="62">
        <f t="shared" si="36"/>
        <v>203.5274665601915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101.80000000000001</v>
      </c>
      <c r="BE27" s="14">
        <f>BD27*VLOOKUP('Données projet'!$B$11,Paramètres!$A$1:$I$89,3,0)*VLOOKUP('Données projet'!$B$11,Paramètres!$A$1:$I$89,5,0)</f>
        <v>103.22520000000003</v>
      </c>
      <c r="BF27" s="14">
        <f t="shared" si="37"/>
        <v>27.728931732779014</v>
      </c>
      <c r="BG27" s="22">
        <f t="shared" si="7"/>
        <v>228.07844610125684</v>
      </c>
      <c r="BH27" s="62">
        <f t="shared" si="8"/>
        <v>521.41177943459013</v>
      </c>
      <c r="BI27" s="62">
        <f ca="1">AVERAGE(OFFSET($BH$3,0,0,'Données projet'!$E$11+1,1))-AVERAGE(OFFSET($H$3,0,0,'Données projet'!$E$11+1,1))</f>
        <v>440.60698566758532</v>
      </c>
      <c r="BJ27" s="62">
        <f t="shared" si="38"/>
        <v>231.92898690465887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12.333333333333334</v>
      </c>
      <c r="BY27" s="13">
        <f>IF('Données projet'!$A$114&gt;35,BY26+BX27-CG26,IF(A27&lt;'Données projet'!$A$114,$BV$205^A27,IF(A27='Données projet'!$A$114,'Données projet'!$B$114,BY26+BX27-CG26)))</f>
        <v>131.66666666666669</v>
      </c>
      <c r="BZ27" s="14">
        <f>BY27*VLOOKUP('Données projet'!$B$12,Paramètres!$A$1:$I$89,3,0)*VLOOKUP('Données projet'!$B$12,Paramètres!$A$1:$I$89,5,0)</f>
        <v>78.736666666666679</v>
      </c>
      <c r="CA27" s="14">
        <f t="shared" si="39"/>
        <v>21.828006984037064</v>
      </c>
      <c r="CB27" s="22">
        <f t="shared" si="10"/>
        <v>175.15013994164235</v>
      </c>
      <c r="CC27" s="62">
        <f t="shared" si="11"/>
        <v>468.48347327497567</v>
      </c>
      <c r="CD27" s="62">
        <f ca="1">AVERAGE(OFFSET($CC$3,0,0,'Données projet'!$E$12+1,1))-AVERAGE(OFFSET($H$3,0,0,'Données projet'!$E$12+1,1))</f>
        <v>287.29865338866551</v>
      </c>
      <c r="CE27" s="62">
        <f t="shared" si="40"/>
        <v>217.57508587672368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2.6911399500111699</v>
      </c>
      <c r="CM27" s="23">
        <f>EXP(-LN(2)/2)*CM26+(1-EXP(-LN(2)/2))/(LN(2)/2)*CG27*CJ27*VLOOKUP('Données projet'!$B$12,Paramètres!$A$1:$I$89,3,0)*0.475*44/12</f>
        <v>2.708299655683307</v>
      </c>
      <c r="CN27" s="24">
        <f t="shared" si="12"/>
        <v>5.3994396056944769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>
        <f>VLOOKUP(A27,'Données projet'!$A$139:$I$159,2,0)</f>
        <v>168</v>
      </c>
      <c r="CR27" s="13">
        <f>VLOOKUP(A27,'Données projet'!$A$139:$I$159,9,0)</f>
        <v>16</v>
      </c>
      <c r="CS27" s="13">
        <f t="array" ref="CS27">INDEX(CR:CR,MIN(IF(ISNUMBER(CR27:CR223),ROW(CR27:CR223),"")))</f>
        <v>16</v>
      </c>
      <c r="CT27" s="13">
        <f>IF('Données projet'!$A$140&gt;35,CT26+CS27-DB26,IF(A27&lt;'Données projet'!$A$140,$CQ$205^A27,IF(A27='Données projet'!$A$140,'Données projet'!$B$140,CT26+CS27-DB26)))</f>
        <v>168</v>
      </c>
      <c r="CU27" s="18">
        <f>CT27*VLOOKUP('Données projet'!$B$13,Paramètres!$A$1:$I$89,3,0)*VLOOKUP('Données projet'!$B$13,Paramètres!$A$1:$I$89,5,0)</f>
        <v>104.83200000000001</v>
      </c>
      <c r="CV27" s="14">
        <f t="shared" si="41"/>
        <v>28.109974371137717</v>
      </c>
      <c r="CW27" s="22">
        <f t="shared" si="13"/>
        <v>231.54060536306486</v>
      </c>
      <c r="CX27" s="62">
        <f t="shared" si="14"/>
        <v>524.87393869639823</v>
      </c>
      <c r="CY27" s="62">
        <f ca="1">AVERAGE(OFFSET($CX$3,0,0,'Données projet'!$E$13+1,1))-AVERAGE(OFFSET($H$3,0,0,'Données projet'!$E$13+1,1))</f>
        <v>175.05987582828078</v>
      </c>
      <c r="CZ27" s="62">
        <f t="shared" si="42"/>
        <v>268.54782308462387</v>
      </c>
      <c r="DA27" s="16">
        <f>IF(ISNA(VLOOKUP(A27,'Données projet'!$A$139:$I$159,3,0)),0,VLOOKUP(A27,'Données projet'!$A$139:$I$159,3,0))</f>
        <v>3</v>
      </c>
      <c r="DB27" s="16">
        <f>IF(ISNA(VLOOKUP(A27,'Données projet'!$A$139:$I$159,4,0)),0,VLOOKUP(A27,'Données projet'!$A$139:$I$159,4,0))</f>
        <v>29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0.06</v>
      </c>
      <c r="DE27" s="17">
        <f>IF(ISNA(VLOOKUP(A27,'Données projet'!$A$139:$I$159,7,0)),0%,VLOOKUP(A27,'Données projet'!$A$139:$I$159,7,0))</f>
        <v>0.4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1.4346594926657472</v>
      </c>
      <c r="DH27" s="23">
        <f>EXP(-LN(2)/2)*DH26+(1-EXP(-LN(2)/2))/(LN(2)/2)*DB27*DE27*VLOOKUP('Données projet'!$B$13,Paramètres!$A$1:$I$89,3,0)*0.475*44/12</f>
        <v>11.323251500396582</v>
      </c>
      <c r="DI27" s="24">
        <f t="shared" si="15"/>
        <v>12.757910993062328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15.666666666666666</v>
      </c>
      <c r="DO27" s="13">
        <f>IF('Données projet'!$A$166&gt;35,DO26+DN27-DW26,IF(A27&lt;'Données projet'!$A$166,$DL$205^A27,IF(A27='Données projet'!$A$166,'Données projet'!$B$166,DO26+DN27-DW26)))</f>
        <v>115.33333333333334</v>
      </c>
      <c r="DP27" s="18">
        <f>DO27*VLOOKUP('Données projet'!$B$14,Paramètres!$A$1:$I$89,3,0)*VLOOKUP('Données projet'!$B$14,Paramètres!$A$1:$I$89,5,0)</f>
        <v>65.970666666666673</v>
      </c>
      <c r="DQ27" s="14">
        <f t="shared" si="43"/>
        <v>18.669405819805228</v>
      </c>
      <c r="DR27" s="22">
        <f t="shared" si="16"/>
        <v>147.41479291393856</v>
      </c>
      <c r="DS27" s="62">
        <f t="shared" si="17"/>
        <v>440.7481262472719</v>
      </c>
      <c r="DT27" s="62">
        <f ca="1">AVERAGE(OFFSET($DS$3,0,0,'Données projet'!$E$14+1,1))-AVERAGE(OFFSET($H$3,0,0,'Données projet'!$E$14+1,1))</f>
        <v>228.06050741667258</v>
      </c>
      <c r="DU27" s="62">
        <f t="shared" si="44"/>
        <v>191.94885821983536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10.4</v>
      </c>
      <c r="EJ27" s="13">
        <f>IF('Données projet'!$A$192&gt;35,EJ26+EI27-ER26,IF(A27&lt;'Données projet'!$A$192,$EG$205^A27,IF(A27='Données projet'!$A$192,'Données projet'!$B$192,EJ26+EI27-ER26)))</f>
        <v>203.6</v>
      </c>
      <c r="EK27" s="18">
        <f>EJ27*VLOOKUP('Données projet'!$B$15,Paramètres!$A$1:$I$89,3,0)*VLOOKUP('Données projet'!$B$15,Paramètres!$A$1:$I$89,5,0)</f>
        <v>184.21727999999999</v>
      </c>
      <c r="EL27" s="14">
        <f t="shared" si="45"/>
        <v>46.25918487744358</v>
      </c>
      <c r="EM27" s="22">
        <f t="shared" si="19"/>
        <v>401.41317632821421</v>
      </c>
      <c r="EN27" s="62">
        <f t="shared" si="20"/>
        <v>694.74650966154752</v>
      </c>
      <c r="EO27" s="62">
        <f ca="1">AVERAGE(OFFSET($EN$3,0,0,'Données projet'!$E$15+1,1))-AVERAGE(OFFSET($H$3,0,0,'Données projet'!$E$15+1,1))</f>
        <v>315.23521260143986</v>
      </c>
      <c r="EP27" s="62">
        <f t="shared" si="46"/>
        <v>439.11021845472641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19</v>
      </c>
      <c r="N28" s="14">
        <f>IF('Données projet'!$A$36&gt;35,N27+M28-V27,IF(A28&lt;'Données projet'!$A$36,$K$205^A28,IF(A28='Données projet'!$A$36,'Données projet'!$B$36,N27+M28-V27)))</f>
        <v>223</v>
      </c>
      <c r="O28" s="14">
        <f>N28*VLOOKUP('Données projet'!$B$9,Paramètres!$A$1:$I$89,3,0)*VLOOKUP('Données projet'!$B$9,Paramètres!$A$1:$I$89,5,0)</f>
        <v>124.65700000000001</v>
      </c>
      <c r="P28" s="14">
        <f t="shared" si="33"/>
        <v>32.758749517288294</v>
      </c>
      <c r="Q28" s="22">
        <f t="shared" si="2"/>
        <v>274.16576374261041</v>
      </c>
      <c r="R28" s="62">
        <f t="shared" si="0"/>
        <v>567.49909707594372</v>
      </c>
      <c r="S28" s="62">
        <f ca="1">AVERAGE(OFFSET($R$3,0,0,'Données projet'!$E$9+1,1))-AVERAGE(OFFSET($H$3,0,0,'Données projet'!$E$9+1,1))</f>
        <v>302.20483575440988</v>
      </c>
      <c r="T28" s="62">
        <f t="shared" si="34"/>
        <v>275.32862097158687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11.453421673362422</v>
      </c>
      <c r="AB28" s="23">
        <f>EXP(-LN(2)/2)*AB27+(1-EXP(-LN(2)/2))/(LN(2)/2)*V28*Y28*VLOOKUP('Données projet'!$B$9,Paramètres!$A$1:$I$89,3,0)*0.475*44/12</f>
        <v>4.9842281027486957</v>
      </c>
      <c r="AC28" s="24">
        <f t="shared" si="3"/>
        <v>16.437649776111119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109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109.00000000000001</v>
      </c>
      <c r="AJ28" s="14">
        <f>AI28*VLOOKUP('Données projet'!$B$10,Paramètres!$A$1:$I$89,3,0)*VLOOKUP('Données projet'!$B$10,Paramètres!$A$1:$I$89,5,0)</f>
        <v>98.623200000000011</v>
      </c>
      <c r="AK28" s="14">
        <f t="shared" si="35"/>
        <v>26.633729748944933</v>
      </c>
      <c r="AL28" s="22">
        <f t="shared" si="4"/>
        <v>218.15581931274576</v>
      </c>
      <c r="AM28" s="62">
        <f t="shared" si="5"/>
        <v>511.48915264607911</v>
      </c>
      <c r="AN28" s="62">
        <f ca="1">AVERAGE(OFFSET($AM$3,0,0,'Données projet'!$E$10+1,1))-AVERAGE(OFFSET($H$3,0,0,'Données projet'!$E$10+1,1))</f>
        <v>384.44848355636935</v>
      </c>
      <c r="AO28" s="62">
        <f t="shared" si="36"/>
        <v>203.5274665601915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34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109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109.00000000000001</v>
      </c>
      <c r="BE28" s="14">
        <f>BD28*VLOOKUP('Données projet'!$B$11,Paramètres!$A$1:$I$89,3,0)*VLOOKUP('Données projet'!$B$11,Paramètres!$A$1:$I$89,5,0)</f>
        <v>110.52600000000001</v>
      </c>
      <c r="BF28" s="14">
        <f t="shared" si="37"/>
        <v>29.454879846564946</v>
      </c>
      <c r="BG28" s="22">
        <f t="shared" si="7"/>
        <v>243.80003239943395</v>
      </c>
      <c r="BH28" s="62">
        <f t="shared" si="8"/>
        <v>537.13336573276729</v>
      </c>
      <c r="BI28" s="62">
        <f ca="1">AVERAGE(OFFSET($BH$3,0,0,'Données projet'!$E$11+1,1))-AVERAGE(OFFSET($H$3,0,0,'Données projet'!$E$11+1,1))</f>
        <v>440.60698566758532</v>
      </c>
      <c r="BJ28" s="62">
        <f t="shared" si="38"/>
        <v>231.92898690465887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34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144</v>
      </c>
      <c r="BW28" s="13">
        <f>VLOOKUP(A28,'Données projet'!$A$113:$I$133,9,0)</f>
        <v>12.333333333333334</v>
      </c>
      <c r="BX28" s="13">
        <f t="array" ref="BX28">INDEX(BW:BW,MIN(IF(ISNUMBER(BW28:BW224),ROW(BW28:BW224),"")))</f>
        <v>12.333333333333334</v>
      </c>
      <c r="BY28" s="13">
        <f>IF('Données projet'!$A$114&gt;35,BY27+BX28-CG27,IF(A28&lt;'Données projet'!$A$114,$BV$205^A28,IF(A28='Données projet'!$A$114,'Données projet'!$B$114,BY27+BX28-CG27)))</f>
        <v>144.00000000000003</v>
      </c>
      <c r="BZ28" s="14">
        <f>BY28*VLOOKUP('Données projet'!$B$12,Paramètres!$A$1:$I$89,3,0)*VLOOKUP('Données projet'!$B$12,Paramètres!$A$1:$I$89,5,0)</f>
        <v>86.112000000000009</v>
      </c>
      <c r="CA28" s="14">
        <f t="shared" si="39"/>
        <v>23.625136642852297</v>
      </c>
      <c r="CB28" s="22">
        <f t="shared" si="10"/>
        <v>191.12551298630106</v>
      </c>
      <c r="CC28" s="62">
        <f t="shared" si="11"/>
        <v>484.4588463196344</v>
      </c>
      <c r="CD28" s="62">
        <f ca="1">AVERAGE(OFFSET($CC$3,0,0,'Données projet'!$E$12+1,1))-AVERAGE(OFFSET($H$3,0,0,'Données projet'!$E$12+1,1))</f>
        <v>287.29865338866551</v>
      </c>
      <c r="CE28" s="62">
        <f t="shared" si="40"/>
        <v>217.57508587672368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17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0.22500000000000001</v>
      </c>
      <c r="CJ28" s="17">
        <f>IF(ISNA(VLOOKUP(A28,'Données projet'!$A$113:$I$133,7,0)),0%,VLOOKUP(A28,'Données projet'!$A$113:$I$133,7,0))</f>
        <v>0.5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5.6399205306968021</v>
      </c>
      <c r="CM28" s="23">
        <f>EXP(-LN(2)/2)*CM27+(1-EXP(-LN(2)/2))/(LN(2)/2)*CG28*CJ28*VLOOKUP('Données projet'!$B$12,Paramètres!$A$1:$I$89,3,0)*0.475*44/12</f>
        <v>7.6701938203458848</v>
      </c>
      <c r="CN28" s="24">
        <f t="shared" si="12"/>
        <v>13.310114351042687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14.166666666666666</v>
      </c>
      <c r="CT28" s="13">
        <f>IF('Données projet'!$A$140&gt;35,CT27+CS28-DB27,IF(A28&lt;'Données projet'!$A$140,$CQ$205^A28,IF(A28='Données projet'!$A$140,'Données projet'!$B$140,CT27+CS28-DB27)))</f>
        <v>153.16666666666666</v>
      </c>
      <c r="CU28" s="18">
        <f>CT28*VLOOKUP('Données projet'!$B$13,Paramètres!$A$1:$I$89,3,0)*VLOOKUP('Données projet'!$B$13,Paramètres!$A$1:$I$89,5,0)</f>
        <v>95.575999999999993</v>
      </c>
      <c r="CV28" s="14">
        <f t="shared" si="41"/>
        <v>25.905281107545633</v>
      </c>
      <c r="CW28" s="22">
        <f t="shared" si="13"/>
        <v>211.57989792897527</v>
      </c>
      <c r="CX28" s="62">
        <f t="shared" si="14"/>
        <v>504.91323126230861</v>
      </c>
      <c r="CY28" s="62">
        <f ca="1">AVERAGE(OFFSET($CX$3,0,0,'Données projet'!$E$13+1,1))-AVERAGE(OFFSET($H$3,0,0,'Données projet'!$E$13+1,1))</f>
        <v>175.05987582828078</v>
      </c>
      <c r="CZ28" s="62">
        <f t="shared" si="42"/>
        <v>268.54782308462387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1.3954286533933387</v>
      </c>
      <c r="DH28" s="23">
        <f>EXP(-LN(2)/2)*DH27+(1-EXP(-LN(2)/2))/(LN(2)/2)*DB28*DE28*VLOOKUP('Données projet'!$B$13,Paramètres!$A$1:$I$89,3,0)*0.475*44/12</f>
        <v>8.0067479210111721</v>
      </c>
      <c r="DI28" s="24">
        <f t="shared" si="15"/>
        <v>9.4021765744045105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131</v>
      </c>
      <c r="DM28" s="13">
        <f>VLOOKUP(A28,'Données projet'!$A$165:$I$185,9,0)</f>
        <v>15.666666666666666</v>
      </c>
      <c r="DN28" s="13">
        <f t="array" ref="DN28">INDEX(DM:DM,MIN(IF(ISNUMBER(DM28:DM224),ROW(DM28:DM224),"")))</f>
        <v>15.666666666666666</v>
      </c>
      <c r="DO28" s="13">
        <f>IF('Données projet'!$A$166&gt;35,DO27+DN28-DW27,IF(A28&lt;'Données projet'!$A$166,$DL$205^A28,IF(A28='Données projet'!$A$166,'Données projet'!$B$166,DO27+DN28-DW27)))</f>
        <v>131</v>
      </c>
      <c r="DP28" s="18">
        <f>DO28*VLOOKUP('Données projet'!$B$14,Paramètres!$A$1:$I$89,3,0)*VLOOKUP('Données projet'!$B$14,Paramètres!$A$1:$I$89,5,0)</f>
        <v>74.932000000000002</v>
      </c>
      <c r="DQ28" s="14">
        <f t="shared" si="43"/>
        <v>20.89335159903294</v>
      </c>
      <c r="DR28" s="22">
        <f t="shared" si="16"/>
        <v>166.89582070164903</v>
      </c>
      <c r="DS28" s="62">
        <f t="shared" si="17"/>
        <v>460.22915403498234</v>
      </c>
      <c r="DT28" s="62">
        <f ca="1">AVERAGE(OFFSET($DS$3,0,0,'Données projet'!$E$14+1,1))-AVERAGE(OFFSET($H$3,0,0,'Données projet'!$E$14+1,1))</f>
        <v>228.06050741667258</v>
      </c>
      <c r="DU28" s="62">
        <f t="shared" si="44"/>
        <v>191.94885821983536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21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0.22500000000000001</v>
      </c>
      <c r="DZ28" s="17">
        <f>IF(ISNA(VLOOKUP(A28,'Données projet'!$A$165:$I$185,7,0)),0%,VLOOKUP(A28,'Données projet'!$A$165:$I$185,7,0))</f>
        <v>0.5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3.5711890388554708</v>
      </c>
      <c r="EC28" s="23">
        <f>EXP(-LN(2)/2)*EC27+(1-EXP(-LN(2)/2))/(LN(2)/2)*DW28*DZ28*VLOOKUP('Données projet'!$B$14,Paramètres!$A$1:$I$89,3,0)*0.475*44/12</f>
        <v>6.8001871789439541</v>
      </c>
      <c r="ED28" s="24">
        <f t="shared" si="18"/>
        <v>10.371376217799424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>
        <f>VLOOKUP(A28,'Données projet'!$A$191:$I$211,2,0)</f>
        <v>214</v>
      </c>
      <c r="EH28" s="13">
        <f>VLOOKUP(A28,'Données projet'!$A$191:$I$211,9,0)</f>
        <v>10.4</v>
      </c>
      <c r="EI28" s="13">
        <f t="array" ref="EI28">INDEX(EH:EH,MIN(IF(ISNUMBER(EH28:EH224),ROW(EH28:EH224),"")))</f>
        <v>10.4</v>
      </c>
      <c r="EJ28" s="13">
        <f>IF('Données projet'!$A$192&gt;35,EJ27+EI28-ER27,IF(A28&lt;'Données projet'!$A$192,$EG$205^A28,IF(A28='Données projet'!$A$192,'Données projet'!$B$192,EJ27+EI28-ER27)))</f>
        <v>214</v>
      </c>
      <c r="EK28" s="18">
        <f>EJ28*VLOOKUP('Données projet'!$B$15,Paramètres!$A$1:$I$89,3,0)*VLOOKUP('Données projet'!$B$15,Paramètres!$A$1:$I$89,5,0)</f>
        <v>193.62719999999999</v>
      </c>
      <c r="EL28" s="14">
        <f t="shared" si="45"/>
        <v>48.340990547231193</v>
      </c>
      <c r="EM28" s="22">
        <f t="shared" si="19"/>
        <v>421.42793186976093</v>
      </c>
      <c r="EN28" s="62">
        <f t="shared" si="20"/>
        <v>714.76126520309424</v>
      </c>
      <c r="EO28" s="62">
        <f ca="1">AVERAGE(OFFSET($EN$3,0,0,'Données projet'!$E$15+1,1))-AVERAGE(OFFSET($H$3,0,0,'Données projet'!$E$15+1,1))</f>
        <v>315.23521260143986</v>
      </c>
      <c r="EP28" s="62">
        <f t="shared" si="46"/>
        <v>439.11021845472641</v>
      </c>
      <c r="EQ28" s="16">
        <f>IF(ISNA(VLOOKUP(A28,'Données projet'!$A$191:$I$211,3,0)),0,VLOOKUP(A28,'Données projet'!$A$191:$I$211,3,0))</f>
        <v>4</v>
      </c>
      <c r="ER28" s="16">
        <f>IF(ISNA(VLOOKUP(A28,'Données projet'!$A$191:$I$211,4,0)),0,VLOOKUP(A28,'Données projet'!$A$191:$I$211,4,0))</f>
        <v>14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19</v>
      </c>
      <c r="N29" s="14">
        <f>IF('Données projet'!$A$36&gt;35,N28+M29-V28,IF(A29&lt;'Données projet'!$A$36,$K$205^A29,IF(A29='Données projet'!$A$36,'Données projet'!$B$36,N28+M29-V28)))</f>
        <v>242</v>
      </c>
      <c r="O29" s="14">
        <f>N29*VLOOKUP('Données projet'!$B$9,Paramètres!$A$1:$I$89,3,0)*VLOOKUP('Données projet'!$B$9,Paramètres!$A$1:$I$89,5,0)</f>
        <v>135.27800000000002</v>
      </c>
      <c r="P29" s="14">
        <f t="shared" si="33"/>
        <v>35.213110998543605</v>
      </c>
      <c r="Q29" s="22">
        <f t="shared" si="2"/>
        <v>296.93868498913014</v>
      </c>
      <c r="R29" s="62">
        <f t="shared" si="0"/>
        <v>590.27201832246351</v>
      </c>
      <c r="S29" s="62">
        <f ca="1">AVERAGE(OFFSET($R$3,0,0,'Données projet'!$E$9+1,1))-AVERAGE(OFFSET($H$3,0,0,'Données projet'!$E$9+1,1))</f>
        <v>302.20483575440988</v>
      </c>
      <c r="T29" s="62">
        <f t="shared" si="34"/>
        <v>275.32862097158687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11.140227255395057</v>
      </c>
      <c r="AB29" s="23">
        <f>EXP(-LN(2)/2)*AB28+(1-EXP(-LN(2)/2))/(LN(2)/2)*V29*Y29*VLOOKUP('Données projet'!$B$9,Paramètres!$A$1:$I$89,3,0)*0.475*44/12</f>
        <v>3.524381490434163</v>
      </c>
      <c r="AC29" s="24">
        <f t="shared" si="3"/>
        <v>14.66460874582922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76.184160000000006</v>
      </c>
      <c r="AK29" s="14">
        <f t="shared" si="35"/>
        <v>21.201554232857223</v>
      </c>
      <c r="AL29" s="22">
        <f t="shared" si="4"/>
        <v>169.613452288893</v>
      </c>
      <c r="AM29" s="62">
        <f t="shared" si="5"/>
        <v>462.94678562222634</v>
      </c>
      <c r="AN29" s="62">
        <f ca="1">AVERAGE(OFFSET($AM$3,0,0,'Données projet'!$E$10+1,1))-AVERAGE(OFFSET($H$3,0,0,'Données projet'!$E$10+1,1))</f>
        <v>384.44848355636935</v>
      </c>
      <c r="AO29" s="62">
        <f t="shared" si="36"/>
        <v>203.5274665601915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85.378800000000027</v>
      </c>
      <c r="BF29" s="14">
        <f t="shared" si="37"/>
        <v>23.447306793896516</v>
      </c>
      <c r="BG29" s="22">
        <f t="shared" si="7"/>
        <v>189.53880266603645</v>
      </c>
      <c r="BH29" s="62">
        <f t="shared" si="8"/>
        <v>482.87213599936979</v>
      </c>
      <c r="BI29" s="62">
        <f ca="1">AVERAGE(OFFSET($BH$3,0,0,'Données projet'!$E$11+1,1))-AVERAGE(OFFSET($H$3,0,0,'Données projet'!$E$11+1,1))</f>
        <v>440.60698566758532</v>
      </c>
      <c r="BJ29" s="62">
        <f t="shared" si="38"/>
        <v>231.92898690465887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13.4</v>
      </c>
      <c r="BY29" s="13">
        <f>IF('Données projet'!$A$114&gt;35,BY28+BX29-CG28,IF(A29&lt;'Données projet'!$A$114,$BV$205^A29,IF(A29='Données projet'!$A$114,'Données projet'!$B$114,BY28+BX29-CG28)))</f>
        <v>140.40000000000003</v>
      </c>
      <c r="BZ29" s="14">
        <f>BY29*VLOOKUP('Données projet'!$B$12,Paramètres!$A$1:$I$89,3,0)*VLOOKUP('Données projet'!$B$12,Paramètres!$A$1:$I$89,5,0)</f>
        <v>83.959200000000024</v>
      </c>
      <c r="CA29" s="14">
        <f t="shared" si="39"/>
        <v>23.102490880810642</v>
      </c>
      <c r="CB29" s="22">
        <f t="shared" si="10"/>
        <v>186.46577828407854</v>
      </c>
      <c r="CC29" s="62">
        <f t="shared" si="11"/>
        <v>479.79911161741188</v>
      </c>
      <c r="CD29" s="62">
        <f ca="1">AVERAGE(OFFSET($CC$3,0,0,'Données projet'!$E$12+1,1))-AVERAGE(OFFSET($H$3,0,0,'Données projet'!$E$12+1,1))</f>
        <v>287.29865338866551</v>
      </c>
      <c r="CE29" s="62">
        <f t="shared" si="40"/>
        <v>217.57508587672368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5.4856966071943676</v>
      </c>
      <c r="CM29" s="23">
        <f>EXP(-LN(2)/2)*CM28+(1-EXP(-LN(2)/2))/(LN(2)/2)*CG29*CJ29*VLOOKUP('Données projet'!$B$12,Paramètres!$A$1:$I$89,3,0)*0.475*44/12</f>
        <v>5.4236460633817272</v>
      </c>
      <c r="CN29" s="24">
        <f t="shared" si="12"/>
        <v>10.909342670576095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14.166666666666666</v>
      </c>
      <c r="CT29" s="13">
        <f>IF('Données projet'!$A$140&gt;35,CT28+CS29-DB28,IF(A29&lt;'Données projet'!$A$140,$CQ$205^A29,IF(A29='Données projet'!$A$140,'Données projet'!$B$140,CT28+CS29-DB28)))</f>
        <v>167.33333333333331</v>
      </c>
      <c r="CU29" s="18">
        <f>CT29*VLOOKUP('Données projet'!$B$13,Paramètres!$A$1:$I$89,3,0)*VLOOKUP('Données projet'!$B$13,Paramètres!$A$1:$I$89,5,0)</f>
        <v>104.416</v>
      </c>
      <c r="CV29" s="14">
        <f t="shared" si="41"/>
        <v>28.01138818767625</v>
      </c>
      <c r="CW29" s="22">
        <f t="shared" si="13"/>
        <v>230.64436776020281</v>
      </c>
      <c r="CX29" s="62">
        <f t="shared" si="14"/>
        <v>523.9777010935361</v>
      </c>
      <c r="CY29" s="62">
        <f ca="1">AVERAGE(OFFSET($CX$3,0,0,'Données projet'!$E$13+1,1))-AVERAGE(OFFSET($H$3,0,0,'Données projet'!$E$13+1,1))</f>
        <v>175.05987582828078</v>
      </c>
      <c r="CZ29" s="62">
        <f t="shared" si="42"/>
        <v>268.54782308462387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1.3572705834838943</v>
      </c>
      <c r="DH29" s="23">
        <f>EXP(-LN(2)/2)*DH28+(1-EXP(-LN(2)/2))/(LN(2)/2)*DB29*DE29*VLOOKUP('Données projet'!$B$13,Paramètres!$A$1:$I$89,3,0)*0.475*44/12</f>
        <v>5.6616257501982918</v>
      </c>
      <c r="DI29" s="24">
        <f t="shared" si="15"/>
        <v>7.0188963336821857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14.4</v>
      </c>
      <c r="DO29" s="13">
        <f>IF('Données projet'!$A$166&gt;35,DO28+DN29-DW28,IF(A29&lt;'Données projet'!$A$166,$DL$205^A29,IF(A29='Données projet'!$A$166,'Données projet'!$B$166,DO28+DN29-DW28)))</f>
        <v>124.4</v>
      </c>
      <c r="DP29" s="18">
        <f>DO29*VLOOKUP('Données projet'!$B$14,Paramètres!$A$1:$I$89,3,0)*VLOOKUP('Données projet'!$B$14,Paramètres!$A$1:$I$89,5,0)</f>
        <v>71.156800000000004</v>
      </c>
      <c r="DQ29" s="14">
        <f t="shared" si="43"/>
        <v>19.960457167255548</v>
      </c>
      <c r="DR29" s="22">
        <f t="shared" si="16"/>
        <v>158.69588956630341</v>
      </c>
      <c r="DS29" s="62">
        <f t="shared" si="17"/>
        <v>452.02922289963669</v>
      </c>
      <c r="DT29" s="62">
        <f ca="1">AVERAGE(OFFSET($DS$3,0,0,'Données projet'!$E$14+1,1))-AVERAGE(OFFSET($H$3,0,0,'Données projet'!$E$14+1,1))</f>
        <v>228.06050741667258</v>
      </c>
      <c r="DU29" s="62">
        <f t="shared" si="44"/>
        <v>191.94885821983536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3.4735346867872985</v>
      </c>
      <c r="EC29" s="23">
        <f>EXP(-LN(2)/2)*EC28+(1-EXP(-LN(2)/2))/(LN(2)/2)*DW29*DZ29*VLOOKUP('Données projet'!$B$14,Paramètres!$A$1:$I$89,3,0)*0.475*44/12</f>
        <v>4.8084584675690891</v>
      </c>
      <c r="ED29" s="24">
        <f t="shared" si="18"/>
        <v>8.2819931543563872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8.6</v>
      </c>
      <c r="EJ29" s="13">
        <f>IF('Données projet'!$A$192&gt;35,EJ28+EI29-ER28,IF(A29&lt;'Données projet'!$A$192,$EG$205^A29,IF(A29='Données projet'!$A$192,'Données projet'!$B$192,EJ28+EI29-ER28)))</f>
        <v>208.6</v>
      </c>
      <c r="EK29" s="18">
        <f>EJ29*VLOOKUP('Données projet'!$B$15,Paramètres!$A$1:$I$89,3,0)*VLOOKUP('Données projet'!$B$15,Paramètres!$A$1:$I$89,5,0)</f>
        <v>188.74127999999999</v>
      </c>
      <c r="EL29" s="14">
        <f t="shared" si="45"/>
        <v>47.261560168122358</v>
      </c>
      <c r="EM29" s="22">
        <f t="shared" si="19"/>
        <v>411.03827995947972</v>
      </c>
      <c r="EN29" s="62">
        <f t="shared" si="20"/>
        <v>704.37161329281298</v>
      </c>
      <c r="EO29" s="62">
        <f ca="1">AVERAGE(OFFSET($EN$3,0,0,'Données projet'!$E$15+1,1))-AVERAGE(OFFSET($H$3,0,0,'Données projet'!$E$15+1,1))</f>
        <v>315.23521260143986</v>
      </c>
      <c r="EP29" s="62">
        <f t="shared" si="46"/>
        <v>439.11021845472641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19</v>
      </c>
      <c r="N30" s="14">
        <f>IF('Données projet'!$A$36&gt;35,N29+M30-V29,IF(A30&lt;'Données projet'!$A$36,$K$205^A30,IF(A30='Données projet'!$A$36,'Données projet'!$B$36,N29+M30-V29)))</f>
        <v>261</v>
      </c>
      <c r="O30" s="14">
        <f>N30*VLOOKUP('Données projet'!$B$9,Paramètres!$A$1:$I$89,3,0)*VLOOKUP('Données projet'!$B$9,Paramètres!$A$1:$I$89,5,0)</f>
        <v>145.899</v>
      </c>
      <c r="P30" s="14">
        <f t="shared" si="33"/>
        <v>37.645120410716935</v>
      </c>
      <c r="Q30" s="22">
        <f t="shared" si="2"/>
        <v>319.67267638199866</v>
      </c>
      <c r="R30" s="62">
        <f t="shared" si="0"/>
        <v>613.00600971533197</v>
      </c>
      <c r="S30" s="62">
        <f ca="1">AVERAGE(OFFSET($R$3,0,0,'Données projet'!$E$9+1,1))-AVERAGE(OFFSET($H$3,0,0,'Données projet'!$E$9+1,1))</f>
        <v>302.20483575440988</v>
      </c>
      <c r="T30" s="62">
        <f t="shared" si="34"/>
        <v>275.32862097158687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10.83559715525719</v>
      </c>
      <c r="AB30" s="23">
        <f>EXP(-LN(2)/2)*AB29+(1-EXP(-LN(2)/2))/(LN(2)/2)*V30*Y30*VLOOKUP('Données projet'!$B$9,Paramètres!$A$1:$I$89,3,0)*0.475*44/12</f>
        <v>2.4921140513743483</v>
      </c>
      <c r="AC30" s="24">
        <f t="shared" si="3"/>
        <v>13.327711206631538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84.508320000000026</v>
      </c>
      <c r="AK30" s="14">
        <f t="shared" si="35"/>
        <v>23.235950088324714</v>
      </c>
      <c r="AL30" s="22">
        <f t="shared" si="4"/>
        <v>187.65460373716556</v>
      </c>
      <c r="AM30" s="62">
        <f t="shared" si="5"/>
        <v>480.9879370704989</v>
      </c>
      <c r="AN30" s="62">
        <f ca="1">AVERAGE(OFFSET($AM$3,0,0,'Données projet'!$E$10+1,1))-AVERAGE(OFFSET($H$3,0,0,'Données projet'!$E$10+1,1))</f>
        <v>384.44848355636935</v>
      </c>
      <c r="AO30" s="62">
        <f t="shared" si="36"/>
        <v>203.5274665601915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94.707600000000028</v>
      </c>
      <c r="BF30" s="14">
        <f t="shared" si="37"/>
        <v>25.697193912523566</v>
      </c>
      <c r="BG30" s="22">
        <f t="shared" si="7"/>
        <v>209.70501606431188</v>
      </c>
      <c r="BH30" s="62">
        <f t="shared" si="8"/>
        <v>503.03834939764522</v>
      </c>
      <c r="BI30" s="62">
        <f ca="1">AVERAGE(OFFSET($BH$3,0,0,'Données projet'!$E$11+1,1))-AVERAGE(OFFSET($H$3,0,0,'Données projet'!$E$11+1,1))</f>
        <v>440.60698566758532</v>
      </c>
      <c r="BJ30" s="62">
        <f t="shared" si="38"/>
        <v>231.92898690465887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13.4</v>
      </c>
      <c r="BY30" s="13">
        <f>IF('Données projet'!$A$114&gt;35,BY29+BX30-CG29,IF(A30&lt;'Données projet'!$A$114,$BV$205^A30,IF(A30='Données projet'!$A$114,'Données projet'!$B$114,BY29+BX30-CG29)))</f>
        <v>153.80000000000004</v>
      </c>
      <c r="BZ30" s="14">
        <f>BY30*VLOOKUP('Données projet'!$B$12,Paramètres!$A$1:$I$89,3,0)*VLOOKUP('Données projet'!$B$12,Paramètres!$A$1:$I$89,5,0)</f>
        <v>91.972400000000022</v>
      </c>
      <c r="CA30" s="14">
        <f t="shared" si="39"/>
        <v>25.040318527820091</v>
      </c>
      <c r="CB30" s="22">
        <f t="shared" si="10"/>
        <v>203.79715143595334</v>
      </c>
      <c r="CC30" s="62">
        <f t="shared" si="11"/>
        <v>497.13048476928668</v>
      </c>
      <c r="CD30" s="62">
        <f ca="1">AVERAGE(OFFSET($CC$3,0,0,'Données projet'!$E$12+1,1))-AVERAGE(OFFSET($H$3,0,0,'Données projet'!$E$12+1,1))</f>
        <v>287.29865338866551</v>
      </c>
      <c r="CE30" s="62">
        <f t="shared" si="40"/>
        <v>217.57508587672368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5.3356899449903912</v>
      </c>
      <c r="CM30" s="23">
        <f>EXP(-LN(2)/2)*CM29+(1-EXP(-LN(2)/2))/(LN(2)/2)*CG30*CJ30*VLOOKUP('Données projet'!$B$12,Paramètres!$A$1:$I$89,3,0)*0.475*44/12</f>
        <v>3.8350969101729433</v>
      </c>
      <c r="CN30" s="24">
        <f t="shared" si="12"/>
        <v>9.1707868551633354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14.166666666666666</v>
      </c>
      <c r="CT30" s="13">
        <f>IF('Données projet'!$A$140&gt;35,CT29+CS30-DB29,IF(A30&lt;'Données projet'!$A$140,$CQ$205^A30,IF(A30='Données projet'!$A$140,'Données projet'!$B$140,CT29+CS30-DB29)))</f>
        <v>181.49999999999997</v>
      </c>
      <c r="CU30" s="18">
        <f>CT30*VLOOKUP('Données projet'!$B$13,Paramètres!$A$1:$I$89,3,0)*VLOOKUP('Données projet'!$B$13,Paramètres!$A$1:$I$89,5,0)</f>
        <v>113.25599999999997</v>
      </c>
      <c r="CV30" s="14">
        <f t="shared" si="41"/>
        <v>30.096816336106439</v>
      </c>
      <c r="CW30" s="22">
        <f t="shared" si="13"/>
        <v>249.67282178538531</v>
      </c>
      <c r="CX30" s="62">
        <f t="shared" si="14"/>
        <v>543.00615511871865</v>
      </c>
      <c r="CY30" s="62">
        <f ca="1">AVERAGE(OFFSET($CX$3,0,0,'Données projet'!$E$13+1,1))-AVERAGE(OFFSET($H$3,0,0,'Données projet'!$E$13+1,1))</f>
        <v>175.05987582828078</v>
      </c>
      <c r="CZ30" s="62">
        <f t="shared" si="42"/>
        <v>268.54782308462387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1.3201559480027694</v>
      </c>
      <c r="DH30" s="23">
        <f>EXP(-LN(2)/2)*DH29+(1-EXP(-LN(2)/2))/(LN(2)/2)*DB30*DE30*VLOOKUP('Données projet'!$B$13,Paramètres!$A$1:$I$89,3,0)*0.475*44/12</f>
        <v>4.0033739605055869</v>
      </c>
      <c r="DI30" s="24">
        <f t="shared" si="15"/>
        <v>5.3235299085083563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14.4</v>
      </c>
      <c r="DO30" s="13">
        <f>IF('Données projet'!$A$166&gt;35,DO29+DN30-DW29,IF(A30&lt;'Données projet'!$A$166,$DL$205^A30,IF(A30='Données projet'!$A$166,'Données projet'!$B$166,DO29+DN30-DW29)))</f>
        <v>138.80000000000001</v>
      </c>
      <c r="DP30" s="18">
        <f>DO30*VLOOKUP('Données projet'!$B$14,Paramètres!$A$1:$I$89,3,0)*VLOOKUP('Données projet'!$B$14,Paramètres!$A$1:$I$89,5,0)</f>
        <v>79.393600000000006</v>
      </c>
      <c r="DQ30" s="14">
        <f t="shared" si="43"/>
        <v>21.988850581624067</v>
      </c>
      <c r="DR30" s="22">
        <f t="shared" si="16"/>
        <v>176.57443476299522</v>
      </c>
      <c r="DS30" s="62">
        <f t="shared" si="17"/>
        <v>469.90776809632854</v>
      </c>
      <c r="DT30" s="62">
        <f ca="1">AVERAGE(OFFSET($DS$3,0,0,'Données projet'!$E$14+1,1))-AVERAGE(OFFSET($H$3,0,0,'Données projet'!$E$14+1,1))</f>
        <v>228.06050741667258</v>
      </c>
      <c r="DU30" s="62">
        <f t="shared" si="44"/>
        <v>191.94885821983536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3.3785506981118494</v>
      </c>
      <c r="EC30" s="23">
        <f>EXP(-LN(2)/2)*EC29+(1-EXP(-LN(2)/2))/(LN(2)/2)*DW30*DZ30*VLOOKUP('Données projet'!$B$14,Paramètres!$A$1:$I$89,3,0)*0.475*44/12</f>
        <v>3.4000935894719779</v>
      </c>
      <c r="ED30" s="24">
        <f t="shared" si="18"/>
        <v>6.7786442875838269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8.6</v>
      </c>
      <c r="EJ30" s="13">
        <f>IF('Données projet'!$A$192&gt;35,EJ29+EI30-ER29,IF(A30&lt;'Données projet'!$A$192,$EG$205^A30,IF(A30='Données projet'!$A$192,'Données projet'!$B$192,EJ29+EI30-ER29)))</f>
        <v>217.2</v>
      </c>
      <c r="EK30" s="18">
        <f>EJ30*VLOOKUP('Données projet'!$B$15,Paramètres!$A$1:$I$89,3,0)*VLOOKUP('Données projet'!$B$15,Paramètres!$A$1:$I$89,5,0)</f>
        <v>196.52255999999997</v>
      </c>
      <c r="EL30" s="14">
        <f t="shared" si="45"/>
        <v>48.979153257338155</v>
      </c>
      <c r="EM30" s="22">
        <f t="shared" si="19"/>
        <v>427.58215058986383</v>
      </c>
      <c r="EN30" s="62">
        <f t="shared" si="20"/>
        <v>720.91548392319714</v>
      </c>
      <c r="EO30" s="62">
        <f ca="1">AVERAGE(OFFSET($EN$3,0,0,'Données projet'!$E$15+1,1))-AVERAGE(OFFSET($H$3,0,0,'Données projet'!$E$15+1,1))</f>
        <v>315.23521260143986</v>
      </c>
      <c r="EP30" s="62">
        <f t="shared" si="46"/>
        <v>439.11021845472641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280</v>
      </c>
      <c r="L31" s="13">
        <f>VLOOKUP(A31,'Données projet'!$A$35:$I$55,9,0)</f>
        <v>19</v>
      </c>
      <c r="M31" s="13">
        <f t="array" ref="M31">INDEX(L:L,MIN(IF(ISNUMBER(L31:L227),ROW(L31:L227),"")))</f>
        <v>19</v>
      </c>
      <c r="N31" s="14">
        <f>IF('Données projet'!$A$36&gt;35,N30+M31-V30,IF(A31&lt;'Données projet'!$A$36,$K$205^A31,IF(A31='Données projet'!$A$36,'Données projet'!$B$36,N30+M31-V30)))</f>
        <v>280</v>
      </c>
      <c r="O31" s="14">
        <f>N31*VLOOKUP('Données projet'!$B$9,Paramètres!$A$1:$I$89,3,0)*VLOOKUP('Données projet'!$B$9,Paramètres!$A$1:$I$89,5,0)</f>
        <v>156.51999999999998</v>
      </c>
      <c r="P31" s="14">
        <f t="shared" si="33"/>
        <v>40.056589961286939</v>
      </c>
      <c r="Q31" s="22">
        <f t="shared" si="2"/>
        <v>342.37089418257466</v>
      </c>
      <c r="R31" s="62">
        <f t="shared" si="0"/>
        <v>635.70422751590797</v>
      </c>
      <c r="S31" s="62">
        <f ca="1">AVERAGE(OFFSET($R$3,0,0,'Données projet'!$E$9+1,1))-AVERAGE(OFFSET($H$3,0,0,'Données projet'!$E$9+1,1))</f>
        <v>302.20483575440988</v>
      </c>
      <c r="T31" s="62">
        <f t="shared" si="34"/>
        <v>275.32862097158687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64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0.27500000000000002</v>
      </c>
      <c r="Y31" s="17">
        <f>IF(ISNA(VLOOKUP(A31,'Données projet'!$A$35:$I$55,7,0)),0%,VLOOKUP(A31,'Données projet'!$A$35:$I$55,7,0))</f>
        <v>0.5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23.539181089865295</v>
      </c>
      <c r="AB31" s="23">
        <f>EXP(-LN(2)/2)*AB30+(1-EXP(-LN(2)/2))/(LN(2)/2)*V31*Y31*VLOOKUP('Données projet'!$B$9,Paramètres!$A$1:$I$89,3,0)*0.475*44/12</f>
        <v>22.015562083370504</v>
      </c>
      <c r="AC31" s="24">
        <f t="shared" si="3"/>
        <v>45.554743173235799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92.832480000000018</v>
      </c>
      <c r="AK31" s="14">
        <f t="shared" si="35"/>
        <v>25.247114117480137</v>
      </c>
      <c r="AL31" s="22">
        <f t="shared" si="4"/>
        <v>205.65529308794461</v>
      </c>
      <c r="AM31" s="62">
        <f t="shared" si="5"/>
        <v>498.9886264212779</v>
      </c>
      <c r="AN31" s="62">
        <f ca="1">AVERAGE(OFFSET($AM$3,0,0,'Données projet'!$E$10+1,1))-AVERAGE(OFFSET($H$3,0,0,'Données projet'!$E$10+1,1))</f>
        <v>384.44848355636935</v>
      </c>
      <c r="AO31" s="62">
        <f t="shared" si="36"/>
        <v>203.5274665601915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104.03640000000003</v>
      </c>
      <c r="BF31" s="14">
        <f t="shared" si="37"/>
        <v>27.921388397820998</v>
      </c>
      <c r="BG31" s="22">
        <f t="shared" si="7"/>
        <v>229.82648145953826</v>
      </c>
      <c r="BH31" s="62">
        <f t="shared" si="8"/>
        <v>523.15981479287154</v>
      </c>
      <c r="BI31" s="62">
        <f ca="1">AVERAGE(OFFSET($BH$3,0,0,'Données projet'!$E$11+1,1))-AVERAGE(OFFSET($H$3,0,0,'Données projet'!$E$11+1,1))</f>
        <v>440.60698566758532</v>
      </c>
      <c r="BJ31" s="62">
        <f t="shared" si="38"/>
        <v>231.92898690465887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13.4</v>
      </c>
      <c r="BY31" s="13">
        <f>IF('Données projet'!$A$114&gt;35,BY30+BX31-CG30,IF(A31&lt;'Données projet'!$A$114,$BV$205^A31,IF(A31='Données projet'!$A$114,'Données projet'!$B$114,BY30+BX31-CG30)))</f>
        <v>167.20000000000005</v>
      </c>
      <c r="BZ31" s="14">
        <f>BY31*VLOOKUP('Données projet'!$B$12,Paramètres!$A$1:$I$89,3,0)*VLOOKUP('Données projet'!$B$12,Paramètres!$A$1:$I$89,5,0)</f>
        <v>99.985600000000034</v>
      </c>
      <c r="CA31" s="14">
        <f t="shared" si="39"/>
        <v>26.958566918169435</v>
      </c>
      <c r="CB31" s="22">
        <f t="shared" si="10"/>
        <v>221.09442404914515</v>
      </c>
      <c r="CC31" s="62">
        <f t="shared" si="11"/>
        <v>514.42775738247849</v>
      </c>
      <c r="CD31" s="62">
        <f ca="1">AVERAGE(OFFSET($CC$3,0,0,'Données projet'!$E$12+1,1))-AVERAGE(OFFSET($H$3,0,0,'Données projet'!$E$12+1,1))</f>
        <v>287.29865338866551</v>
      </c>
      <c r="CE31" s="62">
        <f t="shared" si="40"/>
        <v>217.57508587672368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5.1897852228528896</v>
      </c>
      <c r="CM31" s="23">
        <f>EXP(-LN(2)/2)*CM30+(1-EXP(-LN(2)/2))/(LN(2)/2)*CG31*CJ31*VLOOKUP('Données projet'!$B$12,Paramètres!$A$1:$I$89,3,0)*0.475*44/12</f>
        <v>2.711823031690864</v>
      </c>
      <c r="CN31" s="24">
        <f t="shared" si="12"/>
        <v>7.9016082545437536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14.166666666666666</v>
      </c>
      <c r="CT31" s="13">
        <f>IF('Données projet'!$A$140&gt;35,CT30+CS31-DB30,IF(A31&lt;'Données projet'!$A$140,$CQ$205^A31,IF(A31='Données projet'!$A$140,'Données projet'!$B$140,CT30+CS31-DB30)))</f>
        <v>195.66666666666663</v>
      </c>
      <c r="CU31" s="18">
        <f>CT31*VLOOKUP('Données projet'!$B$13,Paramètres!$A$1:$I$89,3,0)*VLOOKUP('Données projet'!$B$13,Paramètres!$A$1:$I$89,5,0)</f>
        <v>122.09599999999998</v>
      </c>
      <c r="CV31" s="14">
        <f t="shared" si="41"/>
        <v>32.163363121463028</v>
      </c>
      <c r="CW31" s="22">
        <f t="shared" si="13"/>
        <v>268.6683907698814</v>
      </c>
      <c r="CX31" s="62">
        <f t="shared" si="14"/>
        <v>562.00172410321466</v>
      </c>
      <c r="CY31" s="62">
        <f ca="1">AVERAGE(OFFSET($CX$3,0,0,'Données projet'!$E$13+1,1))-AVERAGE(OFFSET($H$3,0,0,'Données projet'!$E$13+1,1))</f>
        <v>175.05987582828078</v>
      </c>
      <c r="CZ31" s="62">
        <f t="shared" si="42"/>
        <v>268.54782308462387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1.2840562141806495</v>
      </c>
      <c r="DH31" s="23">
        <f>EXP(-LN(2)/2)*DH30+(1-EXP(-LN(2)/2))/(LN(2)/2)*DB31*DE31*VLOOKUP('Données projet'!$B$13,Paramètres!$A$1:$I$89,3,0)*0.475*44/12</f>
        <v>2.8308128750991464</v>
      </c>
      <c r="DI31" s="24">
        <f t="shared" si="15"/>
        <v>4.1148690892797957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14.4</v>
      </c>
      <c r="DO31" s="13">
        <f>IF('Données projet'!$A$166&gt;35,DO30+DN31-DW30,IF(A31&lt;'Données projet'!$A$166,$DL$205^A31,IF(A31='Données projet'!$A$166,'Données projet'!$B$166,DO30+DN31-DW30)))</f>
        <v>153.20000000000002</v>
      </c>
      <c r="DP31" s="18">
        <f>DO31*VLOOKUP('Données projet'!$B$14,Paramètres!$A$1:$I$89,3,0)*VLOOKUP('Données projet'!$B$14,Paramètres!$A$1:$I$89,5,0)</f>
        <v>87.630400000000009</v>
      </c>
      <c r="DQ31" s="14">
        <f t="shared" si="43"/>
        <v>23.992850113613226</v>
      </c>
      <c r="DR31" s="22">
        <f t="shared" si="16"/>
        <v>194.41049394787638</v>
      </c>
      <c r="DS31" s="62">
        <f t="shared" si="17"/>
        <v>487.74382728120969</v>
      </c>
      <c r="DT31" s="62">
        <f ca="1">AVERAGE(OFFSET($DS$3,0,0,'Données projet'!$E$14+1,1))-AVERAGE(OFFSET($H$3,0,0,'Données projet'!$E$14+1,1))</f>
        <v>228.06050741667258</v>
      </c>
      <c r="DU31" s="62">
        <f t="shared" si="44"/>
        <v>191.94885821983536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3.2861640516017214</v>
      </c>
      <c r="EC31" s="23">
        <f>EXP(-LN(2)/2)*EC30+(1-EXP(-LN(2)/2))/(LN(2)/2)*DW31*DZ31*VLOOKUP('Données projet'!$B$14,Paramètres!$A$1:$I$89,3,0)*0.475*44/12</f>
        <v>2.404229233784545</v>
      </c>
      <c r="ED31" s="24">
        <f t="shared" si="18"/>
        <v>5.690393285386266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8.6</v>
      </c>
      <c r="EJ31" s="13">
        <f>IF('Données projet'!$A$192&gt;35,EJ30+EI31-ER30,IF(A31&lt;'Données projet'!$A$192,$EG$205^A31,IF(A31='Données projet'!$A$192,'Données projet'!$B$192,EJ30+EI31-ER30)))</f>
        <v>225.79999999999998</v>
      </c>
      <c r="EK31" s="18">
        <f>EJ31*VLOOKUP('Données projet'!$B$15,Paramètres!$A$1:$I$89,3,0)*VLOOKUP('Données projet'!$B$15,Paramètres!$A$1:$I$89,5,0)</f>
        <v>204.30383999999995</v>
      </c>
      <c r="EL31" s="14">
        <f t="shared" si="45"/>
        <v>50.688846269088558</v>
      </c>
      <c r="EM31" s="22">
        <f t="shared" si="19"/>
        <v>444.11226191866245</v>
      </c>
      <c r="EN31" s="62">
        <f t="shared" si="20"/>
        <v>737.44559525199577</v>
      </c>
      <c r="EO31" s="62">
        <f ca="1">AVERAGE(OFFSET($EN$3,0,0,'Données projet'!$E$15+1,1))-AVERAGE(OFFSET($H$3,0,0,'Données projet'!$E$15+1,1))</f>
        <v>315.23521260143986</v>
      </c>
      <c r="EP31" s="62">
        <f t="shared" si="46"/>
        <v>439.11021845472641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19.857142857142858</v>
      </c>
      <c r="N32" s="14">
        <f>IF('Données projet'!$A$36&gt;35,N31+M32-V31,IF(A32&lt;'Données projet'!$A$36,$K$205^A32,IF(A32='Données projet'!$A$36,'Données projet'!$B$36,N31+M32-V31)))</f>
        <v>235.85714285714283</v>
      </c>
      <c r="O32" s="14">
        <f>N32*VLOOKUP('Données projet'!$B$9,Paramètres!$A$1:$I$89,3,0)*VLOOKUP('Données projet'!$B$9,Paramètres!$A$1:$I$89,5,0)</f>
        <v>131.84414285714283</v>
      </c>
      <c r="P32" s="14">
        <f t="shared" si="33"/>
        <v>34.422136630345072</v>
      </c>
      <c r="Q32" s="22">
        <f t="shared" si="2"/>
        <v>289.5804367740414</v>
      </c>
      <c r="R32" s="62">
        <f t="shared" si="0"/>
        <v>582.91377010737472</v>
      </c>
      <c r="S32" s="62">
        <f ca="1">AVERAGE(OFFSET($R$3,0,0,'Données projet'!$E$9+1,1))-AVERAGE(OFFSET($H$3,0,0,'Données projet'!$E$9+1,1))</f>
        <v>302.20483575440988</v>
      </c>
      <c r="T32" s="62">
        <f t="shared" si="34"/>
        <v>275.32862097158687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22.895500945091193</v>
      </c>
      <c r="AB32" s="23">
        <f>EXP(-LN(2)/2)*AB31+(1-EXP(-LN(2)/2))/(LN(2)/2)*V32*Y32*VLOOKUP('Données projet'!$B$9,Paramètres!$A$1:$I$89,3,0)*0.475*44/12</f>
        <v>15.567353240784721</v>
      </c>
      <c r="AC32" s="24">
        <f t="shared" si="3"/>
        <v>38.462854185875912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101.15664000000001</v>
      </c>
      <c r="AK32" s="14">
        <f t="shared" si="35"/>
        <v>27.237366379381644</v>
      </c>
      <c r="AL32" s="22">
        <f t="shared" si="4"/>
        <v>223.61956111075639</v>
      </c>
      <c r="AM32" s="62">
        <f t="shared" si="5"/>
        <v>516.95289444408968</v>
      </c>
      <c r="AN32" s="62">
        <f ca="1">AVERAGE(OFFSET($AM$3,0,0,'Données projet'!$E$10+1,1))-AVERAGE(OFFSET($H$3,0,0,'Données projet'!$E$10+1,1))</f>
        <v>384.44848355636935</v>
      </c>
      <c r="AO32" s="62">
        <f t="shared" si="36"/>
        <v>203.5274665601915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113.36520000000003</v>
      </c>
      <c r="BF32" s="14">
        <f t="shared" si="37"/>
        <v>30.122456058687614</v>
      </c>
      <c r="BG32" s="22">
        <f t="shared" si="7"/>
        <v>249.9076676355476</v>
      </c>
      <c r="BH32" s="62">
        <f t="shared" si="8"/>
        <v>543.24100096888094</v>
      </c>
      <c r="BI32" s="62">
        <f ca="1">AVERAGE(OFFSET($BH$3,0,0,'Données projet'!$E$11+1,1))-AVERAGE(OFFSET($H$3,0,0,'Données projet'!$E$11+1,1))</f>
        <v>440.60698566758532</v>
      </c>
      <c r="BJ32" s="62">
        <f t="shared" si="38"/>
        <v>231.92898690465887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13.4</v>
      </c>
      <c r="BY32" s="13">
        <f>IF('Données projet'!$A$114&gt;35,BY31+BX32-CG31,IF(A32&lt;'Données projet'!$A$114,$BV$205^A32,IF(A32='Données projet'!$A$114,'Données projet'!$B$114,BY31+BX32-CG31)))</f>
        <v>180.60000000000005</v>
      </c>
      <c r="BZ32" s="14">
        <f>BY32*VLOOKUP('Données projet'!$B$12,Paramètres!$A$1:$I$89,3,0)*VLOOKUP('Données projet'!$B$12,Paramètres!$A$1:$I$89,5,0)</f>
        <v>107.99880000000003</v>
      </c>
      <c r="CA32" s="14">
        <f t="shared" si="39"/>
        <v>28.85898360070161</v>
      </c>
      <c r="CB32" s="22">
        <f t="shared" si="10"/>
        <v>238.36063977122203</v>
      </c>
      <c r="CC32" s="62">
        <f t="shared" si="11"/>
        <v>531.69397310455531</v>
      </c>
      <c r="CD32" s="62">
        <f ca="1">AVERAGE(OFFSET($CC$3,0,0,'Données projet'!$E$12+1,1))-AVERAGE(OFFSET($H$3,0,0,'Données projet'!$E$12+1,1))</f>
        <v>287.29865338866551</v>
      </c>
      <c r="CE32" s="62">
        <f t="shared" si="40"/>
        <v>217.57508587672368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5.0478702730150342</v>
      </c>
      <c r="CM32" s="23">
        <f>EXP(-LN(2)/2)*CM31+(1-EXP(-LN(2)/2))/(LN(2)/2)*CG32*CJ32*VLOOKUP('Données projet'!$B$12,Paramètres!$A$1:$I$89,3,0)*0.475*44/12</f>
        <v>1.9175484550864719</v>
      </c>
      <c r="CN32" s="24">
        <f t="shared" si="12"/>
        <v>6.9654187281015059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14.166666666666666</v>
      </c>
      <c r="CT32" s="13">
        <f>IF('Données projet'!$A$140&gt;35,CT31+CS32-DB31,IF(A32&lt;'Données projet'!$A$140,$CQ$205^A32,IF(A32='Données projet'!$A$140,'Données projet'!$B$140,CT31+CS32-DB31)))</f>
        <v>209.83333333333329</v>
      </c>
      <c r="CU32" s="18">
        <f>CT32*VLOOKUP('Données projet'!$B$13,Paramètres!$A$1:$I$89,3,0)*VLOOKUP('Données projet'!$B$13,Paramètres!$A$1:$I$89,5,0)</f>
        <v>130.93599999999998</v>
      </c>
      <c r="CV32" s="14">
        <f t="shared" si="41"/>
        <v>34.21255106176632</v>
      </c>
      <c r="CW32" s="22">
        <f t="shared" si="13"/>
        <v>287.63372643257628</v>
      </c>
      <c r="CX32" s="62">
        <f t="shared" si="14"/>
        <v>580.96705976590965</v>
      </c>
      <c r="CY32" s="62">
        <f ca="1">AVERAGE(OFFSET($CX$3,0,0,'Données projet'!$E$13+1,1))-AVERAGE(OFFSET($H$3,0,0,'Données projet'!$E$13+1,1))</f>
        <v>175.05987582828078</v>
      </c>
      <c r="CZ32" s="62">
        <f t="shared" si="42"/>
        <v>268.54782308462387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1.2489436294782981</v>
      </c>
      <c r="DH32" s="23">
        <f>EXP(-LN(2)/2)*DH31+(1-EXP(-LN(2)/2))/(LN(2)/2)*DB32*DE32*VLOOKUP('Données projet'!$B$13,Paramètres!$A$1:$I$89,3,0)*0.475*44/12</f>
        <v>2.0016869802527939</v>
      </c>
      <c r="DI32" s="24">
        <f t="shared" si="15"/>
        <v>3.250630609731092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14.4</v>
      </c>
      <c r="DO32" s="13">
        <f>IF('Données projet'!$A$166&gt;35,DO31+DN32-DW31,IF(A32&lt;'Données projet'!$A$166,$DL$205^A32,IF(A32='Données projet'!$A$166,'Données projet'!$B$166,DO31+DN32-DW31)))</f>
        <v>167.60000000000002</v>
      </c>
      <c r="DP32" s="18">
        <f>DO32*VLOOKUP('Données projet'!$B$14,Paramètres!$A$1:$I$89,3,0)*VLOOKUP('Données projet'!$B$14,Paramètres!$A$1:$I$89,5,0)</f>
        <v>95.867200000000025</v>
      </c>
      <c r="DQ32" s="14">
        <f t="shared" si="43"/>
        <v>25.975009492526002</v>
      </c>
      <c r="DR32" s="22">
        <f t="shared" si="16"/>
        <v>212.20851486614947</v>
      </c>
      <c r="DS32" s="62">
        <f t="shared" si="17"/>
        <v>505.54184819948279</v>
      </c>
      <c r="DT32" s="62">
        <f ca="1">AVERAGE(OFFSET($DS$3,0,0,'Données projet'!$E$14+1,1))-AVERAGE(OFFSET($H$3,0,0,'Données projet'!$E$14+1,1))</f>
        <v>228.06050741667258</v>
      </c>
      <c r="DU32" s="62">
        <f t="shared" si="44"/>
        <v>191.94885821983536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3.1963037227988154</v>
      </c>
      <c r="EC32" s="23">
        <f>EXP(-LN(2)/2)*EC31+(1-EXP(-LN(2)/2))/(LN(2)/2)*DW32*DZ32*VLOOKUP('Données projet'!$B$14,Paramètres!$A$1:$I$89,3,0)*0.475*44/12</f>
        <v>1.7000467947359892</v>
      </c>
      <c r="ED32" s="24">
        <f t="shared" si="18"/>
        <v>4.8963505175348043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8.6</v>
      </c>
      <c r="EJ32" s="13">
        <f>IF('Données projet'!$A$192&gt;35,EJ31+EI32-ER31,IF(A32&lt;'Données projet'!$A$192,$EG$205^A32,IF(A32='Données projet'!$A$192,'Données projet'!$B$192,EJ31+EI32-ER31)))</f>
        <v>234.39999999999998</v>
      </c>
      <c r="EK32" s="18">
        <f>EJ32*VLOOKUP('Données projet'!$B$15,Paramètres!$A$1:$I$89,3,0)*VLOOKUP('Données projet'!$B$15,Paramètres!$A$1:$I$89,5,0)</f>
        <v>212.08511999999996</v>
      </c>
      <c r="EL32" s="14">
        <f t="shared" si="45"/>
        <v>52.390974537063087</v>
      </c>
      <c r="EM32" s="22">
        <f t="shared" si="19"/>
        <v>460.62919798538474</v>
      </c>
      <c r="EN32" s="62">
        <f t="shared" si="20"/>
        <v>753.96253131871799</v>
      </c>
      <c r="EO32" s="62">
        <f ca="1">AVERAGE(OFFSET($EN$3,0,0,'Données projet'!$E$15+1,1))-AVERAGE(OFFSET($H$3,0,0,'Données projet'!$E$15+1,1))</f>
        <v>315.23521260143986</v>
      </c>
      <c r="EP32" s="62">
        <f t="shared" si="46"/>
        <v>439.11021845472641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19.857142857142858</v>
      </c>
      <c r="N33" s="14">
        <f>IF('Données projet'!$A$36&gt;35,N32+M33-V32,IF(A33&lt;'Données projet'!$A$36,$K$205^A33,IF(A33='Données projet'!$A$36,'Données projet'!$B$36,N32+M33-V32)))</f>
        <v>255.71428571428569</v>
      </c>
      <c r="O33" s="14">
        <f>N33*VLOOKUP('Données projet'!$B$9,Paramètres!$A$1:$I$89,3,0)*VLOOKUP('Données projet'!$B$9,Paramètres!$A$1:$I$89,5,0)</f>
        <v>142.94428571428571</v>
      </c>
      <c r="P33" s="14">
        <f t="shared" si="33"/>
        <v>36.970680828333286</v>
      </c>
      <c r="Q33" s="22">
        <f t="shared" si="2"/>
        <v>313.35190006172803</v>
      </c>
      <c r="R33" s="62">
        <f t="shared" si="0"/>
        <v>606.68523339506135</v>
      </c>
      <c r="S33" s="62">
        <f ca="1">AVERAGE(OFFSET($R$3,0,0,'Données projet'!$E$9+1,1))-AVERAGE(OFFSET($H$3,0,0,'Données projet'!$E$9+1,1))</f>
        <v>302.20483575440988</v>
      </c>
      <c r="T33" s="62">
        <f t="shared" si="34"/>
        <v>275.32862097158687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22.269422267725609</v>
      </c>
      <c r="AB33" s="23">
        <f>EXP(-LN(2)/2)*AB32+(1-EXP(-LN(2)/2))/(LN(2)/2)*V33*Y33*VLOOKUP('Données projet'!$B$9,Paramètres!$A$1:$I$89,3,0)*0.475*44/12</f>
        <v>11.007781041685254</v>
      </c>
      <c r="AC33" s="24">
        <f t="shared" si="3"/>
        <v>33.277203309410865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109.48080000000002</v>
      </c>
      <c r="AK33" s="14">
        <f t="shared" si="35"/>
        <v>29.208623339903898</v>
      </c>
      <c r="AL33" s="22">
        <f t="shared" si="4"/>
        <v>241.55074565033269</v>
      </c>
      <c r="AM33" s="62">
        <f t="shared" si="5"/>
        <v>534.88407898366597</v>
      </c>
      <c r="AN33" s="62">
        <f ca="1">AVERAGE(OFFSET($AM$3,0,0,'Données projet'!$E$10+1,1))-AVERAGE(OFFSET($H$3,0,0,'Données projet'!$E$10+1,1))</f>
        <v>384.44848355636935</v>
      </c>
      <c r="AO33" s="62">
        <f t="shared" si="36"/>
        <v>203.5274665601915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122.69400000000003</v>
      </c>
      <c r="BF33" s="14">
        <f t="shared" si="37"/>
        <v>32.302516360650685</v>
      </c>
      <c r="BG33" s="22">
        <f t="shared" si="7"/>
        <v>269.95226599480003</v>
      </c>
      <c r="BH33" s="62">
        <f t="shared" si="8"/>
        <v>563.28559932813334</v>
      </c>
      <c r="BI33" s="62">
        <f ca="1">AVERAGE(OFFSET($BH$3,0,0,'Données projet'!$E$11+1,1))-AVERAGE(OFFSET($H$3,0,0,'Données projet'!$E$11+1,1))</f>
        <v>440.60698566758532</v>
      </c>
      <c r="BJ33" s="62">
        <f t="shared" si="38"/>
        <v>231.92898690465887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194</v>
      </c>
      <c r="BW33" s="13">
        <f>VLOOKUP(A33,'Données projet'!$A$113:$I$133,9,0)</f>
        <v>13.4</v>
      </c>
      <c r="BX33" s="13">
        <f t="array" ref="BX33">INDEX(BW:BW,MIN(IF(ISNUMBER(BW33:BW229),ROW(BW33:BW229),"")))</f>
        <v>13.4</v>
      </c>
      <c r="BY33" s="13">
        <f>IF('Données projet'!$A$114&gt;35,BY32+BX33-CG32,IF(A33&lt;'Données projet'!$A$114,$BV$205^A33,IF(A33='Données projet'!$A$114,'Données projet'!$B$114,BY32+BX33-CG32)))</f>
        <v>194.00000000000006</v>
      </c>
      <c r="BZ33" s="14">
        <f>BY33*VLOOKUP('Données projet'!$B$12,Paramètres!$A$1:$I$89,3,0)*VLOOKUP('Données projet'!$B$12,Paramètres!$A$1:$I$89,5,0)</f>
        <v>116.01200000000003</v>
      </c>
      <c r="CA33" s="14">
        <f t="shared" si="39"/>
        <v>30.743042086238173</v>
      </c>
      <c r="CB33" s="22">
        <f t="shared" si="10"/>
        <v>255.59836496686489</v>
      </c>
      <c r="CC33" s="62">
        <f t="shared" si="11"/>
        <v>548.93169830019815</v>
      </c>
      <c r="CD33" s="62">
        <f ca="1">AVERAGE(OFFSET($CC$3,0,0,'Données projet'!$E$12+1,1))-AVERAGE(OFFSET($H$3,0,0,'Données projet'!$E$12+1,1))</f>
        <v>287.29865338866551</v>
      </c>
      <c r="CE33" s="62">
        <f t="shared" si="40"/>
        <v>217.57508587672368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34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0.22500000000000001</v>
      </c>
      <c r="CJ33" s="17">
        <f>IF(ISNA(VLOOKUP(A33,'Données projet'!$A$113:$I$133,7,0)),0%,VLOOKUP(A33,'Données projet'!$A$113:$I$133,7,0))</f>
        <v>0.5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10.954575883222651</v>
      </c>
      <c r="CM33" s="23">
        <f>EXP(-LN(2)/2)*CM32+(1-EXP(-LN(2)/2))/(LN(2)/2)*CG33*CJ33*VLOOKUP('Données projet'!$B$12,Paramètres!$A$1:$I$89,3,0)*0.475*44/12</f>
        <v>12.866185052499485</v>
      </c>
      <c r="CN33" s="24">
        <f t="shared" si="12"/>
        <v>23.820760935722134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224</v>
      </c>
      <c r="CR33" s="13">
        <f>VLOOKUP(A33,'Données projet'!$A$139:$I$159,9,0)</f>
        <v>14.166666666666666</v>
      </c>
      <c r="CS33" s="13">
        <f t="array" ref="CS33">INDEX(CR:CR,MIN(IF(ISNUMBER(CR33:CR229),ROW(CR33:CR229),"")))</f>
        <v>14.166666666666666</v>
      </c>
      <c r="CT33" s="13">
        <f>IF('Données projet'!$A$140&gt;35,CT32+CS33-DB32,IF(A33&lt;'Données projet'!$A$140,$CQ$205^A33,IF(A33='Données projet'!$A$140,'Données projet'!$B$140,CT32+CS33-DB32)))</f>
        <v>223.99999999999994</v>
      </c>
      <c r="CU33" s="18">
        <f>CT33*VLOOKUP('Données projet'!$B$13,Paramètres!$A$1:$I$89,3,0)*VLOOKUP('Données projet'!$B$13,Paramètres!$A$1:$I$89,5,0)</f>
        <v>139.77599999999995</v>
      </c>
      <c r="CV33" s="14">
        <f t="shared" si="41"/>
        <v>36.245685459195258</v>
      </c>
      <c r="CW33" s="22">
        <f t="shared" si="13"/>
        <v>306.57110217476503</v>
      </c>
      <c r="CX33" s="62">
        <f t="shared" si="14"/>
        <v>599.90443550809835</v>
      </c>
      <c r="CY33" s="62">
        <f ca="1">AVERAGE(OFFSET($CX$3,0,0,'Données projet'!$E$13+1,1))-AVERAGE(OFFSET($H$3,0,0,'Données projet'!$E$13+1,1))</f>
        <v>175.05987582828078</v>
      </c>
      <c r="CZ33" s="62">
        <f t="shared" si="42"/>
        <v>268.54782308462387</v>
      </c>
      <c r="DA33" s="16">
        <f>IF(ISNA(VLOOKUP(A33,'Données projet'!$A$139:$I$159,3,0)),0,VLOOKUP(A33,'Données projet'!$A$139:$I$159,3,0))</f>
        <v>4</v>
      </c>
      <c r="DB33" s="16">
        <f>IF(ISNA(VLOOKUP(A33,'Données projet'!$A$139:$I$159,4,0)),0,VLOOKUP(A33,'Données projet'!$A$139:$I$159,4,0))</f>
        <v>53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0.18</v>
      </c>
      <c r="DE33" s="17">
        <f>IF(ISNA(VLOOKUP(A33,'Données projet'!$A$139:$I$159,7,0)),0%,VLOOKUP(A33,'Données projet'!$A$139:$I$159,7,0))</f>
        <v>0.3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9.0806829014184967</v>
      </c>
      <c r="DH33" s="23">
        <f>EXP(-LN(2)/2)*DH32+(1-EXP(-LN(2)/2))/(LN(2)/2)*DB33*DE33*VLOOKUP('Données projet'!$B$13,Paramètres!$A$1:$I$89,3,0)*0.475*44/12</f>
        <v>12.648962400688156</v>
      </c>
      <c r="DI33" s="24">
        <f t="shared" si="15"/>
        <v>21.729645302106654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182</v>
      </c>
      <c r="DM33" s="13">
        <f>VLOOKUP(A33,'Données projet'!$A$165:$I$185,9,0)</f>
        <v>14.4</v>
      </c>
      <c r="DN33" s="13">
        <f t="array" ref="DN33">INDEX(DM:DM,MIN(IF(ISNUMBER(DM33:DM229),ROW(DM33:DM229),"")))</f>
        <v>14.4</v>
      </c>
      <c r="DO33" s="13">
        <f>IF('Données projet'!$A$166&gt;35,DO32+DN33-DW32,IF(A33&lt;'Données projet'!$A$166,$DL$205^A33,IF(A33='Données projet'!$A$166,'Données projet'!$B$166,DO32+DN33-DW32)))</f>
        <v>182.00000000000003</v>
      </c>
      <c r="DP33" s="18">
        <f>DO33*VLOOKUP('Données projet'!$B$14,Paramètres!$A$1:$I$89,3,0)*VLOOKUP('Données projet'!$B$14,Paramètres!$A$1:$I$89,5,0)</f>
        <v>104.10400000000001</v>
      </c>
      <c r="DQ33" s="14">
        <f t="shared" si="43"/>
        <v>27.937418551182677</v>
      </c>
      <c r="DR33" s="22">
        <f t="shared" si="16"/>
        <v>229.97213730997649</v>
      </c>
      <c r="DS33" s="62">
        <f t="shared" si="17"/>
        <v>523.30547064330983</v>
      </c>
      <c r="DT33" s="62">
        <f ca="1">AVERAGE(OFFSET($DS$3,0,0,'Données projet'!$E$14+1,1))-AVERAGE(OFFSET($H$3,0,0,'Données projet'!$E$14+1,1))</f>
        <v>228.06050741667258</v>
      </c>
      <c r="DU33" s="62">
        <f t="shared" si="44"/>
        <v>191.94885821983536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36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0.22500000000000001</v>
      </c>
      <c r="DZ33" s="17">
        <f>IF(ISNA(VLOOKUP(A33,'Données projet'!$A$165:$I$185,7,0)),0%,VLOOKUP(A33,'Données projet'!$A$165:$I$185,7,0))</f>
        <v>0.5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9.2309389817362391</v>
      </c>
      <c r="EC33" s="23">
        <f>EXP(-LN(2)/2)*EC32+(1-EXP(-LN(2)/2))/(LN(2)/2)*DW33*DZ33*VLOOKUP('Données projet'!$B$14,Paramètres!$A$1:$I$89,3,0)*0.475*44/12</f>
        <v>12.859578352224764</v>
      </c>
      <c r="ED33" s="24">
        <f t="shared" si="18"/>
        <v>22.090517333961003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243</v>
      </c>
      <c r="EH33" s="13">
        <f>VLOOKUP(A33,'Données projet'!$A$191:$I$211,9,0)</f>
        <v>8.6</v>
      </c>
      <c r="EI33" s="13">
        <f t="array" ref="EI33">INDEX(EH:EH,MIN(IF(ISNUMBER(EH33:EH229),ROW(EH33:EH229),"")))</f>
        <v>8.6</v>
      </c>
      <c r="EJ33" s="13">
        <f>IF('Données projet'!$A$192&gt;35,EJ32+EI33-ER32,IF(A33&lt;'Données projet'!$A$192,$EG$205^A33,IF(A33='Données projet'!$A$192,'Données projet'!$B$192,EJ32+EI33-ER32)))</f>
        <v>242.99999999999997</v>
      </c>
      <c r="EK33" s="18">
        <f>EJ33*VLOOKUP('Données projet'!$B$15,Paramètres!$A$1:$I$89,3,0)*VLOOKUP('Données projet'!$B$15,Paramètres!$A$1:$I$89,5,0)</f>
        <v>219.86639999999997</v>
      </c>
      <c r="EL33" s="14">
        <f t="shared" si="45"/>
        <v>54.085847394182416</v>
      </c>
      <c r="EM33" s="22">
        <f t="shared" si="19"/>
        <v>477.13349754486762</v>
      </c>
      <c r="EN33" s="62">
        <f t="shared" si="20"/>
        <v>770.46683087820088</v>
      </c>
      <c r="EO33" s="62">
        <f ca="1">AVERAGE(OFFSET($EN$3,0,0,'Données projet'!$E$15+1,1))-AVERAGE(OFFSET($H$3,0,0,'Données projet'!$E$15+1,1))</f>
        <v>315.23521260143986</v>
      </c>
      <c r="EP33" s="62">
        <f t="shared" si="46"/>
        <v>439.11021845472641</v>
      </c>
      <c r="EQ33" s="16">
        <f>IF(ISNA(VLOOKUP(A33,'Données projet'!$A$191:$I$211,3,0)),0,VLOOKUP(A33,'Données projet'!$A$191:$I$211,3,0))</f>
        <v>5</v>
      </c>
      <c r="ER33" s="16">
        <f>IF(ISNA(VLOOKUP(A33,'Données projet'!$A$191:$I$211,4,0)),0,VLOOKUP(A33,'Données projet'!$A$191:$I$211,4,0))</f>
        <v>11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19.857142857142858</v>
      </c>
      <c r="N34" s="14">
        <f>IF('Données projet'!$A$36&gt;35,N33+M34-V33,IF(A34&lt;'Données projet'!$A$36,$K$205^A34,IF(A34='Données projet'!$A$36,'Données projet'!$B$36,N33+M34-V33)))</f>
        <v>275.57142857142856</v>
      </c>
      <c r="O34" s="14">
        <f>N34*VLOOKUP('Données projet'!$B$9,Paramètres!$A$1:$I$89,3,0)*VLOOKUP('Données projet'!$B$9,Paramètres!$A$1:$I$89,5,0)</f>
        <v>154.04442857142857</v>
      </c>
      <c r="P34" s="14">
        <f t="shared" si="33"/>
        <v>39.496268491280283</v>
      </c>
      <c r="Q34" s="22">
        <f t="shared" si="2"/>
        <v>337.08338071755128</v>
      </c>
      <c r="R34" s="62">
        <f t="shared" si="0"/>
        <v>630.41671405088459</v>
      </c>
      <c r="S34" s="62">
        <f ca="1">AVERAGE(OFFSET($R$3,0,0,'Données projet'!$E$9+1,1))-AVERAGE(OFFSET($H$3,0,0,'Données projet'!$E$9+1,1))</f>
        <v>302.20483575440988</v>
      </c>
      <c r="T34" s="62">
        <f t="shared" si="34"/>
        <v>275.32862097158687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21.660463744716633</v>
      </c>
      <c r="AB34" s="23">
        <f>EXP(-LN(2)/2)*AB33+(1-EXP(-LN(2)/2))/(LN(2)/2)*V34*Y34*VLOOKUP('Données projet'!$B$9,Paramètres!$A$1:$I$89,3,0)*0.475*44/12</f>
        <v>7.7836766203923613</v>
      </c>
      <c r="AC34" s="24">
        <f t="shared" si="3"/>
        <v>29.444140365108993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131.80000000000004</v>
      </c>
      <c r="AJ34" s="14">
        <f>AI34*VLOOKUP('Données projet'!$B$10,Paramètres!$A$1:$I$89,3,0)*VLOOKUP('Données projet'!$B$10,Paramètres!$A$1:$I$89,5,0)</f>
        <v>119.25264000000003</v>
      </c>
      <c r="AK34" s="14">
        <f t="shared" si="35"/>
        <v>31.500626518374375</v>
      </c>
      <c r="AL34" s="22">
        <f t="shared" si="4"/>
        <v>262.56193918616879</v>
      </c>
      <c r="AM34" s="62">
        <f t="shared" si="5"/>
        <v>555.8952725195021</v>
      </c>
      <c r="AN34" s="62">
        <f ca="1">AVERAGE(OFFSET($AM$3,0,0,'Données projet'!$E$10+1,1))-AVERAGE(OFFSET($H$3,0,0,'Données projet'!$E$10+1,1))</f>
        <v>384.44848355636935</v>
      </c>
      <c r="AO34" s="62">
        <f t="shared" si="36"/>
        <v>203.5274665601915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131.80000000000004</v>
      </c>
      <c r="BE34" s="14">
        <f>BD34*VLOOKUP('Données projet'!$B$11,Paramètres!$A$1:$I$89,3,0)*VLOOKUP('Données projet'!$B$11,Paramètres!$A$1:$I$89,5,0)</f>
        <v>133.64520000000005</v>
      </c>
      <c r="BF34" s="14">
        <f t="shared" si="37"/>
        <v>34.837297589797402</v>
      </c>
      <c r="BG34" s="22">
        <f t="shared" si="7"/>
        <v>293.44034996889724</v>
      </c>
      <c r="BH34" s="62">
        <f t="shared" si="8"/>
        <v>586.77368330223055</v>
      </c>
      <c r="BI34" s="62">
        <f ca="1">AVERAGE(OFFSET($BH$3,0,0,'Données projet'!$E$11+1,1))-AVERAGE(OFFSET($H$3,0,0,'Données projet'!$E$11+1,1))</f>
        <v>440.60698566758532</v>
      </c>
      <c r="BJ34" s="62">
        <f t="shared" si="38"/>
        <v>231.92898690465887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14.6</v>
      </c>
      <c r="BY34" s="13">
        <f>IF('Données projet'!$A$114&gt;35,BY33+BX34-CG33,IF(A34&lt;'Données projet'!$A$114,$BV$205^A34,IF(A34='Données projet'!$A$114,'Données projet'!$B$114,BY33+BX34-CG33)))</f>
        <v>174.60000000000005</v>
      </c>
      <c r="BZ34" s="14">
        <f>BY34*VLOOKUP('Données projet'!$B$12,Paramètres!$A$1:$I$89,3,0)*VLOOKUP('Données projet'!$B$12,Paramètres!$A$1:$I$89,5,0)</f>
        <v>104.41080000000004</v>
      </c>
      <c r="CA34" s="14">
        <f t="shared" si="39"/>
        <v>28.010155571424168</v>
      </c>
      <c r="CB34" s="22">
        <f t="shared" si="10"/>
        <v>230.63316428689714</v>
      </c>
      <c r="CC34" s="62">
        <f t="shared" si="11"/>
        <v>523.96649762023048</v>
      </c>
      <c r="CD34" s="62">
        <f ca="1">AVERAGE(OFFSET($CC$3,0,0,'Données projet'!$E$12+1,1))-AVERAGE(OFFSET($H$3,0,0,'Données projet'!$E$12+1,1))</f>
        <v>287.29865338866551</v>
      </c>
      <c r="CE34" s="62">
        <f t="shared" si="40"/>
        <v>217.57508587672368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10.655022429619819</v>
      </c>
      <c r="CM34" s="23">
        <f>EXP(-LN(2)/2)*CM33+(1-EXP(-LN(2)/2))/(LN(2)/2)*CG34*CJ34*VLOOKUP('Données projet'!$B$12,Paramètres!$A$1:$I$89,3,0)*0.475*44/12</f>
        <v>9.0977666986233832</v>
      </c>
      <c r="CN34" s="24">
        <f t="shared" si="12"/>
        <v>19.752789128243201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12.833333333333334</v>
      </c>
      <c r="CT34" s="13">
        <f>IF('Données projet'!$A$140&gt;35,CT33+CS34-DB33,IF(A34&lt;'Données projet'!$A$140,$CQ$205^A34,IF(A34='Données projet'!$A$140,'Données projet'!$B$140,CT33+CS34-DB33)))</f>
        <v>183.83333333333329</v>
      </c>
      <c r="CU34" s="18">
        <f>CT34*VLOOKUP('Données projet'!$B$13,Paramètres!$A$1:$I$89,3,0)*VLOOKUP('Données projet'!$B$13,Paramètres!$A$1:$I$89,5,0)</f>
        <v>114.71199999999997</v>
      </c>
      <c r="CV34" s="14">
        <f t="shared" si="41"/>
        <v>30.438443898016164</v>
      </c>
      <c r="CW34" s="22">
        <f t="shared" si="13"/>
        <v>252.80368978904474</v>
      </c>
      <c r="CX34" s="62">
        <f t="shared" si="14"/>
        <v>546.13702312237808</v>
      </c>
      <c r="CY34" s="62">
        <f ca="1">AVERAGE(OFFSET($CX$3,0,0,'Données projet'!$E$13+1,1))-AVERAGE(OFFSET($H$3,0,0,'Données projet'!$E$13+1,1))</f>
        <v>175.05987582828078</v>
      </c>
      <c r="CZ34" s="62">
        <f t="shared" si="42"/>
        <v>268.54782308462387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8.832371149946848</v>
      </c>
      <c r="DH34" s="23">
        <f>EXP(-LN(2)/2)*DH33+(1-EXP(-LN(2)/2))/(LN(2)/2)*DB34*DE34*VLOOKUP('Données projet'!$B$13,Paramètres!$A$1:$I$89,3,0)*0.475*44/12</f>
        <v>8.9441670885002669</v>
      </c>
      <c r="DI34" s="24">
        <f t="shared" si="15"/>
        <v>17.776538238447117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16.600000000000001</v>
      </c>
      <c r="DO34" s="13">
        <f>IF('Données projet'!$A$166&gt;35,DO33+DN34-DW33,IF(A34&lt;'Données projet'!$A$166,$DL$205^A34,IF(A34='Données projet'!$A$166,'Données projet'!$B$166,DO33+DN34-DW33)))</f>
        <v>162.60000000000002</v>
      </c>
      <c r="DP34" s="18">
        <f>DO34*VLOOKUP('Données projet'!$B$14,Paramètres!$A$1:$I$89,3,0)*VLOOKUP('Données projet'!$B$14,Paramètres!$A$1:$I$89,5,0)</f>
        <v>93.007200000000012</v>
      </c>
      <c r="DQ34" s="14">
        <f t="shared" si="43"/>
        <v>25.289096064617418</v>
      </c>
      <c r="DR34" s="22">
        <f t="shared" si="16"/>
        <v>206.03271564587533</v>
      </c>
      <c r="DS34" s="62">
        <f t="shared" si="17"/>
        <v>499.36604897920864</v>
      </c>
      <c r="DT34" s="62">
        <f ca="1">AVERAGE(OFFSET($DS$3,0,0,'Données projet'!$E$14+1,1))-AVERAGE(OFFSET($H$3,0,0,'Données projet'!$E$14+1,1))</f>
        <v>228.06050741667258</v>
      </c>
      <c r="DU34" s="62">
        <f t="shared" si="44"/>
        <v>191.94885821983536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8.9785184698466782</v>
      </c>
      <c r="EC34" s="23">
        <f>EXP(-LN(2)/2)*EC33+(1-EXP(-LN(2)/2))/(LN(2)/2)*DW34*DZ34*VLOOKUP('Données projet'!$B$14,Paramètres!$A$1:$I$89,3,0)*0.475*44/12</f>
        <v>9.0930950560578605</v>
      </c>
      <c r="ED34" s="24">
        <f t="shared" si="18"/>
        <v>18.071613525904539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7</v>
      </c>
      <c r="EJ34" s="13">
        <f>IF('Données projet'!$A$192&gt;35,EJ33+EI34-ER33,IF(A34&lt;'Données projet'!$A$192,$EG$205^A34,IF(A34='Données projet'!$A$192,'Données projet'!$B$192,EJ33+EI34-ER33)))</f>
        <v>238.99999999999997</v>
      </c>
      <c r="EK34" s="18">
        <f>EJ34*VLOOKUP('Données projet'!$B$15,Paramètres!$A$1:$I$89,3,0)*VLOOKUP('Données projet'!$B$15,Paramètres!$A$1:$I$89,5,0)</f>
        <v>216.24719999999996</v>
      </c>
      <c r="EL34" s="14">
        <f t="shared" si="45"/>
        <v>53.298418226645332</v>
      </c>
      <c r="EM34" s="22">
        <f t="shared" si="19"/>
        <v>469.45861841140714</v>
      </c>
      <c r="EN34" s="62">
        <f t="shared" si="20"/>
        <v>762.79195174474046</v>
      </c>
      <c r="EO34" s="62">
        <f ca="1">AVERAGE(OFFSET($EN$3,0,0,'Données projet'!$E$15+1,1))-AVERAGE(OFFSET($H$3,0,0,'Données projet'!$E$15+1,1))</f>
        <v>315.23521260143986</v>
      </c>
      <c r="EP34" s="62">
        <f t="shared" si="46"/>
        <v>439.11021845472641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19.857142857142858</v>
      </c>
      <c r="N35" s="14">
        <f>IF('Données projet'!$A$36&gt;35,N34+M35-V34,IF(A35&lt;'Données projet'!$A$36,$K$205^A35,IF(A35='Données projet'!$A$36,'Données projet'!$B$36,N34+M35-V34)))</f>
        <v>295.42857142857139</v>
      </c>
      <c r="O35" s="14">
        <f>N35*VLOOKUP('Données projet'!$B$9,Paramètres!$A$1:$I$89,3,0)*VLOOKUP('Données projet'!$B$9,Paramètres!$A$1:$I$89,5,0)</f>
        <v>165.14457142857142</v>
      </c>
      <c r="P35" s="14">
        <f t="shared" si="33"/>
        <v>42.000741952671746</v>
      </c>
      <c r="Q35" s="22">
        <f t="shared" ref="Q35:Q66" si="53">(O35+P35)*0.475*44/12</f>
        <v>360.77808747233183</v>
      </c>
      <c r="R35" s="62">
        <f t="shared" si="0"/>
        <v>654.11142080566515</v>
      </c>
      <c r="S35" s="62">
        <f ca="1">AVERAGE(OFFSET($R$3,0,0,'Données projet'!$E$9+1,1))-AVERAGE(OFFSET($H$3,0,0,'Données projet'!$E$9+1,1))</f>
        <v>302.20483575440988</v>
      </c>
      <c r="T35" s="62">
        <f t="shared" si="34"/>
        <v>275.32862097158687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21.068157224543075</v>
      </c>
      <c r="AB35" s="23">
        <f>EXP(-LN(2)/2)*AB34+(1-EXP(-LN(2)/2))/(LN(2)/2)*V35*Y35*VLOOKUP('Données projet'!$B$9,Paramètres!$A$1:$I$89,3,0)*0.475*44/12</f>
        <v>5.5038905208426279</v>
      </c>
      <c r="AC35" s="24">
        <f t="shared" si="3"/>
        <v>26.572047745385703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142.60000000000005</v>
      </c>
      <c r="AJ35" s="14">
        <f>AI35*VLOOKUP('Données projet'!$B$10,Paramètres!$A$1:$I$89,3,0)*VLOOKUP('Données projet'!$B$10,Paramètres!$A$1:$I$89,5,0)</f>
        <v>129.02448000000004</v>
      </c>
      <c r="AK35" s="14">
        <f t="shared" si="35"/>
        <v>33.770846580616279</v>
      </c>
      <c r="AL35" s="22">
        <f t="shared" si="4"/>
        <v>283.53519379457339</v>
      </c>
      <c r="AM35" s="62">
        <f t="shared" si="5"/>
        <v>576.86852712790665</v>
      </c>
      <c r="AN35" s="62">
        <f ca="1">AVERAGE(OFFSET($AM$3,0,0,'Données projet'!$E$10+1,1))-AVERAGE(OFFSET($H$3,0,0,'Données projet'!$E$10+1,1))</f>
        <v>384.44848355636935</v>
      </c>
      <c r="AO35" s="62">
        <f t="shared" si="36"/>
        <v>203.5274665601915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142.60000000000005</v>
      </c>
      <c r="BE35" s="14">
        <f>BD35*VLOOKUP('Données projet'!$B$11,Paramètres!$A$1:$I$89,3,0)*VLOOKUP('Données projet'!$B$11,Paramètres!$A$1:$I$89,5,0)</f>
        <v>144.59640000000007</v>
      </c>
      <c r="BF35" s="14">
        <f t="shared" si="37"/>
        <v>37.347988348805558</v>
      </c>
      <c r="BG35" s="22">
        <f t="shared" si="7"/>
        <v>316.88647637416977</v>
      </c>
      <c r="BH35" s="62">
        <f t="shared" si="8"/>
        <v>610.21980970750315</v>
      </c>
      <c r="BI35" s="62">
        <f ca="1">AVERAGE(OFFSET($BH$3,0,0,'Données projet'!$E$11+1,1))-AVERAGE(OFFSET($H$3,0,0,'Données projet'!$E$11+1,1))</f>
        <v>440.60698566758532</v>
      </c>
      <c r="BJ35" s="62">
        <f t="shared" si="38"/>
        <v>231.92898690465887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14.6</v>
      </c>
      <c r="BY35" s="13">
        <f>IF('Données projet'!$A$114&gt;35,BY34+BX35-CG34,IF(A35&lt;'Données projet'!$A$114,$BV$205^A35,IF(A35='Données projet'!$A$114,'Données projet'!$B$114,BY34+BX35-CG34)))</f>
        <v>189.20000000000005</v>
      </c>
      <c r="BZ35" s="14">
        <f>BY35*VLOOKUP('Données projet'!$B$12,Paramètres!$A$1:$I$89,3,0)*VLOOKUP('Données projet'!$B$12,Paramètres!$A$1:$I$89,5,0)</f>
        <v>113.14160000000004</v>
      </c>
      <c r="CA35" s="14">
        <f t="shared" si="39"/>
        <v>30.069952587742019</v>
      </c>
      <c r="CB35" s="22">
        <f t="shared" si="10"/>
        <v>249.42678742365072</v>
      </c>
      <c r="CC35" s="62">
        <f t="shared" si="11"/>
        <v>542.76012075698407</v>
      </c>
      <c r="CD35" s="62">
        <f ca="1">AVERAGE(OFFSET($CC$3,0,0,'Données projet'!$E$12+1,1))-AVERAGE(OFFSET($H$3,0,0,'Données projet'!$E$12+1,1))</f>
        <v>287.29865338866551</v>
      </c>
      <c r="CE35" s="62">
        <f t="shared" si="40"/>
        <v>217.57508587672368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10.363660280958589</v>
      </c>
      <c r="CM35" s="23">
        <f>EXP(-LN(2)/2)*CM34+(1-EXP(-LN(2)/2))/(LN(2)/2)*CG35*CJ35*VLOOKUP('Données projet'!$B$12,Paramètres!$A$1:$I$89,3,0)*0.475*44/12</f>
        <v>6.4330925262497436</v>
      </c>
      <c r="CN35" s="24">
        <f t="shared" si="12"/>
        <v>16.796752807208332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12.833333333333334</v>
      </c>
      <c r="CT35" s="13">
        <f>IF('Données projet'!$A$140&gt;35,CT34+CS35-DB34,IF(A35&lt;'Données projet'!$A$140,$CQ$205^A35,IF(A35='Données projet'!$A$140,'Données projet'!$B$140,CT34+CS35-DB34)))</f>
        <v>196.66666666666663</v>
      </c>
      <c r="CU35" s="18">
        <f>CT35*VLOOKUP('Données projet'!$B$13,Paramètres!$A$1:$I$89,3,0)*VLOOKUP('Données projet'!$B$13,Paramètres!$A$1:$I$89,5,0)</f>
        <v>122.71999999999997</v>
      </c>
      <c r="CV35" s="14">
        <f t="shared" si="41"/>
        <v>32.308564708068729</v>
      </c>
      <c r="CW35" s="22">
        <f t="shared" si="13"/>
        <v>270.00808353321963</v>
      </c>
      <c r="CX35" s="62">
        <f t="shared" si="14"/>
        <v>563.34141686655289</v>
      </c>
      <c r="CY35" s="62">
        <f ca="1">AVERAGE(OFFSET($CX$3,0,0,'Données projet'!$E$13+1,1))-AVERAGE(OFFSET($H$3,0,0,'Données projet'!$E$13+1,1))</f>
        <v>175.05987582828078</v>
      </c>
      <c r="CZ35" s="62">
        <f t="shared" si="42"/>
        <v>268.54782308462387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8.5908494963773396</v>
      </c>
      <c r="DH35" s="23">
        <f>EXP(-LN(2)/2)*DH34+(1-EXP(-LN(2)/2))/(LN(2)/2)*DB35*DE35*VLOOKUP('Données projet'!$B$13,Paramètres!$A$1:$I$89,3,0)*0.475*44/12</f>
        <v>6.3244812003440787</v>
      </c>
      <c r="DI35" s="24">
        <f t="shared" si="15"/>
        <v>14.915330696721419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16.600000000000001</v>
      </c>
      <c r="DO35" s="13">
        <f>IF('Données projet'!$A$166&gt;35,DO34+DN35-DW34,IF(A35&lt;'Données projet'!$A$166,$DL$205^A35,IF(A35='Données projet'!$A$166,'Données projet'!$B$166,DO34+DN35-DW34)))</f>
        <v>179.20000000000002</v>
      </c>
      <c r="DP35" s="18">
        <f>DO35*VLOOKUP('Données projet'!$B$14,Paramètres!$A$1:$I$89,3,0)*VLOOKUP('Données projet'!$B$14,Paramètres!$A$1:$I$89,5,0)</f>
        <v>102.50240000000002</v>
      </c>
      <c r="DQ35" s="14">
        <f t="shared" si="43"/>
        <v>27.557299572196182</v>
      </c>
      <c r="DR35" s="22">
        <f t="shared" si="16"/>
        <v>226.52064342157504</v>
      </c>
      <c r="DS35" s="62">
        <f t="shared" si="17"/>
        <v>519.85397675490833</v>
      </c>
      <c r="DT35" s="62">
        <f ca="1">AVERAGE(OFFSET($DS$3,0,0,'Données projet'!$E$14+1,1))-AVERAGE(OFFSET($H$3,0,0,'Données projet'!$E$14+1,1))</f>
        <v>228.06050741667258</v>
      </c>
      <c r="DU35" s="62">
        <f t="shared" si="44"/>
        <v>191.94885821983536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8.7330004101289553</v>
      </c>
      <c r="EC35" s="23">
        <f>EXP(-LN(2)/2)*EC34+(1-EXP(-LN(2)/2))/(LN(2)/2)*DW35*DZ35*VLOOKUP('Données projet'!$B$14,Paramètres!$A$1:$I$89,3,0)*0.475*44/12</f>
        <v>6.4297891761123829</v>
      </c>
      <c r="ED35" s="24">
        <f t="shared" si="18"/>
        <v>15.162789586241338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7</v>
      </c>
      <c r="EJ35" s="13">
        <f>IF('Données projet'!$A$192&gt;35,EJ34+EI35-ER34,IF(A35&lt;'Données projet'!$A$192,$EG$205^A35,IF(A35='Données projet'!$A$192,'Données projet'!$B$192,EJ34+EI35-ER34)))</f>
        <v>245.99999999999997</v>
      </c>
      <c r="EK35" s="18">
        <f>EJ35*VLOOKUP('Données projet'!$B$15,Paramètres!$A$1:$I$89,3,0)*VLOOKUP('Données projet'!$B$15,Paramètres!$A$1:$I$89,5,0)</f>
        <v>222.58079999999998</v>
      </c>
      <c r="EL35" s="14">
        <f t="shared" si="45"/>
        <v>54.675428546153199</v>
      </c>
      <c r="EM35" s="22">
        <f t="shared" si="19"/>
        <v>482.88793138455003</v>
      </c>
      <c r="EN35" s="62">
        <f t="shared" si="20"/>
        <v>776.22126471788329</v>
      </c>
      <c r="EO35" s="62">
        <f ca="1">AVERAGE(OFFSET($EN$3,0,0,'Données projet'!$E$15+1,1))-AVERAGE(OFFSET($H$3,0,0,'Données projet'!$E$15+1,1))</f>
        <v>315.23521260143986</v>
      </c>
      <c r="EP35" s="62">
        <f t="shared" si="46"/>
        <v>439.11021845472641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19.857142857142858</v>
      </c>
      <c r="N36" s="14">
        <f>IF('Données projet'!$A$36&gt;35,N35+M36-V35,IF(A36&lt;'Données projet'!$A$36,$K$205^A36,IF(A36='Données projet'!$A$36,'Données projet'!$B$36,N35+M36-V35)))</f>
        <v>315.28571428571422</v>
      </c>
      <c r="O36" s="14">
        <f>N36*VLOOKUP('Données projet'!$B$9,Paramètres!$A$1:$I$89,3,0)*VLOOKUP('Données projet'!$B$9,Paramètres!$A$1:$I$89,5,0)</f>
        <v>176.24471428571425</v>
      </c>
      <c r="P36" s="14">
        <f t="shared" si="33"/>
        <v>44.485681868533291</v>
      </c>
      <c r="Q36" s="22">
        <f t="shared" si="53"/>
        <v>384.43877330198114</v>
      </c>
      <c r="R36" s="62">
        <f t="shared" si="0"/>
        <v>677.77210663531446</v>
      </c>
      <c r="S36" s="62">
        <f ca="1">AVERAGE(OFFSET($R$3,0,0,'Données projet'!$E$9+1,1))-AVERAGE(OFFSET($H$3,0,0,'Données projet'!$E$9+1,1))</f>
        <v>302.20483575440988</v>
      </c>
      <c r="T36" s="62">
        <f t="shared" si="34"/>
        <v>275.32862097158687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20.492047357311709</v>
      </c>
      <c r="AB36" s="23">
        <f>EXP(-LN(2)/2)*AB35+(1-EXP(-LN(2)/2))/(LN(2)/2)*V36*Y36*VLOOKUP('Données projet'!$B$9,Paramètres!$A$1:$I$89,3,0)*0.475*44/12</f>
        <v>3.8918383101961815</v>
      </c>
      <c r="AC36" s="24">
        <f t="shared" si="3"/>
        <v>24.38388566750789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153.40000000000006</v>
      </c>
      <c r="AJ36" s="14">
        <f>AI36*VLOOKUP('Données projet'!$B$10,Paramètres!$A$1:$I$89,3,0)*VLOOKUP('Données projet'!$B$10,Paramètres!$A$1:$I$89,5,0)</f>
        <v>138.79632000000007</v>
      </c>
      <c r="AK36" s="14">
        <f t="shared" si="35"/>
        <v>36.021120886354588</v>
      </c>
      <c r="AL36" s="22">
        <f t="shared" si="4"/>
        <v>304.47370954373434</v>
      </c>
      <c r="AM36" s="62">
        <f t="shared" si="5"/>
        <v>597.80704287706772</v>
      </c>
      <c r="AN36" s="62">
        <f ca="1">AVERAGE(OFFSET($AM$3,0,0,'Données projet'!$E$10+1,1))-AVERAGE(OFFSET($H$3,0,0,'Données projet'!$E$10+1,1))</f>
        <v>384.44848355636935</v>
      </c>
      <c r="AO36" s="62">
        <f t="shared" si="36"/>
        <v>203.5274665601915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153.40000000000006</v>
      </c>
      <c r="BE36" s="14">
        <f>BD36*VLOOKUP('Données projet'!$B$11,Paramètres!$A$1:$I$89,3,0)*VLOOKUP('Données projet'!$B$11,Paramètres!$A$1:$I$89,5,0)</f>
        <v>155.54760000000007</v>
      </c>
      <c r="BF36" s="14">
        <f t="shared" si="37"/>
        <v>39.836620617816237</v>
      </c>
      <c r="BG36" s="22">
        <f t="shared" si="7"/>
        <v>340.2941842426967</v>
      </c>
      <c r="BH36" s="62">
        <f t="shared" si="8"/>
        <v>633.62751757602996</v>
      </c>
      <c r="BI36" s="62">
        <f ca="1">AVERAGE(OFFSET($BH$3,0,0,'Données projet'!$E$11+1,1))-AVERAGE(OFFSET($H$3,0,0,'Données projet'!$E$11+1,1))</f>
        <v>440.60698566758532</v>
      </c>
      <c r="BJ36" s="62">
        <f t="shared" si="38"/>
        <v>231.92898690465887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14.6</v>
      </c>
      <c r="BY36" s="13">
        <f>IF('Données projet'!$A$114&gt;35,BY35+BX36-CG35,IF(A36&lt;'Données projet'!$A$114,$BV$205^A36,IF(A36='Données projet'!$A$114,'Données projet'!$B$114,BY35+BX36-CG35)))</f>
        <v>203.80000000000004</v>
      </c>
      <c r="BZ36" s="14">
        <f>BY36*VLOOKUP('Données projet'!$B$12,Paramètres!$A$1:$I$89,3,0)*VLOOKUP('Données projet'!$B$12,Paramètres!$A$1:$I$89,5,0)</f>
        <v>121.87240000000003</v>
      </c>
      <c r="CA36" s="14">
        <f t="shared" si="39"/>
        <v>32.111311550408985</v>
      </c>
      <c r="CB36" s="22">
        <f t="shared" si="10"/>
        <v>268.1882976169623</v>
      </c>
      <c r="CC36" s="62">
        <f t="shared" si="11"/>
        <v>561.52163095029562</v>
      </c>
      <c r="CD36" s="62">
        <f ca="1">AVERAGE(OFFSET($CC$3,0,0,'Données projet'!$E$12+1,1))-AVERAGE(OFFSET($H$3,0,0,'Données projet'!$E$12+1,1))</f>
        <v>287.29865338866551</v>
      </c>
      <c r="CE36" s="62">
        <f t="shared" si="40"/>
        <v>217.57508587672368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10.080265445574568</v>
      </c>
      <c r="CM36" s="23">
        <f>EXP(-LN(2)/2)*CM35+(1-EXP(-LN(2)/2))/(LN(2)/2)*CG36*CJ36*VLOOKUP('Données projet'!$B$12,Paramètres!$A$1:$I$89,3,0)*0.475*44/12</f>
        <v>4.5488833493116916</v>
      </c>
      <c r="CN36" s="24">
        <f t="shared" si="12"/>
        <v>14.629148794886259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12.833333333333334</v>
      </c>
      <c r="CT36" s="13">
        <f>IF('Données projet'!$A$140&gt;35,CT35+CS36-DB35,IF(A36&lt;'Données projet'!$A$140,$CQ$205^A36,IF(A36='Données projet'!$A$140,'Données projet'!$B$140,CT35+CS36-DB35)))</f>
        <v>209.49999999999997</v>
      </c>
      <c r="CU36" s="18">
        <f>CT36*VLOOKUP('Données projet'!$B$13,Paramètres!$A$1:$I$89,3,0)*VLOOKUP('Données projet'!$B$13,Paramètres!$A$1:$I$89,5,0)</f>
        <v>130.72799999999998</v>
      </c>
      <c r="CV36" s="14">
        <f t="shared" si="41"/>
        <v>34.164524045585857</v>
      </c>
      <c r="CW36" s="22">
        <f t="shared" si="13"/>
        <v>287.18781271272866</v>
      </c>
      <c r="CX36" s="62">
        <f t="shared" si="14"/>
        <v>580.52114604606197</v>
      </c>
      <c r="CY36" s="62">
        <f ca="1">AVERAGE(OFFSET($CX$3,0,0,'Données projet'!$E$13+1,1))-AVERAGE(OFFSET($H$3,0,0,'Données projet'!$E$13+1,1))</f>
        <v>175.05987582828078</v>
      </c>
      <c r="CZ36" s="62">
        <f t="shared" si="42"/>
        <v>268.54782308462387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8.3559322651257606</v>
      </c>
      <c r="DH36" s="23">
        <f>EXP(-LN(2)/2)*DH35+(1-EXP(-LN(2)/2))/(LN(2)/2)*DB36*DE36*VLOOKUP('Données projet'!$B$13,Paramètres!$A$1:$I$89,3,0)*0.475*44/12</f>
        <v>4.4720835442501343</v>
      </c>
      <c r="DI36" s="24">
        <f t="shared" si="15"/>
        <v>12.828015809375895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16.600000000000001</v>
      </c>
      <c r="DO36" s="13">
        <f>IF('Données projet'!$A$166&gt;35,DO35+DN36-DW35,IF(A36&lt;'Données projet'!$A$166,$DL$205^A36,IF(A36='Données projet'!$A$166,'Données projet'!$B$166,DO35+DN36-DW35)))</f>
        <v>195.8</v>
      </c>
      <c r="DP36" s="18">
        <f>DO36*VLOOKUP('Données projet'!$B$14,Paramètres!$A$1:$I$89,3,0)*VLOOKUP('Données projet'!$B$14,Paramètres!$A$1:$I$89,5,0)</f>
        <v>111.99760000000001</v>
      </c>
      <c r="DQ36" s="14">
        <f t="shared" si="43"/>
        <v>29.801140607184838</v>
      </c>
      <c r="DR36" s="22">
        <f t="shared" si="16"/>
        <v>246.96613989084696</v>
      </c>
      <c r="DS36" s="62">
        <f t="shared" si="17"/>
        <v>540.29947322418025</v>
      </c>
      <c r="DT36" s="62">
        <f ca="1">AVERAGE(OFFSET($DS$3,0,0,'Données projet'!$E$14+1,1))-AVERAGE(OFFSET($H$3,0,0,'Données projet'!$E$14+1,1))</f>
        <v>228.06050741667258</v>
      </c>
      <c r="DU36" s="62">
        <f t="shared" si="44"/>
        <v>191.94885821983536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8.4941960546654478</v>
      </c>
      <c r="EC36" s="23">
        <f>EXP(-LN(2)/2)*EC35+(1-EXP(-LN(2)/2))/(LN(2)/2)*DW36*DZ36*VLOOKUP('Données projet'!$B$14,Paramètres!$A$1:$I$89,3,0)*0.475*44/12</f>
        <v>4.5465475280289311</v>
      </c>
      <c r="ED36" s="24">
        <f t="shared" si="18"/>
        <v>13.040743582694379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7</v>
      </c>
      <c r="EJ36" s="13">
        <f>IF('Données projet'!$A$192&gt;35,EJ35+EI36-ER35,IF(A36&lt;'Données projet'!$A$192,$EG$205^A36,IF(A36='Données projet'!$A$192,'Données projet'!$B$192,EJ35+EI36-ER35)))</f>
        <v>252.99999999999997</v>
      </c>
      <c r="EK36" s="18">
        <f>EJ36*VLOOKUP('Données projet'!$B$15,Paramètres!$A$1:$I$89,3,0)*VLOOKUP('Données projet'!$B$15,Paramètres!$A$1:$I$89,5,0)</f>
        <v>228.91439999999997</v>
      </c>
      <c r="EL36" s="14">
        <f t="shared" si="45"/>
        <v>56.047884834417424</v>
      </c>
      <c r="EM36" s="22">
        <f t="shared" si="19"/>
        <v>496.30931275327697</v>
      </c>
      <c r="EN36" s="62">
        <f t="shared" si="20"/>
        <v>789.64264608661028</v>
      </c>
      <c r="EO36" s="62">
        <f ca="1">AVERAGE(OFFSET($EN$3,0,0,'Données projet'!$E$15+1,1))-AVERAGE(OFFSET($H$3,0,0,'Données projet'!$E$15+1,1))</f>
        <v>315.23521260143986</v>
      </c>
      <c r="EP36" s="62">
        <f t="shared" si="46"/>
        <v>439.11021845472641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19.857142857142858</v>
      </c>
      <c r="N37" s="14">
        <f>IF('Données projet'!$A$36&gt;35,N36+M37-V36,IF(A37&lt;'Données projet'!$A$36,$K$205^A37,IF(A37='Données projet'!$A$36,'Données projet'!$B$36,N36+M37-V36)))</f>
        <v>335.14285714285705</v>
      </c>
      <c r="O37" s="14">
        <f>N37*VLOOKUP('Données projet'!$B$9,Paramètres!$A$1:$I$89,3,0)*VLOOKUP('Données projet'!$B$9,Paramètres!$A$1:$I$89,5,0)</f>
        <v>187.34485714285708</v>
      </c>
      <c r="P37" s="14">
        <f t="shared" si="33"/>
        <v>46.95245853654621</v>
      </c>
      <c r="Q37" s="22">
        <f t="shared" si="53"/>
        <v>408.06782480829406</v>
      </c>
      <c r="R37" s="62">
        <f t="shared" si="0"/>
        <v>701.40115814162732</v>
      </c>
      <c r="S37" s="62">
        <f ca="1">AVERAGE(OFFSET($R$3,0,0,'Données projet'!$E$9+1,1))-AVERAGE(OFFSET($H$3,0,0,'Données projet'!$E$9+1,1))</f>
        <v>302.20483575440988</v>
      </c>
      <c r="T37" s="62">
        <f t="shared" si="34"/>
        <v>275.32862097158687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19.931691244696086</v>
      </c>
      <c r="AB37" s="23">
        <f>EXP(-LN(2)/2)*AB36+(1-EXP(-LN(2)/2))/(LN(2)/2)*V37*Y37*VLOOKUP('Données projet'!$B$9,Paramètres!$A$1:$I$89,3,0)*0.475*44/12</f>
        <v>2.7519452604213144</v>
      </c>
      <c r="AC37" s="24">
        <f t="shared" si="3"/>
        <v>22.683636505117402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164.20000000000007</v>
      </c>
      <c r="AJ37" s="14">
        <f>AI37*VLOOKUP('Données projet'!$B$10,Paramètres!$A$1:$I$89,3,0)*VLOOKUP('Données projet'!$B$10,Paramètres!$A$1:$I$89,5,0)</f>
        <v>148.56816000000006</v>
      </c>
      <c r="AK37" s="14">
        <f t="shared" si="35"/>
        <v>38.253013425360628</v>
      </c>
      <c r="AL37" s="22">
        <f t="shared" si="4"/>
        <v>325.38021038250321</v>
      </c>
      <c r="AM37" s="62">
        <f t="shared" si="5"/>
        <v>618.71354371583652</v>
      </c>
      <c r="AN37" s="62">
        <f ca="1">AVERAGE(OFFSET($AM$3,0,0,'Données projet'!$E$10+1,1))-AVERAGE(OFFSET($H$3,0,0,'Données projet'!$E$10+1,1))</f>
        <v>384.44848355636935</v>
      </c>
      <c r="AO37" s="62">
        <f t="shared" si="36"/>
        <v>203.5274665601915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164.20000000000007</v>
      </c>
      <c r="BE37" s="14">
        <f>BD37*VLOOKUP('Données projet'!$B$11,Paramètres!$A$1:$I$89,3,0)*VLOOKUP('Données projet'!$B$11,Paramètres!$A$1:$I$89,5,0)</f>
        <v>166.49880000000007</v>
      </c>
      <c r="BF37" s="14">
        <f t="shared" si="37"/>
        <v>42.304924050589179</v>
      </c>
      <c r="BG37" s="22">
        <f t="shared" si="7"/>
        <v>363.66648605477627</v>
      </c>
      <c r="BH37" s="62">
        <f t="shared" si="8"/>
        <v>656.99981938810959</v>
      </c>
      <c r="BI37" s="62">
        <f ca="1">AVERAGE(OFFSET($BH$3,0,0,'Données projet'!$E$11+1,1))-AVERAGE(OFFSET($H$3,0,0,'Données projet'!$E$11+1,1))</f>
        <v>440.60698566758532</v>
      </c>
      <c r="BJ37" s="62">
        <f t="shared" si="38"/>
        <v>231.92898690465887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14.6</v>
      </c>
      <c r="BY37" s="13">
        <f>IF('Données projet'!$A$114&gt;35,BY36+BX37-CG36,IF(A37&lt;'Données projet'!$A$114,$BV$205^A37,IF(A37='Données projet'!$A$114,'Données projet'!$B$114,BY36+BX37-CG36)))</f>
        <v>218.40000000000003</v>
      </c>
      <c r="BZ37" s="14">
        <f>BY37*VLOOKUP('Données projet'!$B$12,Paramètres!$A$1:$I$89,3,0)*VLOOKUP('Données projet'!$B$12,Paramètres!$A$1:$I$89,5,0)</f>
        <v>130.60320000000004</v>
      </c>
      <c r="CA37" s="14">
        <f t="shared" si="39"/>
        <v>34.135703567016428</v>
      </c>
      <c r="CB37" s="22">
        <f t="shared" si="10"/>
        <v>286.92025704588701</v>
      </c>
      <c r="CC37" s="62">
        <f t="shared" si="11"/>
        <v>580.25359037922033</v>
      </c>
      <c r="CD37" s="62">
        <f ca="1">AVERAGE(OFFSET($CC$3,0,0,'Données projet'!$E$12+1,1))-AVERAGE(OFFSET($H$3,0,0,'Données projet'!$E$12+1,1))</f>
        <v>287.29865338866551</v>
      </c>
      <c r="CE37" s="62">
        <f t="shared" si="40"/>
        <v>217.57508587672368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9.8046200568672113</v>
      </c>
      <c r="CM37" s="23">
        <f>EXP(-LN(2)/2)*CM36+(1-EXP(-LN(2)/2))/(LN(2)/2)*CG37*CJ37*VLOOKUP('Données projet'!$B$12,Paramètres!$A$1:$I$89,3,0)*0.475*44/12</f>
        <v>3.2165462631248718</v>
      </c>
      <c r="CN37" s="24">
        <f t="shared" si="12"/>
        <v>13.021166319992084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12.833333333333334</v>
      </c>
      <c r="CT37" s="13">
        <f>IF('Données projet'!$A$140&gt;35,CT36+CS37-DB36,IF(A37&lt;'Données projet'!$A$140,$CQ$205^A37,IF(A37='Données projet'!$A$140,'Données projet'!$B$140,CT36+CS37-DB36)))</f>
        <v>222.33333333333331</v>
      </c>
      <c r="CU37" s="18">
        <f>CT37*VLOOKUP('Données projet'!$B$13,Paramètres!$A$1:$I$89,3,0)*VLOOKUP('Données projet'!$B$13,Paramètres!$A$1:$I$89,5,0)</f>
        <v>138.73599999999999</v>
      </c>
      <c r="CV37" s="14">
        <f t="shared" si="41"/>
        <v>36.007288175538044</v>
      </c>
      <c r="CW37" s="22">
        <f t="shared" si="13"/>
        <v>304.34456023906205</v>
      </c>
      <c r="CX37" s="62">
        <f t="shared" si="14"/>
        <v>597.67789357239531</v>
      </c>
      <c r="CY37" s="62">
        <f ca="1">AVERAGE(OFFSET($CX$3,0,0,'Données projet'!$E$13+1,1))-AVERAGE(OFFSET($H$3,0,0,'Données projet'!$E$13+1,1))</f>
        <v>175.05987582828078</v>
      </c>
      <c r="CZ37" s="62">
        <f t="shared" si="42"/>
        <v>268.54782308462387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8.1274388579165162</v>
      </c>
      <c r="DH37" s="23">
        <f>EXP(-LN(2)/2)*DH36+(1-EXP(-LN(2)/2))/(LN(2)/2)*DB37*DE37*VLOOKUP('Données projet'!$B$13,Paramètres!$A$1:$I$89,3,0)*0.475*44/12</f>
        <v>3.1622406001720398</v>
      </c>
      <c r="DI37" s="24">
        <f t="shared" si="15"/>
        <v>11.289679458088557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16.600000000000001</v>
      </c>
      <c r="DO37" s="13">
        <f>IF('Données projet'!$A$166&gt;35,DO36+DN37-DW36,IF(A37&lt;'Données projet'!$A$166,$DL$205^A37,IF(A37='Données projet'!$A$166,'Données projet'!$B$166,DO36+DN37-DW36)))</f>
        <v>212.4</v>
      </c>
      <c r="DP37" s="18">
        <f>DO37*VLOOKUP('Données projet'!$B$14,Paramètres!$A$1:$I$89,3,0)*VLOOKUP('Données projet'!$B$14,Paramètres!$A$1:$I$89,5,0)</f>
        <v>121.4928</v>
      </c>
      <c r="DQ37" s="14">
        <f t="shared" si="43"/>
        <v>32.02291946024841</v>
      </c>
      <c r="DR37" s="22">
        <f t="shared" si="16"/>
        <v>267.37321139326599</v>
      </c>
      <c r="DS37" s="62">
        <f t="shared" si="17"/>
        <v>560.7065447265993</v>
      </c>
      <c r="DT37" s="62">
        <f ca="1">AVERAGE(OFFSET($DS$3,0,0,'Données projet'!$E$14+1,1))-AVERAGE(OFFSET($H$3,0,0,'Données projet'!$E$14+1,1))</f>
        <v>228.06050741667258</v>
      </c>
      <c r="DU37" s="62">
        <f t="shared" si="44"/>
        <v>191.94885821983536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8.2619218168602639</v>
      </c>
      <c r="EC37" s="23">
        <f>EXP(-LN(2)/2)*EC36+(1-EXP(-LN(2)/2))/(LN(2)/2)*DW37*DZ37*VLOOKUP('Données projet'!$B$14,Paramètres!$A$1:$I$89,3,0)*0.475*44/12</f>
        <v>3.2148945880561923</v>
      </c>
      <c r="ED37" s="24">
        <f t="shared" si="18"/>
        <v>11.476816404916455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7</v>
      </c>
      <c r="EJ37" s="13">
        <f>IF('Données projet'!$A$192&gt;35,EJ36+EI37-ER36,IF(A37&lt;'Données projet'!$A$192,$EG$205^A37,IF(A37='Données projet'!$A$192,'Données projet'!$B$192,EJ36+EI37-ER36)))</f>
        <v>260</v>
      </c>
      <c r="EK37" s="18">
        <f>EJ37*VLOOKUP('Données projet'!$B$15,Paramètres!$A$1:$I$89,3,0)*VLOOKUP('Données projet'!$B$15,Paramètres!$A$1:$I$89,5,0)</f>
        <v>235.24799999999999</v>
      </c>
      <c r="EL37" s="14">
        <f t="shared" si="45"/>
        <v>57.41592756883739</v>
      </c>
      <c r="EM37" s="22">
        <f t="shared" si="19"/>
        <v>509.72300718239177</v>
      </c>
      <c r="EN37" s="62">
        <f t="shared" si="20"/>
        <v>803.05634051572508</v>
      </c>
      <c r="EO37" s="62">
        <f ca="1">AVERAGE(OFFSET($EN$3,0,0,'Données projet'!$E$15+1,1))-AVERAGE(OFFSET($H$3,0,0,'Données projet'!$E$15+1,1))</f>
        <v>315.23521260143986</v>
      </c>
      <c r="EP37" s="62">
        <f t="shared" si="46"/>
        <v>439.11021845472641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355</v>
      </c>
      <c r="L38" s="13">
        <f>VLOOKUP(A38,'Données projet'!$A$35:$I$55,9,0)</f>
        <v>19.857142857142858</v>
      </c>
      <c r="M38" s="13">
        <f t="array" ref="M38">INDEX(L:L,MIN(IF(ISNUMBER(L38:L234),ROW(L38:L234),"")))</f>
        <v>19.857142857142858</v>
      </c>
      <c r="N38" s="14">
        <f>IF('Données projet'!$A$36&gt;35,N37+M38-V37,IF(A38&lt;'Données projet'!$A$36,$K$205^A38,IF(A38='Données projet'!$A$36,'Données projet'!$B$36,N37+M38-V37)))</f>
        <v>354.99999999999989</v>
      </c>
      <c r="O38" s="14">
        <f>N38*VLOOKUP('Données projet'!$B$9,Paramètres!$A$1:$I$89,3,0)*VLOOKUP('Données projet'!$B$9,Paramètres!$A$1:$I$89,5,0)</f>
        <v>198.44499999999994</v>
      </c>
      <c r="P38" s="14">
        <f t="shared" si="33"/>
        <v>49.40227070134226</v>
      </c>
      <c r="Q38" s="22">
        <f t="shared" si="53"/>
        <v>431.66732980483766</v>
      </c>
      <c r="R38" s="62">
        <f t="shared" si="0"/>
        <v>725.00066313817092</v>
      </c>
      <c r="S38" s="62">
        <f ca="1">AVERAGE(OFFSET($R$3,0,0,'Données projet'!$E$9+1,1))-AVERAGE(OFFSET($H$3,0,0,'Données projet'!$E$9+1,1))</f>
        <v>302.20483575440988</v>
      </c>
      <c r="T38" s="62">
        <f t="shared" si="34"/>
        <v>275.32862097158687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73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19.386658099447782</v>
      </c>
      <c r="AB38" s="23">
        <f>EXP(-LN(2)/2)*AB37+(1-EXP(-LN(2)/2))/(LN(2)/2)*V38*Y38*VLOOKUP('Données projet'!$B$9,Paramètres!$A$1:$I$89,3,0)*0.475*44/12</f>
        <v>1.945919155098091</v>
      </c>
      <c r="AC38" s="24">
        <f t="shared" si="3"/>
        <v>21.332577254545875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175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175.00000000000009</v>
      </c>
      <c r="AJ38" s="14">
        <f>AI38*VLOOKUP('Données projet'!$B$10,Paramètres!$A$1:$I$89,3,0)*VLOOKUP('Données projet'!$B$10,Paramètres!$A$1:$I$89,5,0)</f>
        <v>158.34000000000006</v>
      </c>
      <c r="AK38" s="14">
        <f t="shared" si="35"/>
        <v>40.467870812652819</v>
      </c>
      <c r="AL38" s="22">
        <f t="shared" si="4"/>
        <v>346.25704166537042</v>
      </c>
      <c r="AM38" s="62">
        <f t="shared" si="5"/>
        <v>639.59037499870374</v>
      </c>
      <c r="AN38" s="62">
        <f ca="1">AVERAGE(OFFSET($AM$3,0,0,'Données projet'!$E$10+1,1))-AVERAGE(OFFSET($H$3,0,0,'Données projet'!$E$10+1,1))</f>
        <v>384.44848355636935</v>
      </c>
      <c r="AO38" s="62">
        <f t="shared" si="36"/>
        <v>203.5274665601915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175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175.00000000000009</v>
      </c>
      <c r="BE38" s="14">
        <f>BD38*VLOOKUP('Données projet'!$B$11,Paramètres!$A$1:$I$89,3,0)*VLOOKUP('Données projet'!$B$11,Paramètres!$A$1:$I$89,5,0)</f>
        <v>177.4500000000001</v>
      </c>
      <c r="BF38" s="14">
        <f t="shared" si="37"/>
        <v>44.754387900936791</v>
      </c>
      <c r="BG38" s="22">
        <f t="shared" si="7"/>
        <v>387.00597559413177</v>
      </c>
      <c r="BH38" s="62">
        <f t="shared" si="8"/>
        <v>680.33930892746503</v>
      </c>
      <c r="BI38" s="62">
        <f ca="1">AVERAGE(OFFSET($BH$3,0,0,'Données projet'!$E$11+1,1))-AVERAGE(OFFSET($H$3,0,0,'Données projet'!$E$11+1,1))</f>
        <v>440.60698566758532</v>
      </c>
      <c r="BJ38" s="62">
        <f t="shared" si="38"/>
        <v>231.92898690465887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56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233</v>
      </c>
      <c r="BW38" s="13">
        <f>VLOOKUP(A38,'Données projet'!$A$113:$I$133,9,0)</f>
        <v>14.6</v>
      </c>
      <c r="BX38" s="13">
        <f t="array" ref="BX38">INDEX(BW:BW,MIN(IF(ISNUMBER(BW38:BW234),ROW(BW38:BW234),"")))</f>
        <v>14.6</v>
      </c>
      <c r="BY38" s="13">
        <f>IF('Données projet'!$A$114&gt;35,BY37+BX38-CG37,IF(A38&lt;'Données projet'!$A$114,$BV$205^A38,IF(A38='Données projet'!$A$114,'Données projet'!$B$114,BY37+BX38-CG37)))</f>
        <v>233.00000000000003</v>
      </c>
      <c r="BZ38" s="14">
        <f>BY38*VLOOKUP('Données projet'!$B$12,Paramètres!$A$1:$I$89,3,0)*VLOOKUP('Données projet'!$B$12,Paramètres!$A$1:$I$89,5,0)</f>
        <v>139.33400000000003</v>
      </c>
      <c r="CA38" s="14">
        <f t="shared" si="39"/>
        <v>36.144391930570897</v>
      </c>
      <c r="CB38" s="22">
        <f t="shared" si="10"/>
        <v>305.62486594574438</v>
      </c>
      <c r="CC38" s="62">
        <f t="shared" si="11"/>
        <v>598.95819927907769</v>
      </c>
      <c r="CD38" s="62">
        <f ca="1">AVERAGE(OFFSET($CC$3,0,0,'Données projet'!$E$12+1,1))-AVERAGE(OFFSET($H$3,0,0,'Données projet'!$E$12+1,1))</f>
        <v>287.29865338866551</v>
      </c>
      <c r="CE38" s="62">
        <f t="shared" si="40"/>
        <v>217.57508587672368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41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9.5365122058096166</v>
      </c>
      <c r="CM38" s="23">
        <f>EXP(-LN(2)/2)*CM37+(1-EXP(-LN(2)/2))/(LN(2)/2)*CG38*CJ38*VLOOKUP('Données projet'!$B$12,Paramètres!$A$1:$I$89,3,0)*0.475*44/12</f>
        <v>2.2744416746558458</v>
      </c>
      <c r="CN38" s="24">
        <f t="shared" si="12"/>
        <v>11.810953880465462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12.833333333333334</v>
      </c>
      <c r="CT38" s="13">
        <f>IF('Données projet'!$A$140&gt;35,CT37+CS38-DB37,IF(A38&lt;'Données projet'!$A$140,$CQ$205^A38,IF(A38='Données projet'!$A$140,'Données projet'!$B$140,CT37+CS38-DB37)))</f>
        <v>235.16666666666666</v>
      </c>
      <c r="CU38" s="18">
        <f>CT38*VLOOKUP('Données projet'!$B$13,Paramètres!$A$1:$I$89,3,0)*VLOOKUP('Données projet'!$B$13,Paramètres!$A$1:$I$89,5,0)</f>
        <v>146.744</v>
      </c>
      <c r="CV38" s="14">
        <f t="shared" si="41"/>
        <v>37.837705514258651</v>
      </c>
      <c r="CW38" s="22">
        <f t="shared" si="13"/>
        <v>321.47980377066716</v>
      </c>
      <c r="CX38" s="62">
        <f t="shared" si="14"/>
        <v>614.81313710400048</v>
      </c>
      <c r="CY38" s="62">
        <f ca="1">AVERAGE(OFFSET($CX$3,0,0,'Données projet'!$E$13+1,1))-AVERAGE(OFFSET($H$3,0,0,'Données projet'!$E$13+1,1))</f>
        <v>175.05987582828078</v>
      </c>
      <c r="CZ38" s="62">
        <f t="shared" si="42"/>
        <v>268.54782308462387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7.9051936149433555</v>
      </c>
      <c r="DH38" s="23">
        <f>EXP(-LN(2)/2)*DH37+(1-EXP(-LN(2)/2))/(LN(2)/2)*DB38*DE38*VLOOKUP('Données projet'!$B$13,Paramètres!$A$1:$I$89,3,0)*0.475*44/12</f>
        <v>2.2360417721250676</v>
      </c>
      <c r="DI38" s="24">
        <f t="shared" si="15"/>
        <v>10.141235387068424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229</v>
      </c>
      <c r="DM38" s="13">
        <f>VLOOKUP(A38,'Données projet'!$A$165:$I$185,9,0)</f>
        <v>16.600000000000001</v>
      </c>
      <c r="DN38" s="13">
        <f t="array" ref="DN38">INDEX(DM:DM,MIN(IF(ISNUMBER(DM38:DM234),ROW(DM38:DM234),"")))</f>
        <v>16.600000000000001</v>
      </c>
      <c r="DO38" s="13">
        <f>IF('Données projet'!$A$166&gt;35,DO37+DN38-DW37,IF(A38&lt;'Données projet'!$A$166,$DL$205^A38,IF(A38='Données projet'!$A$166,'Données projet'!$B$166,DO37+DN38-DW37)))</f>
        <v>229</v>
      </c>
      <c r="DP38" s="18">
        <f>DO38*VLOOKUP('Données projet'!$B$14,Paramètres!$A$1:$I$89,3,0)*VLOOKUP('Données projet'!$B$14,Paramètres!$A$1:$I$89,5,0)</f>
        <v>130.988</v>
      </c>
      <c r="DQ38" s="14">
        <f t="shared" si="43"/>
        <v>34.224556427728572</v>
      </c>
      <c r="DR38" s="22">
        <f t="shared" si="16"/>
        <v>287.74520244496057</v>
      </c>
      <c r="DS38" s="62">
        <f t="shared" si="17"/>
        <v>581.07853577829383</v>
      </c>
      <c r="DT38" s="62">
        <f ca="1">AVERAGE(OFFSET($DS$3,0,0,'Données projet'!$E$14+1,1))-AVERAGE(OFFSET($H$3,0,0,'Données projet'!$E$14+1,1))</f>
        <v>228.06050741667258</v>
      </c>
      <c r="DU38" s="62">
        <f t="shared" si="44"/>
        <v>191.94885821983536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49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0.22500000000000001</v>
      </c>
      <c r="DZ38" s="17">
        <f>IF(ISNA(VLOOKUP(A38,'Données projet'!$A$165:$I$185,7,0)),0%,VLOOKUP(A38,'Données projet'!$A$165:$I$185,7,0))</f>
        <v>0.5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16.368773554298734</v>
      </c>
      <c r="EC38" s="23">
        <f>EXP(-LN(2)/2)*EC37+(1-EXP(-LN(2)/2))/(LN(2)/2)*DW38*DZ38*VLOOKUP('Données projet'!$B$14,Paramètres!$A$1:$I$89,3,0)*0.475*44/12</f>
        <v>18.14037718155036</v>
      </c>
      <c r="ED38" s="24">
        <f t="shared" si="18"/>
        <v>34.50915073584909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267</v>
      </c>
      <c r="EH38" s="13">
        <f>VLOOKUP(A38,'Données projet'!$A$191:$I$211,9,0)</f>
        <v>7</v>
      </c>
      <c r="EI38" s="13">
        <f t="array" ref="EI38">INDEX(EH:EH,MIN(IF(ISNUMBER(EH38:EH234),ROW(EH38:EH234),"")))</f>
        <v>7</v>
      </c>
      <c r="EJ38" s="13">
        <f>IF('Données projet'!$A$192&gt;35,EJ37+EI38-ER37,IF(A38&lt;'Données projet'!$A$192,$EG$205^A38,IF(A38='Données projet'!$A$192,'Données projet'!$B$192,EJ37+EI38-ER37)))</f>
        <v>267</v>
      </c>
      <c r="EK38" s="18">
        <f>EJ38*VLOOKUP('Données projet'!$B$15,Paramètres!$A$1:$I$89,3,0)*VLOOKUP('Données projet'!$B$15,Paramètres!$A$1:$I$89,5,0)</f>
        <v>241.58159999999998</v>
      </c>
      <c r="EL38" s="14">
        <f t="shared" si="45"/>
        <v>58.779689232021951</v>
      </c>
      <c r="EM38" s="22">
        <f t="shared" si="19"/>
        <v>523.12924541243819</v>
      </c>
      <c r="EN38" s="62">
        <f t="shared" si="20"/>
        <v>816.46257874577145</v>
      </c>
      <c r="EO38" s="62">
        <f ca="1">AVERAGE(OFFSET($EN$3,0,0,'Données projet'!$E$15+1,1))-AVERAGE(OFFSET($H$3,0,0,'Données projet'!$E$15+1,1))</f>
        <v>315.23521260143986</v>
      </c>
      <c r="EP38" s="62">
        <f t="shared" si="46"/>
        <v>439.11021845472641</v>
      </c>
      <c r="EQ38" s="16">
        <f>IF(ISNA(VLOOKUP(A38,'Données projet'!$A$191:$I$211,3,0)),0,VLOOKUP(A38,'Données projet'!$A$191:$I$211,3,0))</f>
        <v>6</v>
      </c>
      <c r="ER38" s="16">
        <f>IF(ISNA(VLOOKUP(A38,'Données projet'!$A$191:$I$211,4,0)),0,VLOOKUP(A38,'Données projet'!$A$191:$I$211,4,0))</f>
        <v>9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301.57142857142844</v>
      </c>
      <c r="O39" s="14">
        <f>N39*VLOOKUP('Données projet'!$B$9,Paramètres!$A$1:$I$89,3,0)*VLOOKUP('Données projet'!$B$9,Paramètres!$A$1:$I$89,5,0)</f>
        <v>168.5784285714285</v>
      </c>
      <c r="P39" s="14">
        <f t="shared" si="33"/>
        <v>42.771483439273169</v>
      </c>
      <c r="Q39" s="22">
        <f t="shared" si="53"/>
        <v>368.10109675197208</v>
      </c>
      <c r="R39" s="62">
        <f t="shared" si="0"/>
        <v>661.43443008530539</v>
      </c>
      <c r="S39" s="62">
        <f ca="1">AVERAGE(OFFSET($R$3,0,0,'Données projet'!$E$9+1,1))-AVERAGE(OFFSET($H$3,0,0,'Données projet'!$E$9+1,1))</f>
        <v>302.20483575440988</v>
      </c>
      <c r="T39" s="62">
        <f t="shared" si="34"/>
        <v>275.32862097158687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18.856528914218341</v>
      </c>
      <c r="AB39" s="23">
        <f>EXP(-LN(2)/2)*AB38+(1-EXP(-LN(2)/2))/(LN(2)/2)*V39*Y39*VLOOKUP('Données projet'!$B$9,Paramètres!$A$1:$I$89,3,0)*0.475*44/12</f>
        <v>1.3759726302106574</v>
      </c>
      <c r="AC39" s="24">
        <f t="shared" si="3"/>
        <v>20.232501544428999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130.20000000000007</v>
      </c>
      <c r="AJ39" s="14">
        <f>AI39*VLOOKUP('Données projet'!$B$10,Paramètres!$A$1:$I$89,3,0)*VLOOKUP('Données projet'!$B$10,Paramètres!$A$1:$I$89,5,0)</f>
        <v>117.80496000000005</v>
      </c>
      <c r="AK39" s="14">
        <f t="shared" si="35"/>
        <v>31.162493487829593</v>
      </c>
      <c r="AL39" s="22">
        <f t="shared" si="4"/>
        <v>259.45164815796994</v>
      </c>
      <c r="AM39" s="62">
        <f t="shared" si="5"/>
        <v>552.78498149130326</v>
      </c>
      <c r="AN39" s="62">
        <f ca="1">AVERAGE(OFFSET($AM$3,0,0,'Données projet'!$E$10+1,1))-AVERAGE(OFFSET($H$3,0,0,'Données projet'!$E$10+1,1))</f>
        <v>384.44848355636935</v>
      </c>
      <c r="AO39" s="62">
        <f t="shared" si="36"/>
        <v>203.5274665601915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130.20000000000007</v>
      </c>
      <c r="BE39" s="14">
        <f>BD39*VLOOKUP('Données projet'!$B$11,Paramètres!$A$1:$I$89,3,0)*VLOOKUP('Données projet'!$B$11,Paramètres!$A$1:$I$89,5,0)</f>
        <v>132.02280000000007</v>
      </c>
      <c r="BF39" s="14">
        <f t="shared" si="37"/>
        <v>34.463348169992798</v>
      </c>
      <c r="BG39" s="22">
        <f t="shared" si="7"/>
        <v>289.96337472940422</v>
      </c>
      <c r="BH39" s="62">
        <f t="shared" si="8"/>
        <v>583.29670806273748</v>
      </c>
      <c r="BI39" s="62">
        <f ca="1">AVERAGE(OFFSET($BH$3,0,0,'Données projet'!$E$11+1,1))-AVERAGE(OFFSET($H$3,0,0,'Données projet'!$E$11+1,1))</f>
        <v>440.60698566758532</v>
      </c>
      <c r="BJ39" s="62">
        <f t="shared" si="38"/>
        <v>231.92898690465887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14.4</v>
      </c>
      <c r="BY39" s="13">
        <f>IF('Données projet'!$A$114&gt;35,BY38+BX39-CG38,IF(A39&lt;'Données projet'!$A$114,$BV$205^A39,IF(A39='Données projet'!$A$114,'Données projet'!$B$114,BY38+BX39-CG38)))</f>
        <v>206.40000000000003</v>
      </c>
      <c r="BZ39" s="14">
        <f>BY39*VLOOKUP('Données projet'!$B$12,Paramètres!$A$1:$I$89,3,0)*VLOOKUP('Données projet'!$B$12,Paramètres!$A$1:$I$89,5,0)</f>
        <v>123.42720000000003</v>
      </c>
      <c r="CA39" s="14">
        <f t="shared" si="39"/>
        <v>32.473022671122074</v>
      </c>
      <c r="CB39" s="22">
        <f t="shared" si="10"/>
        <v>271.5262211522043</v>
      </c>
      <c r="CC39" s="62">
        <f t="shared" si="11"/>
        <v>564.85955448553761</v>
      </c>
      <c r="CD39" s="62">
        <f ca="1">AVERAGE(OFFSET($CC$3,0,0,'Données projet'!$E$12+1,1))-AVERAGE(OFFSET($H$3,0,0,'Données projet'!$E$12+1,1))</f>
        <v>287.29865338866551</v>
      </c>
      <c r="CE39" s="62">
        <f t="shared" si="40"/>
        <v>217.57508587672368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9.2757357780383725</v>
      </c>
      <c r="CM39" s="23">
        <f>EXP(-LN(2)/2)*CM38+(1-EXP(-LN(2)/2))/(LN(2)/2)*CG39*CJ39*VLOOKUP('Données projet'!$B$12,Paramètres!$A$1:$I$89,3,0)*0.475*44/12</f>
        <v>1.6082731315624359</v>
      </c>
      <c r="CN39" s="24">
        <f t="shared" si="12"/>
        <v>10.884008909600809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>
        <f>VLOOKUP(A39,'Données projet'!$A$139:$I$159,2,0)</f>
        <v>248</v>
      </c>
      <c r="CR39" s="13">
        <f>VLOOKUP(A39,'Données projet'!$A$139:$I$159,9,0)</f>
        <v>12.833333333333334</v>
      </c>
      <c r="CS39" s="13">
        <f t="array" ref="CS39">INDEX(CR:CR,MIN(IF(ISNUMBER(CR39:CR235),ROW(CR39:CR235),"")))</f>
        <v>12.833333333333334</v>
      </c>
      <c r="CT39" s="13">
        <f>IF('Données projet'!$A$140&gt;35,CT38+CS39-DB38,IF(A39&lt;'Données projet'!$A$140,$CQ$205^A39,IF(A39='Données projet'!$A$140,'Données projet'!$B$140,CT38+CS39-DB38)))</f>
        <v>248</v>
      </c>
      <c r="CU39" s="18">
        <f>CT39*VLOOKUP('Données projet'!$B$13,Paramètres!$A$1:$I$89,3,0)*VLOOKUP('Données projet'!$B$13,Paramètres!$A$1:$I$89,5,0)</f>
        <v>154.75199999999998</v>
      </c>
      <c r="CV39" s="14">
        <f t="shared" si="41"/>
        <v>39.656526650076415</v>
      </c>
      <c r="CW39" s="22">
        <f t="shared" si="13"/>
        <v>338.5948505822164</v>
      </c>
      <c r="CX39" s="62">
        <f t="shared" si="14"/>
        <v>631.92818391554965</v>
      </c>
      <c r="CY39" s="62">
        <f ca="1">AVERAGE(OFFSET($CX$3,0,0,'Données projet'!$E$13+1,1))-AVERAGE(OFFSET($H$3,0,0,'Données projet'!$E$13+1,1))</f>
        <v>175.05987582828078</v>
      </c>
      <c r="CZ39" s="62">
        <f t="shared" si="42"/>
        <v>268.54782308462387</v>
      </c>
      <c r="DA39" s="16">
        <f>IF(ISNA(VLOOKUP(A39,'Données projet'!$A$139:$I$159,3,0)),0,VLOOKUP(A39,'Données projet'!$A$139:$I$159,3,0))</f>
        <v>5</v>
      </c>
      <c r="DB39" s="16">
        <f>IF(ISNA(VLOOKUP(A39,'Données projet'!$A$139:$I$159,4,0)),0,VLOOKUP(A39,'Données projet'!$A$139:$I$159,4,0))</f>
        <v>62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7.6890256798266652</v>
      </c>
      <c r="DH39" s="23">
        <f>EXP(-LN(2)/2)*DH38+(1-EXP(-LN(2)/2))/(LN(2)/2)*DB39*DE39*VLOOKUP('Données projet'!$B$13,Paramètres!$A$1:$I$89,3,0)*0.475*44/12</f>
        <v>1.5811203000860203</v>
      </c>
      <c r="DI39" s="24">
        <f t="shared" si="15"/>
        <v>9.2701459799126855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15.2</v>
      </c>
      <c r="DO39" s="13">
        <f>IF('Données projet'!$A$166&gt;35,DO38+DN39-DW38,IF(A39&lt;'Données projet'!$A$166,$DL$205^A39,IF(A39='Données projet'!$A$166,'Données projet'!$B$166,DO38+DN39-DW38)))</f>
        <v>195.2</v>
      </c>
      <c r="DP39" s="18">
        <f>DO39*VLOOKUP('Données projet'!$B$14,Paramètres!$A$1:$I$89,3,0)*VLOOKUP('Données projet'!$B$14,Paramètres!$A$1:$I$89,5,0)</f>
        <v>111.6544</v>
      </c>
      <c r="DQ39" s="14">
        <f t="shared" si="43"/>
        <v>29.720434817267506</v>
      </c>
      <c r="DR39" s="22">
        <f t="shared" si="16"/>
        <v>246.22783730674089</v>
      </c>
      <c r="DS39" s="62">
        <f t="shared" si="17"/>
        <v>539.56117064007424</v>
      </c>
      <c r="DT39" s="62">
        <f ca="1">AVERAGE(OFFSET($DS$3,0,0,'Données projet'!$E$14+1,1))-AVERAGE(OFFSET($H$3,0,0,'Données projet'!$E$14+1,1))</f>
        <v>228.06050741667258</v>
      </c>
      <c r="DU39" s="62">
        <f t="shared" si="44"/>
        <v>191.94885821983536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15.921168580660046</v>
      </c>
      <c r="EC39" s="23">
        <f>EXP(-LN(2)/2)*EC38+(1-EXP(-LN(2)/2))/(LN(2)/2)*DW39*DZ39*VLOOKUP('Données projet'!$B$14,Paramètres!$A$1:$I$89,3,0)*0.475*44/12</f>
        <v>12.82718371835597</v>
      </c>
      <c r="ED39" s="24">
        <f t="shared" si="18"/>
        <v>28.748352299016016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6.2</v>
      </c>
      <c r="EJ39" s="13">
        <f>IF('Données projet'!$A$192&gt;35,EJ38+EI39-ER38,IF(A39&lt;'Données projet'!$A$192,$EG$205^A39,IF(A39='Données projet'!$A$192,'Données projet'!$B$192,EJ38+EI39-ER38)))</f>
        <v>264.2</v>
      </c>
      <c r="EK39" s="18">
        <f>EJ39*VLOOKUP('Données projet'!$B$15,Paramètres!$A$1:$I$89,3,0)*VLOOKUP('Données projet'!$B$15,Paramètres!$A$1:$I$89,5,0)</f>
        <v>239.04816</v>
      </c>
      <c r="EL39" s="14">
        <f t="shared" si="45"/>
        <v>58.234690128947292</v>
      </c>
      <c r="EM39" s="22">
        <f t="shared" si="19"/>
        <v>517.76763064124987</v>
      </c>
      <c r="EN39" s="62">
        <f t="shared" si="20"/>
        <v>811.10096397458324</v>
      </c>
      <c r="EO39" s="62">
        <f ca="1">AVERAGE(OFFSET($EN$3,0,0,'Données projet'!$E$15+1,1))-AVERAGE(OFFSET($H$3,0,0,'Données projet'!$E$15+1,1))</f>
        <v>315.23521260143986</v>
      </c>
      <c r="EP39" s="62">
        <f t="shared" si="46"/>
        <v>439.11021845472641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321.142857142857</v>
      </c>
      <c r="O40" s="14">
        <f>N40*VLOOKUP('Données projet'!$B$9,Paramètres!$A$1:$I$89,3,0)*VLOOKUP('Données projet'!$B$9,Paramètres!$A$1:$I$89,5,0)</f>
        <v>179.51885714285706</v>
      </c>
      <c r="P40" s="14">
        <f t="shared" si="33"/>
        <v>45.215124075787188</v>
      </c>
      <c r="Q40" s="22">
        <f t="shared" si="53"/>
        <v>391.41168395580547</v>
      </c>
      <c r="R40" s="62">
        <f t="shared" si="0"/>
        <v>684.74501728913879</v>
      </c>
      <c r="S40" s="62">
        <f ca="1">AVERAGE(OFFSET($R$3,0,0,'Données projet'!$E$9+1,1))-AVERAGE(OFFSET($H$3,0,0,'Données projet'!$E$9+1,1))</f>
        <v>302.20483575440988</v>
      </c>
      <c r="T40" s="62">
        <f t="shared" si="34"/>
        <v>275.32862097158687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18.340896139437284</v>
      </c>
      <c r="AB40" s="23">
        <f>EXP(-LN(2)/2)*AB39+(1-EXP(-LN(2)/2))/(LN(2)/2)*V40*Y40*VLOOKUP('Données projet'!$B$9,Paramètres!$A$1:$I$89,3,0)*0.475*44/12</f>
        <v>0.97295957754904572</v>
      </c>
      <c r="AC40" s="24">
        <f t="shared" si="3"/>
        <v>19.313855716986328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141.40000000000006</v>
      </c>
      <c r="AJ40" s="14">
        <f>AI40*VLOOKUP('Données projet'!$B$10,Paramètres!$A$1:$I$89,3,0)*VLOOKUP('Données projet'!$B$10,Paramètres!$A$1:$I$89,5,0)</f>
        <v>127.93872000000005</v>
      </c>
      <c r="AK40" s="14">
        <f t="shared" si="35"/>
        <v>33.519615889545641</v>
      </c>
      <c r="AL40" s="22">
        <f t="shared" si="4"/>
        <v>281.20660167429202</v>
      </c>
      <c r="AM40" s="62">
        <f t="shared" si="5"/>
        <v>574.53993500762533</v>
      </c>
      <c r="AN40" s="62">
        <f ca="1">AVERAGE(OFFSET($AM$3,0,0,'Données projet'!$E$10+1,1))-AVERAGE(OFFSET($H$3,0,0,'Données projet'!$E$10+1,1))</f>
        <v>384.44848355636935</v>
      </c>
      <c r="AO40" s="62">
        <f t="shared" si="36"/>
        <v>203.5274665601915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141.40000000000006</v>
      </c>
      <c r="BE40" s="14">
        <f>BD40*VLOOKUP('Données projet'!$B$11,Paramètres!$A$1:$I$89,3,0)*VLOOKUP('Données projet'!$B$11,Paramètres!$A$1:$I$89,5,0)</f>
        <v>143.37960000000007</v>
      </c>
      <c r="BF40" s="14">
        <f t="shared" si="37"/>
        <v>37.070146308317504</v>
      </c>
      <c r="BG40" s="22">
        <f t="shared" si="7"/>
        <v>314.28330815365308</v>
      </c>
      <c r="BH40" s="62">
        <f t="shared" si="8"/>
        <v>607.6166414869864</v>
      </c>
      <c r="BI40" s="62">
        <f ca="1">AVERAGE(OFFSET($BH$3,0,0,'Données projet'!$E$11+1,1))-AVERAGE(OFFSET($H$3,0,0,'Données projet'!$E$11+1,1))</f>
        <v>440.60698566758532</v>
      </c>
      <c r="BJ40" s="62">
        <f t="shared" si="38"/>
        <v>231.92898690465887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14.4</v>
      </c>
      <c r="BY40" s="13">
        <f>IF('Données projet'!$A$114&gt;35,BY39+BX40-CG39,IF(A40&lt;'Données projet'!$A$114,$BV$205^A40,IF(A40='Données projet'!$A$114,'Données projet'!$B$114,BY39+BX40-CG39)))</f>
        <v>220.80000000000004</v>
      </c>
      <c r="BZ40" s="14">
        <f>BY40*VLOOKUP('Données projet'!$B$12,Paramètres!$A$1:$I$89,3,0)*VLOOKUP('Données projet'!$B$12,Paramètres!$A$1:$I$89,5,0)</f>
        <v>132.03840000000005</v>
      </c>
      <c r="CA40" s="14">
        <f t="shared" si="39"/>
        <v>34.466946374534373</v>
      </c>
      <c r="CB40" s="22">
        <f t="shared" si="10"/>
        <v>289.99681160231415</v>
      </c>
      <c r="CC40" s="62">
        <f t="shared" si="11"/>
        <v>583.33014493564747</v>
      </c>
      <c r="CD40" s="62">
        <f ca="1">AVERAGE(OFFSET($CC$3,0,0,'Données projet'!$E$12+1,1))-AVERAGE(OFFSET($H$3,0,0,'Données projet'!$E$12+1,1))</f>
        <v>287.29865338866551</v>
      </c>
      <c r="CE40" s="62">
        <f t="shared" si="40"/>
        <v>217.57508587672368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9.0220902953981685</v>
      </c>
      <c r="CM40" s="23">
        <f>EXP(-LN(2)/2)*CM39+(1-EXP(-LN(2)/2))/(LN(2)/2)*CG40*CJ40*VLOOKUP('Données projet'!$B$12,Paramètres!$A$1:$I$89,3,0)*0.475*44/12</f>
        <v>1.1372208373279229</v>
      </c>
      <c r="CN40" s="24">
        <f t="shared" si="12"/>
        <v>10.159311132726092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197.5</v>
      </c>
      <c r="CU40" s="18">
        <f>CT40*VLOOKUP('Données projet'!$B$13,Paramètres!$A$1:$I$89,3,0)*VLOOKUP('Données projet'!$B$13,Paramètres!$A$1:$I$89,5,0)</f>
        <v>123.24</v>
      </c>
      <c r="CV40" s="14">
        <f t="shared" si="41"/>
        <v>32.429500380369056</v>
      </c>
      <c r="CW40" s="22">
        <f t="shared" si="13"/>
        <v>271.12437982914275</v>
      </c>
      <c r="CX40" s="62">
        <f t="shared" si="14"/>
        <v>564.45771316247601</v>
      </c>
      <c r="CY40" s="62">
        <f ca="1">AVERAGE(OFFSET($CX$3,0,0,'Données projet'!$E$13+1,1))-AVERAGE(OFFSET($H$3,0,0,'Données projet'!$E$13+1,1))</f>
        <v>175.05987582828078</v>
      </c>
      <c r="CZ40" s="62">
        <f t="shared" si="42"/>
        <v>268.54782308462387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7.4787688682635176</v>
      </c>
      <c r="DH40" s="23">
        <f>EXP(-LN(2)/2)*DH39+(1-EXP(-LN(2)/2))/(LN(2)/2)*DB40*DE40*VLOOKUP('Données projet'!$B$13,Paramètres!$A$1:$I$89,3,0)*0.475*44/12</f>
        <v>1.118020886062534</v>
      </c>
      <c r="DI40" s="24">
        <f t="shared" si="15"/>
        <v>8.5967897543260516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15.2</v>
      </c>
      <c r="DO40" s="13">
        <f>IF('Données projet'!$A$166&gt;35,DO39+DN40-DW39,IF(A40&lt;'Données projet'!$A$166,$DL$205^A40,IF(A40='Données projet'!$A$166,'Données projet'!$B$166,DO39+DN40-DW39)))</f>
        <v>210.39999999999998</v>
      </c>
      <c r="DP40" s="18">
        <f>DO40*VLOOKUP('Données projet'!$B$14,Paramètres!$A$1:$I$89,3,0)*VLOOKUP('Données projet'!$B$14,Paramètres!$A$1:$I$89,5,0)</f>
        <v>120.3488</v>
      </c>
      <c r="DQ40" s="14">
        <f t="shared" si="43"/>
        <v>31.756337418906501</v>
      </c>
      <c r="DR40" s="22">
        <f t="shared" si="16"/>
        <v>264.91644767126212</v>
      </c>
      <c r="DS40" s="62">
        <f t="shared" si="17"/>
        <v>558.24978100459543</v>
      </c>
      <c r="DT40" s="62">
        <f ca="1">AVERAGE(OFFSET($DS$3,0,0,'Données projet'!$E$14+1,1))-AVERAGE(OFFSET($H$3,0,0,'Données projet'!$E$14+1,1))</f>
        <v>228.06050741667258</v>
      </c>
      <c r="DU40" s="62">
        <f t="shared" si="44"/>
        <v>191.94885821983536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15.48580338856403</v>
      </c>
      <c r="EC40" s="23">
        <f>EXP(-LN(2)/2)*EC39+(1-EXP(-LN(2)/2))/(LN(2)/2)*DW40*DZ40*VLOOKUP('Données projet'!$B$14,Paramètres!$A$1:$I$89,3,0)*0.475*44/12</f>
        <v>9.0701885907751798</v>
      </c>
      <c r="ED40" s="24">
        <f t="shared" si="18"/>
        <v>24.555991979339211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6.2</v>
      </c>
      <c r="EJ40" s="13">
        <f>IF('Données projet'!$A$192&gt;35,EJ39+EI40-ER39,IF(A40&lt;'Données projet'!$A$192,$EG$205^A40,IF(A40='Données projet'!$A$192,'Données projet'!$B$192,EJ39+EI40-ER39)))</f>
        <v>270.39999999999998</v>
      </c>
      <c r="EK40" s="18">
        <f>EJ40*VLOOKUP('Données projet'!$B$15,Paramètres!$A$1:$I$89,3,0)*VLOOKUP('Données projet'!$B$15,Paramètres!$A$1:$I$89,5,0)</f>
        <v>244.65791999999996</v>
      </c>
      <c r="EL40" s="14">
        <f t="shared" si="45"/>
        <v>59.44058075210868</v>
      </c>
      <c r="EM40" s="22">
        <f t="shared" si="19"/>
        <v>529.6382221432558</v>
      </c>
      <c r="EN40" s="62">
        <f t="shared" si="20"/>
        <v>822.97155547658917</v>
      </c>
      <c r="EO40" s="62">
        <f ca="1">AVERAGE(OFFSET($EN$3,0,0,'Données projet'!$E$15+1,1))-AVERAGE(OFFSET($H$3,0,0,'Données projet'!$E$15+1,1))</f>
        <v>315.23521260143986</v>
      </c>
      <c r="EP40" s="62">
        <f t="shared" si="46"/>
        <v>439.11021845472641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340.71428571428555</v>
      </c>
      <c r="O41" s="14">
        <f>N41*VLOOKUP('Données projet'!$B$9,Paramètres!$A$1:$I$89,3,0)*VLOOKUP('Données projet'!$B$9,Paramètres!$A$1:$I$89,5,0)</f>
        <v>190.45928571428561</v>
      </c>
      <c r="P41" s="14">
        <f t="shared" si="33"/>
        <v>47.641480128932045</v>
      </c>
      <c r="Q41" s="22">
        <f t="shared" si="53"/>
        <v>414.6921671769374</v>
      </c>
      <c r="R41" s="62">
        <f t="shared" si="0"/>
        <v>708.02550051027072</v>
      </c>
      <c r="S41" s="62">
        <f ca="1">AVERAGE(OFFSET($R$3,0,0,'Données projet'!$E$9+1,1))-AVERAGE(OFFSET($H$3,0,0,'Données projet'!$E$9+1,1))</f>
        <v>302.20483575440988</v>
      </c>
      <c r="T41" s="62">
        <f t="shared" si="34"/>
        <v>275.32862097158687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17.839363369998562</v>
      </c>
      <c r="AB41" s="23">
        <f>EXP(-LN(2)/2)*AB40+(1-EXP(-LN(2)/2))/(LN(2)/2)*V41*Y41*VLOOKUP('Données projet'!$B$9,Paramètres!$A$1:$I$89,3,0)*0.475*44/12</f>
        <v>0.68798631510532882</v>
      </c>
      <c r="AC41" s="24">
        <f t="shared" si="3"/>
        <v>18.527349685103889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152.60000000000005</v>
      </c>
      <c r="AJ41" s="14">
        <f>AI41*VLOOKUP('Données projet'!$B$10,Paramètres!$A$1:$I$89,3,0)*VLOOKUP('Données projet'!$B$10,Paramètres!$A$1:$I$89,5,0)</f>
        <v>138.07248000000004</v>
      </c>
      <c r="AK41" s="14">
        <f t="shared" si="35"/>
        <v>35.85508207677799</v>
      </c>
      <c r="AL41" s="22">
        <f t="shared" si="4"/>
        <v>302.92383728372175</v>
      </c>
      <c r="AM41" s="62">
        <f t="shared" si="5"/>
        <v>596.25717061705507</v>
      </c>
      <c r="AN41" s="62">
        <f ca="1">AVERAGE(OFFSET($AM$3,0,0,'Données projet'!$E$10+1,1))-AVERAGE(OFFSET($H$3,0,0,'Données projet'!$E$10+1,1))</f>
        <v>384.44848355636935</v>
      </c>
      <c r="AO41" s="62">
        <f t="shared" si="36"/>
        <v>203.5274665601915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152.60000000000005</v>
      </c>
      <c r="BE41" s="14">
        <f>BD41*VLOOKUP('Données projet'!$B$11,Paramètres!$A$1:$I$89,3,0)*VLOOKUP('Données projet'!$B$11,Paramètres!$A$1:$I$89,5,0)</f>
        <v>154.73640000000006</v>
      </c>
      <c r="BF41" s="14">
        <f t="shared" si="37"/>
        <v>39.652994320183701</v>
      </c>
      <c r="BG41" s="22">
        <f t="shared" si="7"/>
        <v>338.56152844098671</v>
      </c>
      <c r="BH41" s="62">
        <f t="shared" si="8"/>
        <v>631.89486177432002</v>
      </c>
      <c r="BI41" s="62">
        <f ca="1">AVERAGE(OFFSET($BH$3,0,0,'Données projet'!$E$11+1,1))-AVERAGE(OFFSET($H$3,0,0,'Données projet'!$E$11+1,1))</f>
        <v>440.60698566758532</v>
      </c>
      <c r="BJ41" s="62">
        <f t="shared" si="38"/>
        <v>231.92898690465887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14.4</v>
      </c>
      <c r="BY41" s="13">
        <f>IF('Données projet'!$A$114&gt;35,BY40+BX41-CG40,IF(A41&lt;'Données projet'!$A$114,$BV$205^A41,IF(A41='Données projet'!$A$114,'Données projet'!$B$114,BY40+BX41-CG40)))</f>
        <v>235.20000000000005</v>
      </c>
      <c r="BZ41" s="14">
        <f>BY41*VLOOKUP('Données projet'!$B$12,Paramètres!$A$1:$I$89,3,0)*VLOOKUP('Données projet'!$B$12,Paramètres!$A$1:$I$89,5,0)</f>
        <v>140.64960000000002</v>
      </c>
      <c r="CA41" s="14">
        <f t="shared" si="39"/>
        <v>36.445779615258601</v>
      </c>
      <c r="CB41" s="22">
        <f t="shared" si="10"/>
        <v>308.44111949657542</v>
      </c>
      <c r="CC41" s="62">
        <f t="shared" si="11"/>
        <v>601.7744528299088</v>
      </c>
      <c r="CD41" s="62">
        <f ca="1">AVERAGE(OFFSET($CC$3,0,0,'Données projet'!$E$12+1,1))-AVERAGE(OFFSET($H$3,0,0,'Données projet'!$E$12+1,1))</f>
        <v>287.29865338866551</v>
      </c>
      <c r="CE41" s="62">
        <f t="shared" si="40"/>
        <v>217.57508587672368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8.7753807618193971</v>
      </c>
      <c r="CM41" s="23">
        <f>EXP(-LN(2)/2)*CM40+(1-EXP(-LN(2)/2))/(LN(2)/2)*CG41*CJ41*VLOOKUP('Données projet'!$B$12,Paramètres!$A$1:$I$89,3,0)*0.475*44/12</f>
        <v>0.80413656578121795</v>
      </c>
      <c r="CN41" s="24">
        <f t="shared" si="12"/>
        <v>9.5795173276006143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11.5</v>
      </c>
      <c r="CT41" s="13">
        <f>IF('Données projet'!$A$140&gt;35,CT40+CS41-DB40,IF(A41&lt;'Données projet'!$A$140,$CQ$205^A41,IF(A41='Données projet'!$A$140,'Données projet'!$B$140,CT40+CS41-DB40)))</f>
        <v>209</v>
      </c>
      <c r="CU41" s="18">
        <f>CT41*VLOOKUP('Données projet'!$B$13,Paramètres!$A$1:$I$89,3,0)*VLOOKUP('Données projet'!$B$13,Paramètres!$A$1:$I$89,5,0)</f>
        <v>130.416</v>
      </c>
      <c r="CV41" s="14">
        <f t="shared" si="41"/>
        <v>34.092466837179941</v>
      </c>
      <c r="CW41" s="22">
        <f t="shared" si="13"/>
        <v>286.51891307475506</v>
      </c>
      <c r="CX41" s="62">
        <f t="shared" si="14"/>
        <v>579.85224640808838</v>
      </c>
      <c r="CY41" s="62">
        <f ca="1">AVERAGE(OFFSET($CX$3,0,0,'Données projet'!$E$13+1,1))-AVERAGE(OFFSET($H$3,0,0,'Données projet'!$E$13+1,1))</f>
        <v>175.05987582828078</v>
      </c>
      <c r="CZ41" s="62">
        <f t="shared" si="42"/>
        <v>268.54782308462387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7.2742615402694897</v>
      </c>
      <c r="DH41" s="23">
        <f>EXP(-LN(2)/2)*DH40+(1-EXP(-LN(2)/2))/(LN(2)/2)*DB41*DE41*VLOOKUP('Données projet'!$B$13,Paramètres!$A$1:$I$89,3,0)*0.475*44/12</f>
        <v>0.79056015004301028</v>
      </c>
      <c r="DI41" s="24">
        <f t="shared" si="15"/>
        <v>8.0648216903125007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15.2</v>
      </c>
      <c r="DO41" s="13">
        <f>IF('Données projet'!$A$166&gt;35,DO40+DN41-DW40,IF(A41&lt;'Données projet'!$A$166,$DL$205^A41,IF(A41='Données projet'!$A$166,'Données projet'!$B$166,DO40+DN41-DW40)))</f>
        <v>225.59999999999997</v>
      </c>
      <c r="DP41" s="18">
        <f>DO41*VLOOKUP('Données projet'!$B$14,Paramètres!$A$1:$I$89,3,0)*VLOOKUP('Données projet'!$B$14,Paramètres!$A$1:$I$89,5,0)</f>
        <v>129.04319999999998</v>
      </c>
      <c r="DQ41" s="14">
        <f t="shared" si="43"/>
        <v>33.775175980637393</v>
      </c>
      <c r="DR41" s="22">
        <f t="shared" si="16"/>
        <v>283.57533816627671</v>
      </c>
      <c r="DS41" s="62">
        <f t="shared" si="17"/>
        <v>576.90867149961002</v>
      </c>
      <c r="DT41" s="62">
        <f ca="1">AVERAGE(OFFSET($DS$3,0,0,'Données projet'!$E$14+1,1))-AVERAGE(OFFSET($H$3,0,0,'Données projet'!$E$14+1,1))</f>
        <v>228.06050741667258</v>
      </c>
      <c r="DU41" s="62">
        <f t="shared" si="44"/>
        <v>191.94885821983536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15.062343280540739</v>
      </c>
      <c r="EC41" s="23">
        <f>EXP(-LN(2)/2)*EC40+(1-EXP(-LN(2)/2))/(LN(2)/2)*DW41*DZ41*VLOOKUP('Données projet'!$B$14,Paramètres!$A$1:$I$89,3,0)*0.475*44/12</f>
        <v>6.413591859177985</v>
      </c>
      <c r="ED41" s="24">
        <f t="shared" si="18"/>
        <v>21.475935139718725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6.2</v>
      </c>
      <c r="EJ41" s="13">
        <f>IF('Données projet'!$A$192&gt;35,EJ40+EI41-ER40,IF(A41&lt;'Données projet'!$A$192,$EG$205^A41,IF(A41='Données projet'!$A$192,'Données projet'!$B$192,EJ40+EI41-ER40)))</f>
        <v>276.59999999999997</v>
      </c>
      <c r="EK41" s="18">
        <f>EJ41*VLOOKUP('Données projet'!$B$15,Paramètres!$A$1:$I$89,3,0)*VLOOKUP('Données projet'!$B$15,Paramètres!$A$1:$I$89,5,0)</f>
        <v>250.26767999999996</v>
      </c>
      <c r="EL41" s="14">
        <f t="shared" si="45"/>
        <v>60.643256925083442</v>
      </c>
      <c r="EM41" s="22">
        <f t="shared" si="19"/>
        <v>541.50321514452014</v>
      </c>
      <c r="EN41" s="62">
        <f t="shared" si="20"/>
        <v>834.83654847785351</v>
      </c>
      <c r="EO41" s="62">
        <f ca="1">AVERAGE(OFFSET($EN$3,0,0,'Données projet'!$E$15+1,1))-AVERAGE(OFFSET($H$3,0,0,'Données projet'!$E$15+1,1))</f>
        <v>315.23521260143986</v>
      </c>
      <c r="EP41" s="62">
        <f t="shared" si="46"/>
        <v>439.11021845472641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360.28571428571411</v>
      </c>
      <c r="O42" s="14">
        <f>N42*VLOOKUP('Données projet'!$B$9,Paramètres!$A$1:$I$89,3,0)*VLOOKUP('Données projet'!$B$9,Paramètres!$A$1:$I$89,5,0)</f>
        <v>201.39971428571417</v>
      </c>
      <c r="P42" s="14">
        <f t="shared" si="33"/>
        <v>50.051657588658017</v>
      </c>
      <c r="Q42" s="22">
        <f t="shared" si="53"/>
        <v>437.94447268119819</v>
      </c>
      <c r="R42" s="62">
        <f t="shared" si="0"/>
        <v>731.27780601453151</v>
      </c>
      <c r="S42" s="62">
        <f ca="1">AVERAGE(OFFSET($R$3,0,0,'Données projet'!$E$9+1,1))-AVERAGE(OFFSET($H$3,0,0,'Données projet'!$E$9+1,1))</f>
        <v>302.20483575440988</v>
      </c>
      <c r="T42" s="62">
        <f t="shared" si="34"/>
        <v>275.32862097158687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17.351545040514605</v>
      </c>
      <c r="AB42" s="23">
        <f>EXP(-LN(2)/2)*AB41+(1-EXP(-LN(2)/2))/(LN(2)/2)*V42*Y42*VLOOKUP('Données projet'!$B$9,Paramètres!$A$1:$I$89,3,0)*0.475*44/12</f>
        <v>0.48647978877452291</v>
      </c>
      <c r="AC42" s="24">
        <f t="shared" si="3"/>
        <v>17.838024829289129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163.80000000000004</v>
      </c>
      <c r="AJ42" s="14">
        <f>AI42*VLOOKUP('Données projet'!$B$10,Paramètres!$A$1:$I$89,3,0)*VLOOKUP('Données projet'!$B$10,Paramètres!$A$1:$I$89,5,0)</f>
        <v>148.20624000000004</v>
      </c>
      <c r="AK42" s="14">
        <f t="shared" si="35"/>
        <v>38.170662245893794</v>
      </c>
      <c r="AL42" s="22">
        <f t="shared" si="4"/>
        <v>324.60643807826506</v>
      </c>
      <c r="AM42" s="62">
        <f t="shared" si="5"/>
        <v>617.93977141159837</v>
      </c>
      <c r="AN42" s="62">
        <f ca="1">AVERAGE(OFFSET($AM$3,0,0,'Données projet'!$E$10+1,1))-AVERAGE(OFFSET($H$3,0,0,'Données projet'!$E$10+1,1))</f>
        <v>384.44848355636935</v>
      </c>
      <c r="AO42" s="62">
        <f t="shared" si="36"/>
        <v>203.5274665601915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163.80000000000004</v>
      </c>
      <c r="BE42" s="14">
        <f>BD42*VLOOKUP('Données projet'!$B$11,Paramètres!$A$1:$I$89,3,0)*VLOOKUP('Données projet'!$B$11,Paramètres!$A$1:$I$89,5,0)</f>
        <v>166.09320000000005</v>
      </c>
      <c r="BF42" s="14">
        <f t="shared" si="37"/>
        <v>42.213849908165905</v>
      </c>
      <c r="BG42" s="22">
        <f t="shared" si="7"/>
        <v>362.80144525672239</v>
      </c>
      <c r="BH42" s="62">
        <f t="shared" si="8"/>
        <v>656.1347785900557</v>
      </c>
      <c r="BI42" s="62">
        <f ca="1">AVERAGE(OFFSET($BH$3,0,0,'Données projet'!$E$11+1,1))-AVERAGE(OFFSET($H$3,0,0,'Données projet'!$E$11+1,1))</f>
        <v>440.60698566758532</v>
      </c>
      <c r="BJ42" s="62">
        <f t="shared" si="38"/>
        <v>231.92898690465887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14.4</v>
      </c>
      <c r="BY42" s="13">
        <f>IF('Données projet'!$A$114&gt;35,BY41+BX42-CG41,IF(A42&lt;'Données projet'!$A$114,$BV$205^A42,IF(A42='Données projet'!$A$114,'Données projet'!$B$114,BY41+BX42-CG41)))</f>
        <v>249.60000000000005</v>
      </c>
      <c r="BZ42" s="14">
        <f>BY42*VLOOKUP('Données projet'!$B$12,Paramètres!$A$1:$I$89,3,0)*VLOOKUP('Données projet'!$B$12,Paramètres!$A$1:$I$89,5,0)</f>
        <v>149.26080000000005</v>
      </c>
      <c r="CA42" s="14">
        <f t="shared" si="39"/>
        <v>38.410551499792909</v>
      </c>
      <c r="CB42" s="22">
        <f t="shared" si="10"/>
        <v>326.86093719547273</v>
      </c>
      <c r="CC42" s="62">
        <f t="shared" si="11"/>
        <v>620.1942705288061</v>
      </c>
      <c r="CD42" s="62">
        <f ca="1">AVERAGE(OFFSET($CC$3,0,0,'Données projet'!$E$12+1,1))-AVERAGE(OFFSET($H$3,0,0,'Données projet'!$E$12+1,1))</f>
        <v>287.29865338866551</v>
      </c>
      <c r="CE42" s="62">
        <f t="shared" si="40"/>
        <v>217.57508587672368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8.535417513410227</v>
      </c>
      <c r="CM42" s="23">
        <f>EXP(-LN(2)/2)*CM41+(1-EXP(-LN(2)/2))/(LN(2)/2)*CG42*CJ42*VLOOKUP('Données projet'!$B$12,Paramètres!$A$1:$I$89,3,0)*0.475*44/12</f>
        <v>0.56861041866396145</v>
      </c>
      <c r="CN42" s="24">
        <f t="shared" si="12"/>
        <v>9.1040279320741888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11.5</v>
      </c>
      <c r="CT42" s="13">
        <f>IF('Données projet'!$A$140&gt;35,CT41+CS42-DB41,IF(A42&lt;'Données projet'!$A$140,$CQ$205^A42,IF(A42='Données projet'!$A$140,'Données projet'!$B$140,CT41+CS42-DB41)))</f>
        <v>220.5</v>
      </c>
      <c r="CU42" s="18">
        <f>CT42*VLOOKUP('Données projet'!$B$13,Paramètres!$A$1:$I$89,3,0)*VLOOKUP('Données projet'!$B$13,Paramètres!$A$1:$I$89,5,0)</f>
        <v>137.59199999999998</v>
      </c>
      <c r="CV42" s="14">
        <f t="shared" si="41"/>
        <v>35.744810729505772</v>
      </c>
      <c r="CW42" s="22">
        <f t="shared" si="13"/>
        <v>301.89494535388923</v>
      </c>
      <c r="CX42" s="62">
        <f t="shared" si="14"/>
        <v>595.22827868722254</v>
      </c>
      <c r="CY42" s="62">
        <f ca="1">AVERAGE(OFFSET($CX$3,0,0,'Données projet'!$E$13+1,1))-AVERAGE(OFFSET($H$3,0,0,'Données projet'!$E$13+1,1))</f>
        <v>175.05987582828078</v>
      </c>
      <c r="CZ42" s="62">
        <f t="shared" si="42"/>
        <v>268.54782308462387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7.0753464759140314</v>
      </c>
      <c r="DH42" s="23">
        <f>EXP(-LN(2)/2)*DH41+(1-EXP(-LN(2)/2))/(LN(2)/2)*DB42*DE42*VLOOKUP('Données projet'!$B$13,Paramètres!$A$1:$I$89,3,0)*0.475*44/12</f>
        <v>0.55901044303126712</v>
      </c>
      <c r="DI42" s="24">
        <f t="shared" si="15"/>
        <v>7.6343569189452989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15.2</v>
      </c>
      <c r="DO42" s="13">
        <f>IF('Données projet'!$A$166&gt;35,DO41+DN42-DW41,IF(A42&lt;'Données projet'!$A$166,$DL$205^A42,IF(A42='Données projet'!$A$166,'Données projet'!$B$166,DO41+DN42-DW41)))</f>
        <v>240.79999999999995</v>
      </c>
      <c r="DP42" s="18">
        <f>DO42*VLOOKUP('Données projet'!$B$14,Paramètres!$A$1:$I$89,3,0)*VLOOKUP('Données projet'!$B$14,Paramètres!$A$1:$I$89,5,0)</f>
        <v>137.73759999999999</v>
      </c>
      <c r="DQ42" s="14">
        <f t="shared" si="43"/>
        <v>35.778231015585945</v>
      </c>
      <c r="DR42" s="22">
        <f t="shared" si="16"/>
        <v>302.20673901881219</v>
      </c>
      <c r="DS42" s="62">
        <f t="shared" si="17"/>
        <v>595.54007235214544</v>
      </c>
      <c r="DT42" s="62">
        <f ca="1">AVERAGE(OFFSET($DS$3,0,0,'Données projet'!$E$14+1,1))-AVERAGE(OFFSET($H$3,0,0,'Données projet'!$E$14+1,1))</f>
        <v>228.06050741667258</v>
      </c>
      <c r="DU42" s="62">
        <f t="shared" si="44"/>
        <v>191.94885821983536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14.650462711440145</v>
      </c>
      <c r="EC42" s="23">
        <f>EXP(-LN(2)/2)*EC41+(1-EXP(-LN(2)/2))/(LN(2)/2)*DW42*DZ42*VLOOKUP('Données projet'!$B$14,Paramètres!$A$1:$I$89,3,0)*0.475*44/12</f>
        <v>4.5350942953875899</v>
      </c>
      <c r="ED42" s="24">
        <f t="shared" si="18"/>
        <v>19.185557006827736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6.2</v>
      </c>
      <c r="EJ42" s="13">
        <f>IF('Données projet'!$A$192&gt;35,EJ41+EI42-ER41,IF(A42&lt;'Données projet'!$A$192,$EG$205^A42,IF(A42='Données projet'!$A$192,'Données projet'!$B$192,EJ41+EI42-ER41)))</f>
        <v>282.79999999999995</v>
      </c>
      <c r="EK42" s="18">
        <f>EJ42*VLOOKUP('Données projet'!$B$15,Paramètres!$A$1:$I$89,3,0)*VLOOKUP('Données projet'!$B$15,Paramètres!$A$1:$I$89,5,0)</f>
        <v>255.87743999999998</v>
      </c>
      <c r="EL42" s="14">
        <f t="shared" si="45"/>
        <v>61.842798995505326</v>
      </c>
      <c r="EM42" s="22">
        <f t="shared" si="19"/>
        <v>553.36274958383854</v>
      </c>
      <c r="EN42" s="62">
        <f t="shared" si="20"/>
        <v>846.69608291717191</v>
      </c>
      <c r="EO42" s="62">
        <f ca="1">AVERAGE(OFFSET($EN$3,0,0,'Données projet'!$E$15+1,1))-AVERAGE(OFFSET($H$3,0,0,'Données projet'!$E$15+1,1))</f>
        <v>315.23521260143986</v>
      </c>
      <c r="EP42" s="62">
        <f t="shared" si="46"/>
        <v>439.11021845472641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379.85714285714266</v>
      </c>
      <c r="O43" s="14">
        <f>N43*VLOOKUP('Données projet'!$B$9,Paramètres!$A$1:$I$89,3,0)*VLOOKUP('Données projet'!$B$9,Paramètres!$A$1:$I$89,5,0)</f>
        <v>212.34014285714278</v>
      </c>
      <c r="P43" s="14">
        <f t="shared" si="33"/>
        <v>52.446635499473253</v>
      </c>
      <c r="Q43" s="22">
        <f t="shared" si="53"/>
        <v>461.17030563777286</v>
      </c>
      <c r="R43" s="62">
        <f t="shared" si="0"/>
        <v>754.50363897110617</v>
      </c>
      <c r="S43" s="62">
        <f ca="1">AVERAGE(OFFSET($R$3,0,0,'Données projet'!$E$9+1,1))-AVERAGE(OFFSET($H$3,0,0,'Données projet'!$E$9+1,1))</f>
        <v>302.20483575440988</v>
      </c>
      <c r="T43" s="62">
        <f t="shared" si="34"/>
        <v>275.32862097158687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16.877066128903635</v>
      </c>
      <c r="AB43" s="23">
        <f>EXP(-LN(2)/2)*AB42+(1-EXP(-LN(2)/2))/(LN(2)/2)*V43*Y43*VLOOKUP('Données projet'!$B$9,Paramètres!$A$1:$I$89,3,0)*0.475*44/12</f>
        <v>0.34399315755266446</v>
      </c>
      <c r="AC43" s="24">
        <f t="shared" si="3"/>
        <v>17.221059286456299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175.00000000000003</v>
      </c>
      <c r="AJ43" s="14">
        <f>AI43*VLOOKUP('Données projet'!$B$10,Paramètres!$A$1:$I$89,3,0)*VLOOKUP('Données projet'!$B$10,Paramètres!$A$1:$I$89,5,0)</f>
        <v>158.34000000000003</v>
      </c>
      <c r="AK43" s="14">
        <f t="shared" si="35"/>
        <v>40.467870812652819</v>
      </c>
      <c r="AL43" s="22">
        <f t="shared" si="4"/>
        <v>346.25704166537042</v>
      </c>
      <c r="AM43" s="62">
        <f t="shared" si="5"/>
        <v>639.59037499870374</v>
      </c>
      <c r="AN43" s="62">
        <f ca="1">AVERAGE(OFFSET($AM$3,0,0,'Données projet'!$E$10+1,1))-AVERAGE(OFFSET($H$3,0,0,'Données projet'!$E$10+1,1))</f>
        <v>384.44848355636935</v>
      </c>
      <c r="AO43" s="62">
        <f t="shared" si="36"/>
        <v>203.5274665601915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175.00000000000003</v>
      </c>
      <c r="BE43" s="14">
        <f>BD43*VLOOKUP('Données projet'!$B$11,Paramètres!$A$1:$I$89,3,0)*VLOOKUP('Données projet'!$B$11,Paramètres!$A$1:$I$89,5,0)</f>
        <v>177.45000000000005</v>
      </c>
      <c r="BF43" s="14">
        <f t="shared" si="37"/>
        <v>44.754387900936791</v>
      </c>
      <c r="BG43" s="22">
        <f t="shared" si="7"/>
        <v>387.00597559413171</v>
      </c>
      <c r="BH43" s="62">
        <f t="shared" si="8"/>
        <v>680.33930892746503</v>
      </c>
      <c r="BI43" s="62">
        <f ca="1">AVERAGE(OFFSET($BH$3,0,0,'Données projet'!$E$11+1,1))-AVERAGE(OFFSET($H$3,0,0,'Données projet'!$E$11+1,1))</f>
        <v>440.60698566758532</v>
      </c>
      <c r="BJ43" s="62">
        <f t="shared" si="38"/>
        <v>231.92898690465887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264</v>
      </c>
      <c r="BW43" s="13">
        <f>VLOOKUP(A43,'Données projet'!$A$113:$I$133,9,0)</f>
        <v>14.4</v>
      </c>
      <c r="BX43" s="13">
        <f t="array" ref="BX43">INDEX(BW:BW,MIN(IF(ISNUMBER(BW43:BW239),ROW(BW43:BW239),"")))</f>
        <v>14.4</v>
      </c>
      <c r="BY43" s="13">
        <f>IF('Données projet'!$A$114&gt;35,BY42+BX43-CG42,IF(A43&lt;'Données projet'!$A$114,$BV$205^A43,IF(A43='Données projet'!$A$114,'Données projet'!$B$114,BY42+BX43-CG42)))</f>
        <v>264.00000000000006</v>
      </c>
      <c r="BZ43" s="14">
        <f>BY43*VLOOKUP('Données projet'!$B$12,Paramètres!$A$1:$I$89,3,0)*VLOOKUP('Données projet'!$B$12,Paramètres!$A$1:$I$89,5,0)</f>
        <v>157.87200000000004</v>
      </c>
      <c r="CA43" s="14">
        <f t="shared" si="39"/>
        <v>40.362165684361159</v>
      </c>
      <c r="CB43" s="22">
        <f t="shared" si="10"/>
        <v>345.25783856692902</v>
      </c>
      <c r="CC43" s="62">
        <f t="shared" si="11"/>
        <v>638.59117190026234</v>
      </c>
      <c r="CD43" s="62">
        <f ca="1">AVERAGE(OFFSET($CC$3,0,0,'Données projet'!$E$12+1,1))-AVERAGE(OFFSET($H$3,0,0,'Données projet'!$E$12+1,1))</f>
        <v>287.29865338866551</v>
      </c>
      <c r="CE43" s="62">
        <f t="shared" si="40"/>
        <v>217.57508587672368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41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8.3020160726479251</v>
      </c>
      <c r="CM43" s="23">
        <f>EXP(-LN(2)/2)*CM42+(1-EXP(-LN(2)/2))/(LN(2)/2)*CG43*CJ43*VLOOKUP('Données projet'!$B$12,Paramètres!$A$1:$I$89,3,0)*0.475*44/12</f>
        <v>0.40206828289060897</v>
      </c>
      <c r="CN43" s="24">
        <f t="shared" si="12"/>
        <v>8.7040843555385337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11.5</v>
      </c>
      <c r="CT43" s="13">
        <f>IF('Données projet'!$A$140&gt;35,CT42+CS43-DB42,IF(A43&lt;'Données projet'!$A$140,$CQ$205^A43,IF(A43='Données projet'!$A$140,'Données projet'!$B$140,CT42+CS43-DB42)))</f>
        <v>232</v>
      </c>
      <c r="CU43" s="18">
        <f>CT43*VLOOKUP('Données projet'!$B$13,Paramètres!$A$1:$I$89,3,0)*VLOOKUP('Données projet'!$B$13,Paramètres!$A$1:$I$89,5,0)</f>
        <v>144.768</v>
      </c>
      <c r="CV43" s="14">
        <f t="shared" si="41"/>
        <v>37.387149255707826</v>
      </c>
      <c r="CW43" s="22">
        <f t="shared" si="13"/>
        <v>317.25355162035777</v>
      </c>
      <c r="CX43" s="62">
        <f t="shared" si="14"/>
        <v>610.58688495369108</v>
      </c>
      <c r="CY43" s="62">
        <f ca="1">AVERAGE(OFFSET($CX$3,0,0,'Données projet'!$E$13+1,1))-AVERAGE(OFFSET($H$3,0,0,'Données projet'!$E$13+1,1))</f>
        <v>175.05987582828078</v>
      </c>
      <c r="CZ43" s="62">
        <f t="shared" si="42"/>
        <v>268.54782308462387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6.8818707544538622</v>
      </c>
      <c r="DH43" s="23">
        <f>EXP(-LN(2)/2)*DH42+(1-EXP(-LN(2)/2))/(LN(2)/2)*DB43*DE43*VLOOKUP('Données projet'!$B$13,Paramètres!$A$1:$I$89,3,0)*0.475*44/12</f>
        <v>0.3952800750215052</v>
      </c>
      <c r="DI43" s="24">
        <f t="shared" si="15"/>
        <v>7.2771508294753673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256</v>
      </c>
      <c r="DM43" s="13">
        <f>VLOOKUP(A43,'Données projet'!$A$165:$I$185,9,0)</f>
        <v>15.2</v>
      </c>
      <c r="DN43" s="13">
        <f t="array" ref="DN43">INDEX(DM:DM,MIN(IF(ISNUMBER(DM43:DM239),ROW(DM43:DM239),"")))</f>
        <v>15.2</v>
      </c>
      <c r="DO43" s="13">
        <f>IF('Données projet'!$A$166&gt;35,DO42+DN43-DW42,IF(A43&lt;'Données projet'!$A$166,$DL$205^A43,IF(A43='Données projet'!$A$166,'Données projet'!$B$166,DO42+DN43-DW42)))</f>
        <v>255.99999999999994</v>
      </c>
      <c r="DP43" s="18">
        <f>DO43*VLOOKUP('Données projet'!$B$14,Paramètres!$A$1:$I$89,3,0)*VLOOKUP('Données projet'!$B$14,Paramètres!$A$1:$I$89,5,0)</f>
        <v>146.43199999999996</v>
      </c>
      <c r="DQ43" s="14">
        <f t="shared" si="43"/>
        <v>37.766612239306838</v>
      </c>
      <c r="DR43" s="22">
        <f t="shared" si="16"/>
        <v>320.81258298345932</v>
      </c>
      <c r="DS43" s="62">
        <f t="shared" si="17"/>
        <v>614.14591631679264</v>
      </c>
      <c r="DT43" s="62">
        <f ca="1">AVERAGE(OFFSET($DS$3,0,0,'Données projet'!$E$14+1,1))-AVERAGE(OFFSET($H$3,0,0,'Données projet'!$E$14+1,1))</f>
        <v>228.06050741667258</v>
      </c>
      <c r="DU43" s="62">
        <f t="shared" si="44"/>
        <v>191.94885821983536</v>
      </c>
      <c r="DV43" s="16">
        <f>IF(ISNA(VLOOKUP(A43,'Données projet'!$A$165:$I$185,3,0)),0,VLOOKUP(A43,'Données projet'!$A$165:$I$185,3,0))</f>
        <v>4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14.249845038161464</v>
      </c>
      <c r="EC43" s="23">
        <f>EXP(-LN(2)/2)*EC42+(1-EXP(-LN(2)/2))/(LN(2)/2)*DW43*DZ43*VLOOKUP('Données projet'!$B$14,Paramètres!$A$1:$I$89,3,0)*0.475*44/12</f>
        <v>3.2067959295889925</v>
      </c>
      <c r="ED43" s="24">
        <f t="shared" si="18"/>
        <v>17.456640967750456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289</v>
      </c>
      <c r="EH43" s="13">
        <f>VLOOKUP(A43,'Données projet'!$A$191:$I$211,9,0)</f>
        <v>6.2</v>
      </c>
      <c r="EI43" s="13">
        <f t="array" ref="EI43">INDEX(EH:EH,MIN(IF(ISNUMBER(EH43:EH239),ROW(EH43:EH239),"")))</f>
        <v>6.2</v>
      </c>
      <c r="EJ43" s="13">
        <f>IF('Données projet'!$A$192&gt;35,EJ42+EI43-ER42,IF(A43&lt;'Données projet'!$A$192,$EG$205^A43,IF(A43='Données projet'!$A$192,'Données projet'!$B$192,EJ42+EI43-ER42)))</f>
        <v>288.99999999999994</v>
      </c>
      <c r="EK43" s="18">
        <f>EJ43*VLOOKUP('Données projet'!$B$15,Paramètres!$A$1:$I$89,3,0)*VLOOKUP('Données projet'!$B$15,Paramètres!$A$1:$I$89,5,0)</f>
        <v>261.48719999999992</v>
      </c>
      <c r="EL43" s="14">
        <f t="shared" si="45"/>
        <v>63.039283586802391</v>
      </c>
      <c r="EM43" s="22">
        <f t="shared" si="19"/>
        <v>565.21695891368074</v>
      </c>
      <c r="EN43" s="62">
        <f t="shared" si="20"/>
        <v>858.55029224701411</v>
      </c>
      <c r="EO43" s="62">
        <f ca="1">AVERAGE(OFFSET($EN$3,0,0,'Données projet'!$E$15+1,1))-AVERAGE(OFFSET($H$3,0,0,'Données projet'!$E$15+1,1))</f>
        <v>315.23521260143986</v>
      </c>
      <c r="EP43" s="62">
        <f t="shared" si="46"/>
        <v>439.11021845472641</v>
      </c>
      <c r="EQ43" s="16">
        <f>IF(ISNA(VLOOKUP(A43,'Données projet'!$A$191:$I$211,3,0)),0,VLOOKUP(A43,'Données projet'!$A$191:$I$211,3,0))</f>
        <v>7</v>
      </c>
      <c r="ER43" s="16">
        <f>IF(ISNA(VLOOKUP(A43,'Données projet'!$A$191:$I$211,4,0)),0,VLOOKUP(A43,'Données projet'!$A$191:$I$211,4,0))</f>
        <v>7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399.42857142857122</v>
      </c>
      <c r="O44" s="14">
        <f>N44*VLOOKUP('Données projet'!$B$9,Paramètres!$A$1:$I$89,3,0)*VLOOKUP('Données projet'!$B$9,Paramètres!$A$1:$I$89,5,0)</f>
        <v>223.28057142857133</v>
      </c>
      <c r="P44" s="14">
        <f t="shared" si="33"/>
        <v>54.827286320639246</v>
      </c>
      <c r="Q44" s="22">
        <f t="shared" si="53"/>
        <v>484.37118557987498</v>
      </c>
      <c r="R44" s="62">
        <f t="shared" si="0"/>
        <v>777.70451891320829</v>
      </c>
      <c r="S44" s="62">
        <f ca="1">AVERAGE(OFFSET($R$3,0,0,'Données projet'!$E$9+1,1))-AVERAGE(OFFSET($H$3,0,0,'Données projet'!$E$9+1,1))</f>
        <v>302.20483575440988</v>
      </c>
      <c r="T44" s="62">
        <f t="shared" si="34"/>
        <v>275.32862097158687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16.415561868082431</v>
      </c>
      <c r="AB44" s="23">
        <f>EXP(-LN(2)/2)*AB43+(1-EXP(-LN(2)/2))/(LN(2)/2)*V44*Y44*VLOOKUP('Données projet'!$B$9,Paramètres!$A$1:$I$89,3,0)*0.475*44/12</f>
        <v>0.24323989438726148</v>
      </c>
      <c r="AC44" s="24">
        <f t="shared" si="3"/>
        <v>16.658801762469693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186.40000000000003</v>
      </c>
      <c r="AJ44" s="14">
        <f>AI44*VLOOKUP('Données projet'!$B$10,Paramètres!$A$1:$I$89,3,0)*VLOOKUP('Données projet'!$B$10,Paramètres!$A$1:$I$89,5,0)</f>
        <v>168.65472000000003</v>
      </c>
      <c r="AK44" s="14">
        <f t="shared" si="35"/>
        <v>42.78858644059585</v>
      </c>
      <c r="AL44" s="22">
        <f t="shared" si="4"/>
        <v>368.2637587173711</v>
      </c>
      <c r="AM44" s="62">
        <f t="shared" si="5"/>
        <v>661.59709205070442</v>
      </c>
      <c r="AN44" s="62">
        <f ca="1">AVERAGE(OFFSET($AM$3,0,0,'Données projet'!$E$10+1,1))-AVERAGE(OFFSET($H$3,0,0,'Données projet'!$E$10+1,1))</f>
        <v>384.44848355636935</v>
      </c>
      <c r="AO44" s="62">
        <f t="shared" si="36"/>
        <v>203.5274665601915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186.40000000000003</v>
      </c>
      <c r="BE44" s="14">
        <f>BD44*VLOOKUP('Données projet'!$B$11,Paramètres!$A$1:$I$89,3,0)*VLOOKUP('Données projet'!$B$11,Paramètres!$A$1:$I$89,5,0)</f>
        <v>189.00960000000003</v>
      </c>
      <c r="BF44" s="14">
        <f t="shared" si="37"/>
        <v>47.320922915876508</v>
      </c>
      <c r="BG44" s="22">
        <f t="shared" si="7"/>
        <v>411.60899407848501</v>
      </c>
      <c r="BH44" s="62">
        <f t="shared" si="8"/>
        <v>704.94232741181827</v>
      </c>
      <c r="BI44" s="62">
        <f ca="1">AVERAGE(OFFSET($BH$3,0,0,'Données projet'!$E$11+1,1))-AVERAGE(OFFSET($H$3,0,0,'Données projet'!$E$11+1,1))</f>
        <v>440.60698566758532</v>
      </c>
      <c r="BJ44" s="62">
        <f t="shared" si="38"/>
        <v>231.92898690465887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19</v>
      </c>
      <c r="BY44" s="13">
        <f>IF('Données projet'!$A$114&gt;35,BY43+BX44-CG43,IF(A44&lt;'Données projet'!$A$114,$BV$205^A44,IF(A44='Données projet'!$A$114,'Données projet'!$B$114,BY43+BX44-CG43)))</f>
        <v>242.00000000000006</v>
      </c>
      <c r="BZ44" s="14">
        <f>BY44*VLOOKUP('Données projet'!$B$12,Paramètres!$A$1:$I$89,3,0)*VLOOKUP('Données projet'!$B$12,Paramètres!$A$1:$I$89,5,0)</f>
        <v>144.71600000000007</v>
      </c>
      <c r="CA44" s="14">
        <f t="shared" si="39"/>
        <v>37.375282885096105</v>
      </c>
      <c r="CB44" s="22">
        <f t="shared" si="10"/>
        <v>317.14231769154247</v>
      </c>
      <c r="CC44" s="62">
        <f t="shared" si="11"/>
        <v>610.47565102487579</v>
      </c>
      <c r="CD44" s="62">
        <f ca="1">AVERAGE(OFFSET($CC$3,0,0,'Données projet'!$E$12+1,1))-AVERAGE(OFFSET($H$3,0,0,'Données projet'!$E$12+1,1))</f>
        <v>287.29865338866551</v>
      </c>
      <c r="CE44" s="62">
        <f t="shared" si="40"/>
        <v>217.57508587672368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8.0749970065573162</v>
      </c>
      <c r="CM44" s="23">
        <f>EXP(-LN(2)/2)*CM43+(1-EXP(-LN(2)/2))/(LN(2)/2)*CG44*CJ44*VLOOKUP('Données projet'!$B$12,Paramètres!$A$1:$I$89,3,0)*0.475*44/12</f>
        <v>0.28430520933198072</v>
      </c>
      <c r="CN44" s="24">
        <f t="shared" si="12"/>
        <v>8.3593022158892971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11.5</v>
      </c>
      <c r="CT44" s="13">
        <f>IF('Données projet'!$A$140&gt;35,CT43+CS44-DB43,IF(A44&lt;'Données projet'!$A$140,$CQ$205^A44,IF(A44='Données projet'!$A$140,'Données projet'!$B$140,CT43+CS44-DB43)))</f>
        <v>243.5</v>
      </c>
      <c r="CU44" s="18">
        <f>CT44*VLOOKUP('Données projet'!$B$13,Paramètres!$A$1:$I$89,3,0)*VLOOKUP('Données projet'!$B$13,Paramètres!$A$1:$I$89,5,0)</f>
        <v>151.94399999999999</v>
      </c>
      <c r="CV44" s="14">
        <f t="shared" si="41"/>
        <v>39.02003496976517</v>
      </c>
      <c r="CW44" s="22">
        <f t="shared" si="13"/>
        <v>332.59569423900763</v>
      </c>
      <c r="CX44" s="62">
        <f t="shared" si="14"/>
        <v>625.92902757234094</v>
      </c>
      <c r="CY44" s="62">
        <f ca="1">AVERAGE(OFFSET($CX$3,0,0,'Données projet'!$E$13+1,1))-AVERAGE(OFFSET($H$3,0,0,'Données projet'!$E$13+1,1))</f>
        <v>175.05987582828078</v>
      </c>
      <c r="CZ44" s="62">
        <f t="shared" si="42"/>
        <v>268.54782308462387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6.693685636771467</v>
      </c>
      <c r="DH44" s="23">
        <f>EXP(-LN(2)/2)*DH43+(1-EXP(-LN(2)/2))/(LN(2)/2)*DB44*DE44*VLOOKUP('Données projet'!$B$13,Paramètres!$A$1:$I$89,3,0)*0.475*44/12</f>
        <v>0.27950522151563356</v>
      </c>
      <c r="DI44" s="24">
        <f t="shared" si="15"/>
        <v>6.9731908582871007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13.8</v>
      </c>
      <c r="DO44" s="13">
        <f>IF('Données projet'!$A$166&gt;35,DO43+DN44-DW43,IF(A44&lt;'Données projet'!$A$166,$DL$205^A44,IF(A44='Données projet'!$A$166,'Données projet'!$B$166,DO43+DN44-DW43)))</f>
        <v>227.79999999999995</v>
      </c>
      <c r="DP44" s="18">
        <f>DO44*VLOOKUP('Données projet'!$B$14,Paramètres!$A$1:$I$89,3,0)*VLOOKUP('Données projet'!$B$14,Paramètres!$A$1:$I$89,5,0)</f>
        <v>130.30159999999998</v>
      </c>
      <c r="DQ44" s="14">
        <f t="shared" si="43"/>
        <v>34.066040835325218</v>
      </c>
      <c r="DR44" s="22">
        <f t="shared" si="16"/>
        <v>286.27364112152469</v>
      </c>
      <c r="DS44" s="62">
        <f t="shared" si="17"/>
        <v>579.606974454858</v>
      </c>
      <c r="DT44" s="62">
        <f ca="1">AVERAGE(OFFSET($DS$3,0,0,'Données projet'!$E$14+1,1))-AVERAGE(OFFSET($H$3,0,0,'Données projet'!$E$14+1,1))</f>
        <v>228.06050741667258</v>
      </c>
      <c r="DU44" s="62">
        <f t="shared" si="44"/>
        <v>191.94885821983536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13.860182276226157</v>
      </c>
      <c r="EC44" s="23">
        <f>EXP(-LN(2)/2)*EC43+(1-EXP(-LN(2)/2))/(LN(2)/2)*DW44*DZ44*VLOOKUP('Données projet'!$B$14,Paramètres!$A$1:$I$89,3,0)*0.475*44/12</f>
        <v>2.267547147693795</v>
      </c>
      <c r="ED44" s="24">
        <f t="shared" si="18"/>
        <v>16.127729423919952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6</v>
      </c>
      <c r="EJ44" s="13">
        <f>IF('Données projet'!$A$192&gt;35,EJ43+EI44-ER43,IF(A44&lt;'Données projet'!$A$192,$EG$205^A44,IF(A44='Données projet'!$A$192,'Données projet'!$B$192,EJ43+EI44-ER43)))</f>
        <v>287.99999999999994</v>
      </c>
      <c r="EK44" s="18">
        <f>EJ44*VLOOKUP('Données projet'!$B$15,Paramètres!$A$1:$I$89,3,0)*VLOOKUP('Données projet'!$B$15,Paramètres!$A$1:$I$89,5,0)</f>
        <v>260.58239999999995</v>
      </c>
      <c r="EL44" s="14">
        <f t="shared" si="45"/>
        <v>62.846505929896907</v>
      </c>
      <c r="EM44" s="22">
        <f t="shared" si="19"/>
        <v>563.30534449457025</v>
      </c>
      <c r="EN44" s="62">
        <f t="shared" si="20"/>
        <v>856.63867782790362</v>
      </c>
      <c r="EO44" s="62">
        <f ca="1">AVERAGE(OFFSET($EN$3,0,0,'Données projet'!$E$15+1,1))-AVERAGE(OFFSET($H$3,0,0,'Données projet'!$E$15+1,1))</f>
        <v>315.23521260143986</v>
      </c>
      <c r="EP44" s="62">
        <f t="shared" si="46"/>
        <v>439.11021845472641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419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418.99999999999977</v>
      </c>
      <c r="O45" s="14">
        <f>N45*VLOOKUP('Données projet'!$B$9,Paramètres!$A$1:$I$89,3,0)*VLOOKUP('Données projet'!$B$9,Paramètres!$A$1:$I$89,5,0)</f>
        <v>234.22099999999989</v>
      </c>
      <c r="P45" s="14">
        <f t="shared" si="33"/>
        <v>57.194392182630075</v>
      </c>
      <c r="Q45" s="22">
        <f t="shared" si="53"/>
        <v>507.54847471808051</v>
      </c>
      <c r="R45" s="62">
        <f t="shared" si="0"/>
        <v>800.88180805141383</v>
      </c>
      <c r="S45" s="62">
        <f ca="1">AVERAGE(OFFSET($R$3,0,0,'Données projet'!$E$9+1,1))-AVERAGE(OFFSET($H$3,0,0,'Données projet'!$E$9+1,1))</f>
        <v>302.20483575440988</v>
      </c>
      <c r="T45" s="62">
        <f t="shared" si="34"/>
        <v>275.32862097158687</v>
      </c>
      <c r="U45" s="16">
        <f>IF(ISNA(VLOOKUP(A45,'Données projet'!$A$35:$I$55,3,0)),0,VLOOKUP(A45,'Données projet'!$A$35:$I$55,3,0))</f>
        <v>4</v>
      </c>
      <c r="V45" s="16">
        <f>IF(ISNA(VLOOKUP(A45,'Données projet'!$A$35:$I$55,4,0)),0,VLOOKUP(A45,'Données projet'!$A$35:$I$55,4,0))</f>
        <v>77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15.966677465542837</v>
      </c>
      <c r="AB45" s="23">
        <f>EXP(-LN(2)/2)*AB44+(1-EXP(-LN(2)/2))/(LN(2)/2)*V45*Y45*VLOOKUP('Données projet'!$B$9,Paramètres!$A$1:$I$89,3,0)*0.475*44/12</f>
        <v>0.17199657877633226</v>
      </c>
      <c r="AC45" s="24">
        <f t="shared" si="3"/>
        <v>16.138674044319171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197.80000000000004</v>
      </c>
      <c r="AJ45" s="14">
        <f>AI45*VLOOKUP('Données projet'!$B$10,Paramètres!$A$1:$I$89,3,0)*VLOOKUP('Données projet'!$B$10,Paramètres!$A$1:$I$89,5,0)</f>
        <v>178.96944000000002</v>
      </c>
      <c r="AK45" s="14">
        <f t="shared" si="35"/>
        <v>45.092828990632619</v>
      </c>
      <c r="AL45" s="22">
        <f t="shared" si="4"/>
        <v>390.24178515868516</v>
      </c>
      <c r="AM45" s="62">
        <f t="shared" si="5"/>
        <v>683.57511849201842</v>
      </c>
      <c r="AN45" s="62">
        <f ca="1">AVERAGE(OFFSET($AM$3,0,0,'Données projet'!$E$10+1,1))-AVERAGE(OFFSET($H$3,0,0,'Données projet'!$E$10+1,1))</f>
        <v>384.44848355636935</v>
      </c>
      <c r="AO45" s="62">
        <f t="shared" si="36"/>
        <v>203.5274665601915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197.80000000000004</v>
      </c>
      <c r="BE45" s="14">
        <f>BD45*VLOOKUP('Données projet'!$B$11,Paramètres!$A$1:$I$89,3,0)*VLOOKUP('Données projet'!$B$11,Paramètres!$A$1:$I$89,5,0)</f>
        <v>200.56920000000005</v>
      </c>
      <c r="BF45" s="14">
        <f t="shared" si="37"/>
        <v>49.869239959281323</v>
      </c>
      <c r="BG45" s="22">
        <f t="shared" si="7"/>
        <v>436.18028292908167</v>
      </c>
      <c r="BH45" s="62">
        <f t="shared" si="8"/>
        <v>729.51361626241498</v>
      </c>
      <c r="BI45" s="62">
        <f ca="1">AVERAGE(OFFSET($BH$3,0,0,'Données projet'!$E$11+1,1))-AVERAGE(OFFSET($H$3,0,0,'Données projet'!$E$11+1,1))</f>
        <v>440.60698566758532</v>
      </c>
      <c r="BJ45" s="62">
        <f t="shared" si="38"/>
        <v>231.92898690465887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19</v>
      </c>
      <c r="BY45" s="13">
        <f>IF('Données projet'!$A$114&gt;35,BY44+BX45-CG44,IF(A45&lt;'Données projet'!$A$114,$BV$205^A45,IF(A45='Données projet'!$A$114,'Données projet'!$B$114,BY44+BX45-CG44)))</f>
        <v>261.00000000000006</v>
      </c>
      <c r="BZ45" s="14">
        <f>BY45*VLOOKUP('Données projet'!$B$12,Paramètres!$A$1:$I$89,3,0)*VLOOKUP('Données projet'!$B$12,Paramètres!$A$1:$I$89,5,0)</f>
        <v>156.07800000000003</v>
      </c>
      <c r="CA45" s="14">
        <f t="shared" si="39"/>
        <v>39.956623674978466</v>
      </c>
      <c r="CB45" s="22">
        <f t="shared" si="10"/>
        <v>341.42696956725422</v>
      </c>
      <c r="CC45" s="62">
        <f t="shared" si="11"/>
        <v>634.76030290058748</v>
      </c>
      <c r="CD45" s="62">
        <f ca="1">AVERAGE(OFFSET($CC$3,0,0,'Données projet'!$E$12+1,1))-AVERAGE(OFFSET($H$3,0,0,'Données projet'!$E$12+1,1))</f>
        <v>287.29865338866551</v>
      </c>
      <c r="CE45" s="62">
        <f t="shared" si="40"/>
        <v>217.57508587672368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7.8541857887673698</v>
      </c>
      <c r="CM45" s="23">
        <f>EXP(-LN(2)/2)*CM44+(1-EXP(-LN(2)/2))/(LN(2)/2)*CG45*CJ45*VLOOKUP('Données projet'!$B$12,Paramètres!$A$1:$I$89,3,0)*0.475*44/12</f>
        <v>0.20103414144530449</v>
      </c>
      <c r="CN45" s="24">
        <f t="shared" si="12"/>
        <v>8.0552199302126741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>
        <f>VLOOKUP(A45,'Données projet'!$A$139:$I$159,2,0)</f>
        <v>255</v>
      </c>
      <c r="CR45" s="13">
        <f>VLOOKUP(A45,'Données projet'!$A$139:$I$159,9,0)</f>
        <v>11.5</v>
      </c>
      <c r="CS45" s="13">
        <f t="array" ref="CS45">INDEX(CR:CR,MIN(IF(ISNUMBER(CR45:CR241),ROW(CR45:CR241),"")))</f>
        <v>11.5</v>
      </c>
      <c r="CT45" s="13">
        <f>IF('Données projet'!$A$140&gt;35,CT44+CS45-DB44,IF(A45&lt;'Données projet'!$A$140,$CQ$205^A45,IF(A45='Données projet'!$A$140,'Données projet'!$B$140,CT44+CS45-DB44)))</f>
        <v>255</v>
      </c>
      <c r="CU45" s="18">
        <f>CT45*VLOOKUP('Données projet'!$B$13,Paramètres!$A$1:$I$89,3,0)*VLOOKUP('Données projet'!$B$13,Paramètres!$A$1:$I$89,5,0)</f>
        <v>159.12</v>
      </c>
      <c r="CV45" s="14">
        <f t="shared" si="41"/>
        <v>40.643965284387697</v>
      </c>
      <c r="CW45" s="22">
        <f t="shared" si="13"/>
        <v>347.92223953697521</v>
      </c>
      <c r="CX45" s="62">
        <f t="shared" si="14"/>
        <v>641.25557287030847</v>
      </c>
      <c r="CY45" s="62">
        <f ca="1">AVERAGE(OFFSET($CX$3,0,0,'Données projet'!$E$13+1,1))-AVERAGE(OFFSET($H$3,0,0,'Données projet'!$E$13+1,1))</f>
        <v>175.05987582828078</v>
      </c>
      <c r="CZ45" s="62">
        <f t="shared" si="42"/>
        <v>268.54782308462387</v>
      </c>
      <c r="DA45" s="16">
        <f>IF(ISNA(VLOOKUP(A45,'Données projet'!$A$139:$I$159,3,0)),0,VLOOKUP(A45,'Données projet'!$A$139:$I$159,3,0))</f>
        <v>6</v>
      </c>
      <c r="DB45" s="16">
        <f>IF(ISNA(VLOOKUP(A45,'Données projet'!$A$139:$I$159,4,0)),0,VLOOKUP(A45,'Données projet'!$A$139:$I$159,4,0))</f>
        <v>67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6.5106464510283226</v>
      </c>
      <c r="DH45" s="23">
        <f>EXP(-LN(2)/2)*DH44+(1-EXP(-LN(2)/2))/(LN(2)/2)*DB45*DE45*VLOOKUP('Données projet'!$B$13,Paramètres!$A$1:$I$89,3,0)*0.475*44/12</f>
        <v>0.1976400375107526</v>
      </c>
      <c r="DI45" s="24">
        <f t="shared" si="15"/>
        <v>6.7082864885390752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13.8</v>
      </c>
      <c r="DO45" s="13">
        <f>IF('Données projet'!$A$166&gt;35,DO44+DN45-DW44,IF(A45&lt;'Données projet'!$A$166,$DL$205^A45,IF(A45='Données projet'!$A$166,'Données projet'!$B$166,DO44+DN45-DW44)))</f>
        <v>241.59999999999997</v>
      </c>
      <c r="DP45" s="18">
        <f>DO45*VLOOKUP('Données projet'!$B$14,Paramètres!$A$1:$I$89,3,0)*VLOOKUP('Données projet'!$B$14,Paramètres!$A$1:$I$89,5,0)</f>
        <v>138.1952</v>
      </c>
      <c r="DQ45" s="14">
        <f t="shared" si="43"/>
        <v>35.883239453452433</v>
      </c>
      <c r="DR45" s="22">
        <f t="shared" si="16"/>
        <v>303.18661538142965</v>
      </c>
      <c r="DS45" s="62">
        <f t="shared" si="17"/>
        <v>596.5199487147629</v>
      </c>
      <c r="DT45" s="62">
        <f ca="1">AVERAGE(OFFSET($DS$3,0,0,'Données projet'!$E$14+1,1))-AVERAGE(OFFSET($H$3,0,0,'Données projet'!$E$14+1,1))</f>
        <v>228.06050741667258</v>
      </c>
      <c r="DU45" s="62">
        <f t="shared" si="44"/>
        <v>191.94885821983536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13.481174863007444</v>
      </c>
      <c r="EC45" s="23">
        <f>EXP(-LN(2)/2)*EC44+(1-EXP(-LN(2)/2))/(LN(2)/2)*DW45*DZ45*VLOOKUP('Données projet'!$B$14,Paramètres!$A$1:$I$89,3,0)*0.475*44/12</f>
        <v>1.6033979647944963</v>
      </c>
      <c r="ED45" s="24">
        <f t="shared" si="18"/>
        <v>15.08457282780194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6</v>
      </c>
      <c r="EJ45" s="13">
        <f>IF('Données projet'!$A$192&gt;35,EJ44+EI45-ER44,IF(A45&lt;'Données projet'!$A$192,$EG$205^A45,IF(A45='Données projet'!$A$192,'Données projet'!$B$192,EJ44+EI45-ER44)))</f>
        <v>293.99999999999994</v>
      </c>
      <c r="EK45" s="18">
        <f>EJ45*VLOOKUP('Données projet'!$B$15,Paramètres!$A$1:$I$89,3,0)*VLOOKUP('Données projet'!$B$15,Paramètres!$A$1:$I$89,5,0)</f>
        <v>266.01119999999992</v>
      </c>
      <c r="EL45" s="14">
        <f t="shared" si="45"/>
        <v>64.00201337612566</v>
      </c>
      <c r="EM45" s="22">
        <f t="shared" si="19"/>
        <v>574.77301329675208</v>
      </c>
      <c r="EN45" s="62">
        <f t="shared" si="20"/>
        <v>868.10634663008545</v>
      </c>
      <c r="EO45" s="62">
        <f ca="1">AVERAGE(OFFSET($EN$3,0,0,'Données projet'!$E$15+1,1))-AVERAGE(OFFSET($H$3,0,0,'Données projet'!$E$15+1,1))</f>
        <v>315.23521260143986</v>
      </c>
      <c r="EP45" s="62">
        <f t="shared" si="46"/>
        <v>439.11021845472641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18.714285714285715</v>
      </c>
      <c r="N46" s="14">
        <f>IF('Données projet'!$A$36&gt;35,N45+M46-V45,IF(A46&lt;'Données projet'!$A$36,$K$205^A46,IF(A46='Données projet'!$A$36,'Données projet'!$B$36,N45+M46-V45)))</f>
        <v>360.7142857142855</v>
      </c>
      <c r="O46" s="14">
        <f>N46*VLOOKUP('Données projet'!$B$9,Paramètres!$A$1:$I$89,3,0)*VLOOKUP('Données projet'!$B$9,Paramètres!$A$1:$I$89,5,0)</f>
        <v>201.63928571428559</v>
      </c>
      <c r="P46" s="14">
        <f t="shared" si="33"/>
        <v>50.104261772905943</v>
      </c>
      <c r="Q46" s="22">
        <f t="shared" si="53"/>
        <v>438.45334520685856</v>
      </c>
      <c r="R46" s="62">
        <f t="shared" si="0"/>
        <v>731.78667854019182</v>
      </c>
      <c r="S46" s="62">
        <f ca="1">AVERAGE(OFFSET($R$3,0,0,'Données projet'!$E$9+1,1))-AVERAGE(OFFSET($H$3,0,0,'Données projet'!$E$9+1,1))</f>
        <v>302.20483575440988</v>
      </c>
      <c r="T46" s="62">
        <f t="shared" si="34"/>
        <v>275.32862097158687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15.530067830596492</v>
      </c>
      <c r="AB46" s="23">
        <f>EXP(-LN(2)/2)*AB45+(1-EXP(-LN(2)/2))/(LN(2)/2)*V46*Y46*VLOOKUP('Données projet'!$B$9,Paramètres!$A$1:$I$89,3,0)*0.475*44/12</f>
        <v>0.12161994719363077</v>
      </c>
      <c r="AC46" s="24">
        <f t="shared" si="3"/>
        <v>15.651687777790123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209.20000000000005</v>
      </c>
      <c r="AJ46" s="14">
        <f>AI46*VLOOKUP('Données projet'!$B$10,Paramètres!$A$1:$I$89,3,0)*VLOOKUP('Données projet'!$B$10,Paramètres!$A$1:$I$89,5,0)</f>
        <v>189.28416000000001</v>
      </c>
      <c r="AK46" s="14">
        <f t="shared" si="35"/>
        <v>47.381656039514027</v>
      </c>
      <c r="AL46" s="22">
        <f t="shared" si="4"/>
        <v>412.19296293548695</v>
      </c>
      <c r="AM46" s="62">
        <f t="shared" si="5"/>
        <v>705.52629626882026</v>
      </c>
      <c r="AN46" s="62">
        <f ca="1">AVERAGE(OFFSET($AM$3,0,0,'Données projet'!$E$10+1,1))-AVERAGE(OFFSET($H$3,0,0,'Données projet'!$E$10+1,1))</f>
        <v>384.44848355636935</v>
      </c>
      <c r="AO46" s="62">
        <f t="shared" si="36"/>
        <v>203.5274665601915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209.20000000000005</v>
      </c>
      <c r="BE46" s="14">
        <f>BD46*VLOOKUP('Données projet'!$B$11,Paramètres!$A$1:$I$89,3,0)*VLOOKUP('Données projet'!$B$11,Paramètres!$A$1:$I$89,5,0)</f>
        <v>212.12880000000007</v>
      </c>
      <c r="BF46" s="14">
        <f t="shared" si="37"/>
        <v>52.400508630618717</v>
      </c>
      <c r="BG46" s="22">
        <f t="shared" si="7"/>
        <v>460.72187919832771</v>
      </c>
      <c r="BH46" s="62">
        <f t="shared" si="8"/>
        <v>754.05521253166103</v>
      </c>
      <c r="BI46" s="62">
        <f ca="1">AVERAGE(OFFSET($BH$3,0,0,'Données projet'!$E$11+1,1))-AVERAGE(OFFSET($H$3,0,0,'Données projet'!$E$11+1,1))</f>
        <v>440.60698566758532</v>
      </c>
      <c r="BJ46" s="62">
        <f t="shared" si="38"/>
        <v>231.92898690465887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19</v>
      </c>
      <c r="BY46" s="13">
        <f>IF('Données projet'!$A$114&gt;35,BY45+BX46-CG45,IF(A46&lt;'Données projet'!$A$114,$BV$205^A46,IF(A46='Données projet'!$A$114,'Données projet'!$B$114,BY45+BX46-CG45)))</f>
        <v>280.00000000000006</v>
      </c>
      <c r="BZ46" s="14">
        <f>BY46*VLOOKUP('Données projet'!$B$12,Paramètres!$A$1:$I$89,3,0)*VLOOKUP('Données projet'!$B$12,Paramètres!$A$1:$I$89,5,0)</f>
        <v>167.44000000000005</v>
      </c>
      <c r="CA46" s="14">
        <f t="shared" si="39"/>
        <v>42.516163405082935</v>
      </c>
      <c r="CB46" s="22">
        <f t="shared" si="10"/>
        <v>365.67365126385283</v>
      </c>
      <c r="CC46" s="62">
        <f t="shared" si="11"/>
        <v>659.00698459718615</v>
      </c>
      <c r="CD46" s="62">
        <f ca="1">AVERAGE(OFFSET($CC$3,0,0,'Données projet'!$E$12+1,1))-AVERAGE(OFFSET($H$3,0,0,'Données projet'!$E$12+1,1))</f>
        <v>287.29865338866551</v>
      </c>
      <c r="CE46" s="62">
        <f t="shared" si="40"/>
        <v>217.57508587672368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7.6394126653398464</v>
      </c>
      <c r="CM46" s="23">
        <f>EXP(-LN(2)/2)*CM45+(1-EXP(-LN(2)/2))/(LN(2)/2)*CG46*CJ46*VLOOKUP('Données projet'!$B$12,Paramètres!$A$1:$I$89,3,0)*0.475*44/12</f>
        <v>0.14215260466599036</v>
      </c>
      <c r="CN46" s="24">
        <f t="shared" si="12"/>
        <v>7.7815652700058369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10.666666666666666</v>
      </c>
      <c r="CT46" s="13">
        <f>IF('Données projet'!$A$140&gt;35,CT45+CS46-DB45,IF(A46&lt;'Données projet'!$A$140,$CQ$205^A46,IF(A46='Données projet'!$A$140,'Données projet'!$B$140,CT45+CS46-DB45)))</f>
        <v>198.66666666666669</v>
      </c>
      <c r="CU46" s="18">
        <f>CT46*VLOOKUP('Données projet'!$B$13,Paramètres!$A$1:$I$89,3,0)*VLOOKUP('Données projet'!$B$13,Paramètres!$A$1:$I$89,5,0)</f>
        <v>123.968</v>
      </c>
      <c r="CV46" s="14">
        <f t="shared" si="41"/>
        <v>32.598710622532096</v>
      </c>
      <c r="CW46" s="22">
        <f t="shared" si="13"/>
        <v>272.68702100091008</v>
      </c>
      <c r="CX46" s="62">
        <f t="shared" si="14"/>
        <v>566.02035433424339</v>
      </c>
      <c r="CY46" s="62">
        <f ca="1">AVERAGE(OFFSET($CX$3,0,0,'Données projet'!$E$13+1,1))-AVERAGE(OFFSET($H$3,0,0,'Données projet'!$E$13+1,1))</f>
        <v>175.05987582828078</v>
      </c>
      <c r="CZ46" s="62">
        <f t="shared" si="42"/>
        <v>268.54782308462387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6.3326124814449365</v>
      </c>
      <c r="DH46" s="23">
        <f>EXP(-LN(2)/2)*DH45+(1-EXP(-LN(2)/2))/(LN(2)/2)*DB46*DE46*VLOOKUP('Données projet'!$B$13,Paramètres!$A$1:$I$89,3,0)*0.475*44/12</f>
        <v>0.13975261075781678</v>
      </c>
      <c r="DI46" s="24">
        <f t="shared" si="15"/>
        <v>6.4723650922027529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13.8</v>
      </c>
      <c r="DO46" s="13">
        <f>IF('Données projet'!$A$166&gt;35,DO45+DN46-DW45,IF(A46&lt;'Données projet'!$A$166,$DL$205^A46,IF(A46='Données projet'!$A$166,'Données projet'!$B$166,DO45+DN46-DW45)))</f>
        <v>255.39999999999998</v>
      </c>
      <c r="DP46" s="18">
        <f>DO46*VLOOKUP('Données projet'!$B$14,Paramètres!$A$1:$I$89,3,0)*VLOOKUP('Données projet'!$B$14,Paramètres!$A$1:$I$89,5,0)</f>
        <v>146.08879999999999</v>
      </c>
      <c r="DQ46" s="14">
        <f t="shared" si="43"/>
        <v>37.688389267810216</v>
      </c>
      <c r="DR46" s="22">
        <f t="shared" si="16"/>
        <v>320.07860464143613</v>
      </c>
      <c r="DS46" s="62">
        <f t="shared" si="17"/>
        <v>613.41193797476944</v>
      </c>
      <c r="DT46" s="62">
        <f ca="1">AVERAGE(OFFSET($DS$3,0,0,'Données projet'!$E$14+1,1))-AVERAGE(OFFSET($H$3,0,0,'Données projet'!$E$14+1,1))</f>
        <v>228.06050741667258</v>
      </c>
      <c r="DU46" s="62">
        <f t="shared" si="44"/>
        <v>191.94885821983536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13.112531427434332</v>
      </c>
      <c r="EC46" s="23">
        <f>EXP(-LN(2)/2)*EC45+(1-EXP(-LN(2)/2))/(LN(2)/2)*DW46*DZ46*VLOOKUP('Données projet'!$B$14,Paramètres!$A$1:$I$89,3,0)*0.475*44/12</f>
        <v>1.1337735738468975</v>
      </c>
      <c r="ED46" s="24">
        <f t="shared" si="18"/>
        <v>14.246305001281229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</v>
      </c>
      <c r="EJ46" s="13">
        <f>IF('Données projet'!$A$192&gt;35,EJ45+EI46-ER45,IF(A46&lt;'Données projet'!$A$192,$EG$205^A46,IF(A46='Données projet'!$A$192,'Données projet'!$B$192,EJ45+EI46-ER45)))</f>
        <v>299.99999999999994</v>
      </c>
      <c r="EK46" s="18">
        <f>EJ46*VLOOKUP('Données projet'!$B$15,Paramètres!$A$1:$I$89,3,0)*VLOOKUP('Données projet'!$B$15,Paramètres!$A$1:$I$89,5,0)</f>
        <v>271.43999999999994</v>
      </c>
      <c r="EL46" s="14">
        <f t="shared" si="45"/>
        <v>65.154778959151173</v>
      </c>
      <c r="EM46" s="22">
        <f t="shared" si="19"/>
        <v>586.23590668718805</v>
      </c>
      <c r="EN46" s="62">
        <f t="shared" si="20"/>
        <v>879.56924002052142</v>
      </c>
      <c r="EO46" s="62">
        <f ca="1">AVERAGE(OFFSET($EN$3,0,0,'Données projet'!$E$15+1,1))-AVERAGE(OFFSET($H$3,0,0,'Données projet'!$E$15+1,1))</f>
        <v>315.23521260143986</v>
      </c>
      <c r="EP46" s="62">
        <f t="shared" si="46"/>
        <v>439.11021845472641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18.714285714285715</v>
      </c>
      <c r="N47" s="14">
        <f>IF('Données projet'!$A$36&gt;35,N46+M47-V46,IF(A47&lt;'Données projet'!$A$36,$K$205^A47,IF(A47='Données projet'!$A$36,'Données projet'!$B$36,N46+M47-V46)))</f>
        <v>379.42857142857122</v>
      </c>
      <c r="O47" s="14">
        <f>N47*VLOOKUP('Données projet'!$B$9,Paramètres!$A$1:$I$89,3,0)*VLOOKUP('Données projet'!$B$9,Paramètres!$A$1:$I$89,5,0)</f>
        <v>212.10057142857133</v>
      </c>
      <c r="P47" s="14">
        <f t="shared" si="33"/>
        <v>52.394347167709434</v>
      </c>
      <c r="Q47" s="22">
        <f t="shared" si="53"/>
        <v>460.66198322185556</v>
      </c>
      <c r="R47" s="62">
        <f t="shared" si="0"/>
        <v>753.99531655518888</v>
      </c>
      <c r="S47" s="62">
        <f ca="1">AVERAGE(OFFSET($R$3,0,0,'Données projet'!$E$9+1,1))-AVERAGE(OFFSET($H$3,0,0,'Données projet'!$E$9+1,1))</f>
        <v>302.20483575440988</v>
      </c>
      <c r="T47" s="62">
        <f t="shared" si="34"/>
        <v>275.32862097158687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15.105397309078057</v>
      </c>
      <c r="AB47" s="23">
        <f>EXP(-LN(2)/2)*AB46+(1-EXP(-LN(2)/2))/(LN(2)/2)*V47*Y47*VLOOKUP('Données projet'!$B$9,Paramètres!$A$1:$I$89,3,0)*0.475*44/12</f>
        <v>8.5998289388166144E-2</v>
      </c>
      <c r="AC47" s="24">
        <f t="shared" si="3"/>
        <v>15.191395598466224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220.60000000000005</v>
      </c>
      <c r="AJ47" s="14">
        <f>AI47*VLOOKUP('Données projet'!$B$10,Paramètres!$A$1:$I$89,3,0)*VLOOKUP('Données projet'!$B$10,Paramètres!$A$1:$I$89,5,0)</f>
        <v>199.59888000000004</v>
      </c>
      <c r="AK47" s="14">
        <f t="shared" si="35"/>
        <v>49.656003392529037</v>
      </c>
      <c r="AL47" s="22">
        <f t="shared" si="4"/>
        <v>434.11892190865478</v>
      </c>
      <c r="AM47" s="62">
        <f t="shared" si="5"/>
        <v>727.45225524198804</v>
      </c>
      <c r="AN47" s="62">
        <f ca="1">AVERAGE(OFFSET($AM$3,0,0,'Données projet'!$E$10+1,1))-AVERAGE(OFFSET($H$3,0,0,'Données projet'!$E$10+1,1))</f>
        <v>384.44848355636935</v>
      </c>
      <c r="AO47" s="62">
        <f t="shared" si="36"/>
        <v>203.5274665601915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220.60000000000005</v>
      </c>
      <c r="BE47" s="14">
        <f>BD47*VLOOKUP('Données projet'!$B$11,Paramètres!$A$1:$I$89,3,0)*VLOOKUP('Données projet'!$B$11,Paramètres!$A$1:$I$89,5,0)</f>
        <v>223.68840000000009</v>
      </c>
      <c r="BF47" s="14">
        <f t="shared" si="37"/>
        <v>54.915763859378501</v>
      </c>
      <c r="BG47" s="22">
        <f t="shared" si="7"/>
        <v>485.23558538841758</v>
      </c>
      <c r="BH47" s="62">
        <f t="shared" si="8"/>
        <v>778.56891872175083</v>
      </c>
      <c r="BI47" s="62">
        <f ca="1">AVERAGE(OFFSET($BH$3,0,0,'Données projet'!$E$11+1,1))-AVERAGE(OFFSET($H$3,0,0,'Données projet'!$E$11+1,1))</f>
        <v>440.60698566758532</v>
      </c>
      <c r="BJ47" s="62">
        <f t="shared" si="38"/>
        <v>231.92898690465887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19</v>
      </c>
      <c r="BY47" s="13">
        <f>IF('Données projet'!$A$114&gt;35,BY46+BX47-CG46,IF(A47&lt;'Données projet'!$A$114,$BV$205^A47,IF(A47='Données projet'!$A$114,'Données projet'!$B$114,BY46+BX47-CG46)))</f>
        <v>299.00000000000006</v>
      </c>
      <c r="BZ47" s="14">
        <f>BY47*VLOOKUP('Données projet'!$B$12,Paramètres!$A$1:$I$89,3,0)*VLOOKUP('Données projet'!$B$12,Paramètres!$A$1:$I$89,5,0)</f>
        <v>178.80200000000002</v>
      </c>
      <c r="CA47" s="14">
        <f t="shared" si="39"/>
        <v>45.055549739375941</v>
      </c>
      <c r="CB47" s="22">
        <f t="shared" si="10"/>
        <v>389.88523246274644</v>
      </c>
      <c r="CC47" s="62">
        <f t="shared" si="11"/>
        <v>683.2185657960797</v>
      </c>
      <c r="CD47" s="62">
        <f ca="1">AVERAGE(OFFSET($CC$3,0,0,'Données projet'!$E$12+1,1))-AVERAGE(OFFSET($H$3,0,0,'Données projet'!$E$12+1,1))</f>
        <v>287.29865338866551</v>
      </c>
      <c r="CE47" s="62">
        <f t="shared" si="40"/>
        <v>217.57508587672368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7.4305125242668764</v>
      </c>
      <c r="CM47" s="23">
        <f>EXP(-LN(2)/2)*CM46+(1-EXP(-LN(2)/2))/(LN(2)/2)*CG47*CJ47*VLOOKUP('Données projet'!$B$12,Paramètres!$A$1:$I$89,3,0)*0.475*44/12</f>
        <v>0.10051707072265224</v>
      </c>
      <c r="CN47" s="24">
        <f t="shared" si="12"/>
        <v>7.531029594989529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10.666666666666666</v>
      </c>
      <c r="CT47" s="13">
        <f>IF('Données projet'!$A$140&gt;35,CT46+CS47-DB46,IF(A47&lt;'Données projet'!$A$140,$CQ$205^A47,IF(A47='Données projet'!$A$140,'Données projet'!$B$140,CT46+CS47-DB46)))</f>
        <v>209.33333333333334</v>
      </c>
      <c r="CU47" s="18">
        <f>CT47*VLOOKUP('Données projet'!$B$13,Paramètres!$A$1:$I$89,3,0)*VLOOKUP('Données projet'!$B$13,Paramètres!$A$1:$I$89,5,0)</f>
        <v>130.62400000000002</v>
      </c>
      <c r="CV47" s="14">
        <f t="shared" si="41"/>
        <v>34.140507202645395</v>
      </c>
      <c r="CW47" s="22">
        <f t="shared" si="13"/>
        <v>286.96485004460743</v>
      </c>
      <c r="CX47" s="62">
        <f t="shared" si="14"/>
        <v>580.29818337794075</v>
      </c>
      <c r="CY47" s="62">
        <f ca="1">AVERAGE(OFFSET($CX$3,0,0,'Données projet'!$E$13+1,1))-AVERAGE(OFFSET($H$3,0,0,'Données projet'!$E$13+1,1))</f>
        <v>175.05987582828078</v>
      </c>
      <c r="CZ47" s="62">
        <f t="shared" si="42"/>
        <v>268.54782308462387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6.1594468601222081</v>
      </c>
      <c r="DH47" s="23">
        <f>EXP(-LN(2)/2)*DH46+(1-EXP(-LN(2)/2))/(LN(2)/2)*DB47*DE47*VLOOKUP('Données projet'!$B$13,Paramètres!$A$1:$I$89,3,0)*0.475*44/12</f>
        <v>9.8820018755376299E-2</v>
      </c>
      <c r="DI47" s="24">
        <f t="shared" si="15"/>
        <v>6.2582668788775848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13.8</v>
      </c>
      <c r="DO47" s="13">
        <f>IF('Données projet'!$A$166&gt;35,DO46+DN47-DW46,IF(A47&lt;'Données projet'!$A$166,$DL$205^A47,IF(A47='Données projet'!$A$166,'Données projet'!$B$166,DO46+DN47-DW46)))</f>
        <v>269.2</v>
      </c>
      <c r="DP47" s="18">
        <f>DO47*VLOOKUP('Données projet'!$B$14,Paramètres!$A$1:$I$89,3,0)*VLOOKUP('Données projet'!$B$14,Paramètres!$A$1:$I$89,5,0)</f>
        <v>153.98239999999998</v>
      </c>
      <c r="DQ47" s="14">
        <f t="shared" si="43"/>
        <v>39.482215533662355</v>
      </c>
      <c r="DR47" s="22">
        <f t="shared" si="16"/>
        <v>336.95087205446191</v>
      </c>
      <c r="DS47" s="62">
        <f t="shared" si="17"/>
        <v>630.28420538779528</v>
      </c>
      <c r="DT47" s="62">
        <f ca="1">AVERAGE(OFFSET($DS$3,0,0,'Données projet'!$E$14+1,1))-AVERAGE(OFFSET($H$3,0,0,'Données projet'!$E$14+1,1))</f>
        <v>228.06050741667258</v>
      </c>
      <c r="DU47" s="62">
        <f t="shared" si="44"/>
        <v>191.94885821983536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12.753968565993082</v>
      </c>
      <c r="EC47" s="23">
        <f>EXP(-LN(2)/2)*EC46+(1-EXP(-LN(2)/2))/(LN(2)/2)*DW47*DZ47*VLOOKUP('Données projet'!$B$14,Paramètres!$A$1:$I$89,3,0)*0.475*44/12</f>
        <v>0.80169898239724813</v>
      </c>
      <c r="ED47" s="24">
        <f t="shared" si="18"/>
        <v>13.55566754839033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</v>
      </c>
      <c r="EJ47" s="13">
        <f>IF('Données projet'!$A$192&gt;35,EJ46+EI47-ER46,IF(A47&lt;'Données projet'!$A$192,$EG$205^A47,IF(A47='Données projet'!$A$192,'Données projet'!$B$192,EJ46+EI47-ER46)))</f>
        <v>305.99999999999994</v>
      </c>
      <c r="EK47" s="18">
        <f>EJ47*VLOOKUP('Données projet'!$B$15,Paramètres!$A$1:$I$89,3,0)*VLOOKUP('Données projet'!$B$15,Paramètres!$A$1:$I$89,5,0)</f>
        <v>276.86879999999996</v>
      </c>
      <c r="EL47" s="14">
        <f t="shared" si="45"/>
        <v>66.30486383631866</v>
      </c>
      <c r="EM47" s="22">
        <f t="shared" si="19"/>
        <v>597.6941311815882</v>
      </c>
      <c r="EN47" s="62">
        <f t="shared" si="20"/>
        <v>891.02746451492158</v>
      </c>
      <c r="EO47" s="62">
        <f ca="1">AVERAGE(OFFSET($EN$3,0,0,'Données projet'!$E$15+1,1))-AVERAGE(OFFSET($H$3,0,0,'Données projet'!$E$15+1,1))</f>
        <v>315.23521260143986</v>
      </c>
      <c r="EP47" s="62">
        <f t="shared" si="46"/>
        <v>439.11021845472641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18.714285714285715</v>
      </c>
      <c r="N48" s="14">
        <f>IF('Données projet'!$A$36&gt;35,N47+M48-V47,IF(A48&lt;'Données projet'!$A$36,$K$205^A48,IF(A48='Données projet'!$A$36,'Données projet'!$B$36,N47+M48-V47)))</f>
        <v>398.14285714285694</v>
      </c>
      <c r="O48" s="14">
        <f>N48*VLOOKUP('Données projet'!$B$9,Paramètres!$A$1:$I$89,3,0)*VLOOKUP('Données projet'!$B$9,Paramètres!$A$1:$I$89,5,0)</f>
        <v>222.56185714285704</v>
      </c>
      <c r="P48" s="14">
        <f t="shared" si="33"/>
        <v>54.671316974727738</v>
      </c>
      <c r="Q48" s="22">
        <f t="shared" si="53"/>
        <v>482.84777825479341</v>
      </c>
      <c r="R48" s="62">
        <f t="shared" si="0"/>
        <v>776.18111158812667</v>
      </c>
      <c r="S48" s="62">
        <f ca="1">AVERAGE(OFFSET($R$3,0,0,'Données projet'!$E$9+1,1))-AVERAGE(OFFSET($H$3,0,0,'Données projet'!$E$9+1,1))</f>
        <v>302.20483575440988</v>
      </c>
      <c r="T48" s="62">
        <f t="shared" si="34"/>
        <v>275.32862097158687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14.692339425302997</v>
      </c>
      <c r="AB48" s="23">
        <f>EXP(-LN(2)/2)*AB47+(1-EXP(-LN(2)/2))/(LN(2)/2)*V48*Y48*VLOOKUP('Données projet'!$B$9,Paramètres!$A$1:$I$89,3,0)*0.475*44/12</f>
        <v>6.0809973596815392E-2</v>
      </c>
      <c r="AC48" s="24">
        <f t="shared" si="3"/>
        <v>14.753149398899811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232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232.00000000000006</v>
      </c>
      <c r="AJ48" s="14">
        <f>AI48*VLOOKUP('Données projet'!$B$10,Paramètres!$A$1:$I$89,3,0)*VLOOKUP('Données projet'!$B$10,Paramètres!$A$1:$I$89,5,0)</f>
        <v>209.91360000000006</v>
      </c>
      <c r="AK48" s="14">
        <f t="shared" si="35"/>
        <v>51.916704672341361</v>
      </c>
      <c r="AL48" s="22">
        <f t="shared" si="4"/>
        <v>456.02111397099458</v>
      </c>
      <c r="AM48" s="62">
        <f t="shared" si="5"/>
        <v>749.35444730432789</v>
      </c>
      <c r="AN48" s="62">
        <f ca="1">AVERAGE(OFFSET($AM$3,0,0,'Données projet'!$E$10+1,1))-AVERAGE(OFFSET($H$3,0,0,'Données projet'!$E$10+1,1))</f>
        <v>384.44848355636935</v>
      </c>
      <c r="AO48" s="62">
        <f t="shared" si="36"/>
        <v>203.5274665601915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232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232.00000000000006</v>
      </c>
      <c r="BE48" s="14">
        <f>BD48*VLOOKUP('Données projet'!$B$11,Paramètres!$A$1:$I$89,3,0)*VLOOKUP('Données projet'!$B$11,Paramètres!$A$1:$I$89,5,0)</f>
        <v>235.24800000000008</v>
      </c>
      <c r="BF48" s="14">
        <f t="shared" si="37"/>
        <v>57.41592756883739</v>
      </c>
      <c r="BG48" s="22">
        <f t="shared" si="7"/>
        <v>509.72300718239194</v>
      </c>
      <c r="BH48" s="62">
        <f t="shared" si="8"/>
        <v>803.0563405157252</v>
      </c>
      <c r="BI48" s="62">
        <f ca="1">AVERAGE(OFFSET($BH$3,0,0,'Données projet'!$E$11+1,1))-AVERAGE(OFFSET($H$3,0,0,'Données projet'!$E$11+1,1))</f>
        <v>440.60698566758532</v>
      </c>
      <c r="BJ48" s="62">
        <f t="shared" si="38"/>
        <v>231.92898690465887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56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318</v>
      </c>
      <c r="BW48" s="13">
        <f>VLOOKUP(A48,'Données projet'!$A$113:$I$133,9,0)</f>
        <v>19</v>
      </c>
      <c r="BX48" s="13">
        <f t="array" ref="BX48">INDEX(BW:BW,MIN(IF(ISNUMBER(BW48:BW244),ROW(BW48:BW244),"")))</f>
        <v>19</v>
      </c>
      <c r="BY48" s="13">
        <f>IF('Données projet'!$A$114&gt;35,BY47+BX48-CG47,IF(A48&lt;'Données projet'!$A$114,$BV$205^A48,IF(A48='Données projet'!$A$114,'Données projet'!$B$114,BY47+BX48-CG47)))</f>
        <v>318.00000000000006</v>
      </c>
      <c r="BZ48" s="14">
        <f>BY48*VLOOKUP('Données projet'!$B$12,Paramètres!$A$1:$I$89,3,0)*VLOOKUP('Données projet'!$B$12,Paramètres!$A$1:$I$89,5,0)</f>
        <v>190.16400000000004</v>
      </c>
      <c r="CA48" s="14">
        <f t="shared" si="39"/>
        <v>47.576209101852911</v>
      </c>
      <c r="CB48" s="22">
        <f t="shared" si="10"/>
        <v>414.06419751906054</v>
      </c>
      <c r="CC48" s="62">
        <f t="shared" si="11"/>
        <v>707.39753085239386</v>
      </c>
      <c r="CD48" s="62">
        <f ca="1">AVERAGE(OFFSET($CC$3,0,0,'Données projet'!$E$12+1,1))-AVERAGE(OFFSET($H$3,0,0,'Données projet'!$E$12+1,1))</f>
        <v>287.29865338866551</v>
      </c>
      <c r="CE48" s="62">
        <f t="shared" si="40"/>
        <v>217.57508587672368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53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7.2273247685371276</v>
      </c>
      <c r="CM48" s="23">
        <f>EXP(-LN(2)/2)*CM47+(1-EXP(-LN(2)/2))/(LN(2)/2)*CG48*CJ48*VLOOKUP('Données projet'!$B$12,Paramètres!$A$1:$I$89,3,0)*0.475*44/12</f>
        <v>7.1076302332995181E-2</v>
      </c>
      <c r="CN48" s="24">
        <f t="shared" si="12"/>
        <v>7.2984010708701224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10.666666666666666</v>
      </c>
      <c r="CT48" s="13">
        <f>IF('Données projet'!$A$140&gt;35,CT47+CS48-DB47,IF(A48&lt;'Données projet'!$A$140,$CQ$205^A48,IF(A48='Données projet'!$A$140,'Données projet'!$B$140,CT47+CS48-DB47)))</f>
        <v>220</v>
      </c>
      <c r="CU48" s="18">
        <f>CT48*VLOOKUP('Données projet'!$B$13,Paramètres!$A$1:$I$89,3,0)*VLOOKUP('Données projet'!$B$13,Paramètres!$A$1:$I$89,5,0)</f>
        <v>137.28</v>
      </c>
      <c r="CV48" s="14">
        <f t="shared" si="41"/>
        <v>35.673181961873446</v>
      </c>
      <c r="CW48" s="22">
        <f t="shared" si="13"/>
        <v>301.22679191692959</v>
      </c>
      <c r="CX48" s="62">
        <f t="shared" si="14"/>
        <v>594.5601252502629</v>
      </c>
      <c r="CY48" s="62">
        <f ca="1">AVERAGE(OFFSET($CX$3,0,0,'Données projet'!$E$13+1,1))-AVERAGE(OFFSET($H$3,0,0,'Données projet'!$E$13+1,1))</f>
        <v>175.05987582828078</v>
      </c>
      <c r="CZ48" s="62">
        <f t="shared" si="42"/>
        <v>268.54782308462387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5.9910164618209336</v>
      </c>
      <c r="DH48" s="23">
        <f>EXP(-LN(2)/2)*DH47+(1-EXP(-LN(2)/2))/(LN(2)/2)*DB48*DE48*VLOOKUP('Données projet'!$B$13,Paramètres!$A$1:$I$89,3,0)*0.475*44/12</f>
        <v>6.987630537890839E-2</v>
      </c>
      <c r="DI48" s="24">
        <f t="shared" si="15"/>
        <v>6.0608927671998423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283</v>
      </c>
      <c r="DM48" s="13">
        <f>VLOOKUP(A48,'Données projet'!$A$165:$I$185,9,0)</f>
        <v>13.8</v>
      </c>
      <c r="DN48" s="13">
        <f t="array" ref="DN48">INDEX(DM:DM,MIN(IF(ISNUMBER(DM48:DM244),ROW(DM48:DM244),"")))</f>
        <v>13.8</v>
      </c>
      <c r="DO48" s="13">
        <f>IF('Données projet'!$A$166&gt;35,DO47+DN48-DW47,IF(A48&lt;'Données projet'!$A$166,$DL$205^A48,IF(A48='Données projet'!$A$166,'Données projet'!$B$166,DO47+DN48-DW47)))</f>
        <v>283</v>
      </c>
      <c r="DP48" s="18">
        <f>DO48*VLOOKUP('Données projet'!$B$14,Paramètres!$A$1:$I$89,3,0)*VLOOKUP('Données projet'!$B$14,Paramètres!$A$1:$I$89,5,0)</f>
        <v>161.876</v>
      </c>
      <c r="DQ48" s="14">
        <f t="shared" si="43"/>
        <v>41.2653649487576</v>
      </c>
      <c r="DR48" s="22">
        <f t="shared" si="16"/>
        <v>353.80454395241946</v>
      </c>
      <c r="DS48" s="62">
        <f t="shared" si="17"/>
        <v>647.13787728575278</v>
      </c>
      <c r="DT48" s="62">
        <f ca="1">AVERAGE(OFFSET($DS$3,0,0,'Données projet'!$E$14+1,1))-AVERAGE(OFFSET($H$3,0,0,'Données projet'!$E$14+1,1))</f>
        <v>228.06050741667258</v>
      </c>
      <c r="DU48" s="62">
        <f t="shared" si="44"/>
        <v>191.94885821983536</v>
      </c>
      <c r="DV48" s="16">
        <f>IF(ISNA(VLOOKUP(A48,'Données projet'!$A$165:$I$185,3,0)),0,VLOOKUP(A48,'Données projet'!$A$165:$I$185,3,0))</f>
        <v>5</v>
      </c>
      <c r="DW48" s="16">
        <f>IF(ISNA(VLOOKUP(A48,'Données projet'!$A$165:$I$185,4,0)),0,VLOOKUP(A48,'Données projet'!$A$165:$I$185,4,0))</f>
        <v>38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12.405210624853945</v>
      </c>
      <c r="EC48" s="23">
        <f>EXP(-LN(2)/2)*EC47+(1-EXP(-LN(2)/2))/(LN(2)/2)*DW48*DZ48*VLOOKUP('Données projet'!$B$14,Paramètres!$A$1:$I$89,3,0)*0.475*44/12</f>
        <v>0.56688678692344874</v>
      </c>
      <c r="ED48" s="24">
        <f t="shared" si="18"/>
        <v>12.972097411777394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312</v>
      </c>
      <c r="EH48" s="13">
        <f>VLOOKUP(A48,'Données projet'!$A$191:$I$211,9,0)</f>
        <v>6</v>
      </c>
      <c r="EI48" s="13">
        <f t="array" ref="EI48">INDEX(EH:EH,MIN(IF(ISNUMBER(EH48:EH244),ROW(EH48:EH244),"")))</f>
        <v>6</v>
      </c>
      <c r="EJ48" s="13">
        <f>IF('Données projet'!$A$192&gt;35,EJ47+EI48-ER47,IF(A48&lt;'Données projet'!$A$192,$EG$205^A48,IF(A48='Données projet'!$A$192,'Données projet'!$B$192,EJ47+EI48-ER47)))</f>
        <v>311.99999999999994</v>
      </c>
      <c r="EK48" s="18">
        <f>EJ48*VLOOKUP('Données projet'!$B$15,Paramètres!$A$1:$I$89,3,0)*VLOOKUP('Données projet'!$B$15,Paramètres!$A$1:$I$89,5,0)</f>
        <v>282.29759999999993</v>
      </c>
      <c r="EL48" s="14">
        <f t="shared" si="45"/>
        <v>67.452326629470178</v>
      </c>
      <c r="EM48" s="22">
        <f t="shared" si="19"/>
        <v>609.14778887966042</v>
      </c>
      <c r="EN48" s="62">
        <f t="shared" si="20"/>
        <v>902.4811222129938</v>
      </c>
      <c r="EO48" s="62">
        <f ca="1">AVERAGE(OFFSET($EN$3,0,0,'Données projet'!$E$15+1,1))-AVERAGE(OFFSET($H$3,0,0,'Données projet'!$E$15+1,1))</f>
        <v>315.23521260143986</v>
      </c>
      <c r="EP48" s="62">
        <f t="shared" si="46"/>
        <v>439.11021845472641</v>
      </c>
      <c r="EQ48" s="16">
        <f>IF(ISNA(VLOOKUP(A48,'Données projet'!$A$191:$I$211,3,0)),0,VLOOKUP(A48,'Données projet'!$A$191:$I$211,3,0))</f>
        <v>8</v>
      </c>
      <c r="ER48" s="16">
        <f>IF(ISNA(VLOOKUP(A48,'Données projet'!$A$191:$I$211,4,0)),0,VLOOKUP(A48,'Données projet'!$A$191:$I$211,4,0))</f>
        <v>312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18.714285714285715</v>
      </c>
      <c r="N49" s="14">
        <f>IF('Données projet'!$A$36&gt;35,N48+M49-V48,IF(A49&lt;'Données projet'!$A$36,$K$205^A49,IF(A49='Données projet'!$A$36,'Données projet'!$B$36,N48+M49-V48)))</f>
        <v>416.85714285714266</v>
      </c>
      <c r="O49" s="14">
        <f>N49*VLOOKUP('Données projet'!$B$9,Paramètres!$A$1:$I$89,3,0)*VLOOKUP('Données projet'!$B$9,Paramètres!$A$1:$I$89,5,0)</f>
        <v>233.02314285714277</v>
      </c>
      <c r="P49" s="14">
        <f t="shared" si="33"/>
        <v>56.935858075040223</v>
      </c>
      <c r="Q49" s="22">
        <f t="shared" si="53"/>
        <v>505.01192662355203</v>
      </c>
      <c r="R49" s="62">
        <f t="shared" si="0"/>
        <v>798.34525995688534</v>
      </c>
      <c r="S49" s="62">
        <f ca="1">AVERAGE(OFFSET($R$3,0,0,'Données projet'!$E$9+1,1))-AVERAGE(OFFSET($H$3,0,0,'Données projet'!$E$9+1,1))</f>
        <v>302.20483575440988</v>
      </c>
      <c r="T49" s="62">
        <f t="shared" si="34"/>
        <v>275.32862097158687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14.290576631081535</v>
      </c>
      <c r="AB49" s="23">
        <f>EXP(-LN(2)/2)*AB48+(1-EXP(-LN(2)/2))/(LN(2)/2)*V49*Y49*VLOOKUP('Données projet'!$B$9,Paramètres!$A$1:$I$89,3,0)*0.475*44/12</f>
        <v>4.2999144694083079E-2</v>
      </c>
      <c r="AC49" s="24">
        <f t="shared" si="3"/>
        <v>14.333575775775618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187.00000000000006</v>
      </c>
      <c r="AJ49" s="14">
        <f>AI49*VLOOKUP('Données projet'!$B$10,Paramètres!$A$1:$I$89,3,0)*VLOOKUP('Données projet'!$B$10,Paramètres!$A$1:$I$89,5,0)</f>
        <v>169.19760000000005</v>
      </c>
      <c r="AK49" s="14">
        <f t="shared" si="35"/>
        <v>42.910263223432885</v>
      </c>
      <c r="AL49" s="22">
        <f t="shared" si="4"/>
        <v>369.42119511414563</v>
      </c>
      <c r="AM49" s="62">
        <f t="shared" si="5"/>
        <v>662.75452844747895</v>
      </c>
      <c r="AN49" s="62">
        <f ca="1">AVERAGE(OFFSET($AM$3,0,0,'Données projet'!$E$10+1,1))-AVERAGE(OFFSET($H$3,0,0,'Données projet'!$E$10+1,1))</f>
        <v>384.44848355636935</v>
      </c>
      <c r="AO49" s="62">
        <f t="shared" si="36"/>
        <v>203.5274665601915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187.00000000000006</v>
      </c>
      <c r="BE49" s="14">
        <f>BD49*VLOOKUP('Données projet'!$B$11,Paramètres!$A$1:$I$89,3,0)*VLOOKUP('Données projet'!$B$11,Paramètres!$A$1:$I$89,5,0)</f>
        <v>189.61800000000008</v>
      </c>
      <c r="BF49" s="14">
        <f t="shared" si="37"/>
        <v>47.455488185268543</v>
      </c>
      <c r="BG49" s="22">
        <f t="shared" si="7"/>
        <v>412.90299192267616</v>
      </c>
      <c r="BH49" s="62">
        <f t="shared" si="8"/>
        <v>706.23632525600942</v>
      </c>
      <c r="BI49" s="62">
        <f ca="1">AVERAGE(OFFSET($BH$3,0,0,'Données projet'!$E$11+1,1))-AVERAGE(OFFSET($H$3,0,0,'Données projet'!$E$11+1,1))</f>
        <v>440.60698566758532</v>
      </c>
      <c r="BJ49" s="62">
        <f t="shared" si="38"/>
        <v>231.92898690465887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17.399999999999999</v>
      </c>
      <c r="BY49" s="13">
        <f>IF('Données projet'!$A$114&gt;35,BY48+BX49-CG48,IF(A49&lt;'Données projet'!$A$114,$BV$205^A49,IF(A49='Données projet'!$A$114,'Données projet'!$B$114,BY48+BX49-CG48)))</f>
        <v>282.40000000000003</v>
      </c>
      <c r="BZ49" s="14">
        <f>BY49*VLOOKUP('Données projet'!$B$12,Paramètres!$A$1:$I$89,3,0)*VLOOKUP('Données projet'!$B$12,Paramètres!$A$1:$I$89,5,0)</f>
        <v>168.87520000000004</v>
      </c>
      <c r="CA49" s="14">
        <f t="shared" si="39"/>
        <v>42.838008554673955</v>
      </c>
      <c r="CB49" s="22">
        <f t="shared" si="10"/>
        <v>368.73383823272388</v>
      </c>
      <c r="CC49" s="62">
        <f t="shared" si="11"/>
        <v>662.06717156605714</v>
      </c>
      <c r="CD49" s="62">
        <f ca="1">AVERAGE(OFFSET($CC$3,0,0,'Données projet'!$E$12+1,1))-AVERAGE(OFFSET($H$3,0,0,'Données projet'!$E$12+1,1))</f>
        <v>287.29865338866551</v>
      </c>
      <c r="CE49" s="62">
        <f t="shared" si="40"/>
        <v>217.57508587672368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7.0296931926729886</v>
      </c>
      <c r="CM49" s="23">
        <f>EXP(-LN(2)/2)*CM48+(1-EXP(-LN(2)/2))/(LN(2)/2)*CG49*CJ49*VLOOKUP('Données projet'!$B$12,Paramètres!$A$1:$I$89,3,0)*0.475*44/12</f>
        <v>5.0258535361326122E-2</v>
      </c>
      <c r="CN49" s="24">
        <f t="shared" si="12"/>
        <v>7.0799517280343149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10.666666666666666</v>
      </c>
      <c r="CT49" s="13">
        <f>IF('Données projet'!$A$140&gt;35,CT48+CS49-DB48,IF(A49&lt;'Données projet'!$A$140,$CQ$205^A49,IF(A49='Données projet'!$A$140,'Données projet'!$B$140,CT48+CS49-DB48)))</f>
        <v>230.66666666666666</v>
      </c>
      <c r="CU49" s="18">
        <f>CT49*VLOOKUP('Données projet'!$B$13,Paramètres!$A$1:$I$89,3,0)*VLOOKUP('Données projet'!$B$13,Paramètres!$A$1:$I$89,5,0)</f>
        <v>143.93599999999998</v>
      </c>
      <c r="CV49" s="14">
        <f t="shared" si="41"/>
        <v>37.197227655019397</v>
      </c>
      <c r="CW49" s="22">
        <f t="shared" si="13"/>
        <v>315.47370483249205</v>
      </c>
      <c r="CX49" s="62">
        <f t="shared" si="14"/>
        <v>608.80703816582536</v>
      </c>
      <c r="CY49" s="62">
        <f ca="1">AVERAGE(OFFSET($CX$3,0,0,'Données projet'!$E$13+1,1))-AVERAGE(OFFSET($H$3,0,0,'Données projet'!$E$13+1,1))</f>
        <v>175.05987582828078</v>
      </c>
      <c r="CZ49" s="62">
        <f t="shared" si="42"/>
        <v>268.54782308462387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5.8271918016185769</v>
      </c>
      <c r="DH49" s="23">
        <f>EXP(-LN(2)/2)*DH48+(1-EXP(-LN(2)/2))/(LN(2)/2)*DB49*DE49*VLOOKUP('Données projet'!$B$13,Paramètres!$A$1:$I$89,3,0)*0.475*44/12</f>
        <v>4.9410009377688149E-2</v>
      </c>
      <c r="DI49" s="24">
        <f t="shared" si="15"/>
        <v>5.8766018109962648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13.2</v>
      </c>
      <c r="DO49" s="13">
        <f>IF('Données projet'!$A$166&gt;35,DO48+DN49-DW48,IF(A49&lt;'Données projet'!$A$166,$DL$205^A49,IF(A49='Données projet'!$A$166,'Données projet'!$B$166,DO48+DN49-DW48)))</f>
        <v>258.2</v>
      </c>
      <c r="DP49" s="18">
        <f>DO49*VLOOKUP('Données projet'!$B$14,Paramètres!$A$1:$I$89,3,0)*VLOOKUP('Données projet'!$B$14,Paramètres!$A$1:$I$89,5,0)</f>
        <v>147.69039999999998</v>
      </c>
      <c r="DQ49" s="14">
        <f t="shared" si="43"/>
        <v>38.053247671549173</v>
      </c>
      <c r="DR49" s="22">
        <f t="shared" si="16"/>
        <v>323.50351969461479</v>
      </c>
      <c r="DS49" s="62">
        <f t="shared" si="17"/>
        <v>616.83685302794811</v>
      </c>
      <c r="DT49" s="62">
        <f ca="1">AVERAGE(OFFSET($DS$3,0,0,'Données projet'!$E$14+1,1))-AVERAGE(OFFSET($H$3,0,0,'Données projet'!$E$14+1,1))</f>
        <v>228.06050741667258</v>
      </c>
      <c r="DU49" s="62">
        <f t="shared" si="44"/>
        <v>191.94885821983536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12.065989487955639</v>
      </c>
      <c r="EC49" s="23">
        <f>EXP(-LN(2)/2)*EC48+(1-EXP(-LN(2)/2))/(LN(2)/2)*DW49*DZ49*VLOOKUP('Données projet'!$B$14,Paramètres!$A$1:$I$89,3,0)*0.475*44/12</f>
        <v>0.40084949119862406</v>
      </c>
      <c r="ED49" s="24">
        <f t="shared" si="18"/>
        <v>12.466838979154263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-5.6843418860808015E-14</v>
      </c>
      <c r="EK49" s="18">
        <f>EJ49*VLOOKUP('Données projet'!$B$15,Paramètres!$A$1:$I$89,3,0)*VLOOKUP('Données projet'!$B$15,Paramètres!$A$1:$I$89,5,0)</f>
        <v>-5.1431925385259088E-14</v>
      </c>
      <c r="EL49" s="14" t="e">
        <f t="shared" si="45"/>
        <v>#NUM!</v>
      </c>
      <c r="EM49" s="22" t="e">
        <f t="shared" si="19"/>
        <v>#NUM!</v>
      </c>
      <c r="EN49" s="62" t="e">
        <f t="shared" si="20"/>
        <v>#NUM!</v>
      </c>
      <c r="EO49" s="62">
        <f ca="1">AVERAGE(OFFSET($EN$3,0,0,'Données projet'!$E$15+1,1))-AVERAGE(OFFSET($H$3,0,0,'Données projet'!$E$15+1,1))</f>
        <v>315.23521260143986</v>
      </c>
      <c r="EP49" s="62">
        <f t="shared" si="46"/>
        <v>439.11021845472641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18.714285714285715</v>
      </c>
      <c r="N50" s="14">
        <f>IF('Données projet'!$A$36&gt;35,N49+M50-V49,IF(A50&lt;'Données projet'!$A$36,$K$205^A50,IF(A50='Données projet'!$A$36,'Données projet'!$B$36,N49+M50-V49)))</f>
        <v>435.57142857142838</v>
      </c>
      <c r="O50" s="14">
        <f>N50*VLOOKUP('Données projet'!$B$9,Paramètres!$A$1:$I$89,3,0)*VLOOKUP('Données projet'!$B$9,Paramètres!$A$1:$I$89,5,0)</f>
        <v>243.48442857142848</v>
      </c>
      <c r="P50" s="14">
        <f t="shared" si="33"/>
        <v>59.188592189821975</v>
      </c>
      <c r="Q50" s="22">
        <f t="shared" si="53"/>
        <v>527.15551115917788</v>
      </c>
      <c r="R50" s="62">
        <f t="shared" si="0"/>
        <v>820.48884449251113</v>
      </c>
      <c r="S50" s="62">
        <f ca="1">AVERAGE(OFFSET($R$3,0,0,'Données projet'!$E$9+1,1))-AVERAGE(OFFSET($H$3,0,0,'Données projet'!$E$9+1,1))</f>
        <v>302.20483575440988</v>
      </c>
      <c r="T50" s="62">
        <f t="shared" si="34"/>
        <v>275.32862097158687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13.899800061595847</v>
      </c>
      <c r="AB50" s="23">
        <f>EXP(-LN(2)/2)*AB49+(1-EXP(-LN(2)/2))/(LN(2)/2)*V50*Y50*VLOOKUP('Données projet'!$B$9,Paramètres!$A$1:$I$89,3,0)*0.475*44/12</f>
        <v>3.0404986798407703E-2</v>
      </c>
      <c r="AC50" s="24">
        <f t="shared" si="3"/>
        <v>13.930205048394255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198.00000000000006</v>
      </c>
      <c r="AJ50" s="14">
        <f>AI50*VLOOKUP('Données projet'!$B$10,Paramètres!$A$1:$I$89,3,0)*VLOOKUP('Données projet'!$B$10,Paramètres!$A$1:$I$89,5,0)</f>
        <v>179.15040000000005</v>
      </c>
      <c r="AK50" s="14">
        <f t="shared" si="35"/>
        <v>45.133113803437347</v>
      </c>
      <c r="AL50" s="22">
        <f t="shared" si="4"/>
        <v>390.62711987432004</v>
      </c>
      <c r="AM50" s="62">
        <f t="shared" si="5"/>
        <v>683.96045320765336</v>
      </c>
      <c r="AN50" s="62">
        <f ca="1">AVERAGE(OFFSET($AM$3,0,0,'Données projet'!$E$10+1,1))-AVERAGE(OFFSET($H$3,0,0,'Données projet'!$E$10+1,1))</f>
        <v>384.44848355636935</v>
      </c>
      <c r="AO50" s="62">
        <f t="shared" si="36"/>
        <v>203.5274665601915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198.00000000000006</v>
      </c>
      <c r="BE50" s="14">
        <f>BD50*VLOOKUP('Données projet'!$B$11,Paramètres!$A$1:$I$89,3,0)*VLOOKUP('Données projet'!$B$11,Paramètres!$A$1:$I$89,5,0)</f>
        <v>200.77200000000008</v>
      </c>
      <c r="BF50" s="14">
        <f t="shared" si="37"/>
        <v>49.913791898945412</v>
      </c>
      <c r="BG50" s="22">
        <f t="shared" si="7"/>
        <v>436.61108755732999</v>
      </c>
      <c r="BH50" s="62">
        <f t="shared" si="8"/>
        <v>729.94442089066331</v>
      </c>
      <c r="BI50" s="62">
        <f ca="1">AVERAGE(OFFSET($BH$3,0,0,'Données projet'!$E$11+1,1))-AVERAGE(OFFSET($H$3,0,0,'Données projet'!$E$11+1,1))</f>
        <v>440.60698566758532</v>
      </c>
      <c r="BJ50" s="62">
        <f t="shared" si="38"/>
        <v>231.92898690465887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17.399999999999999</v>
      </c>
      <c r="BY50" s="13">
        <f>IF('Données projet'!$A$114&gt;35,BY49+BX50-CG49,IF(A50&lt;'Données projet'!$A$114,$BV$205^A50,IF(A50='Données projet'!$A$114,'Données projet'!$B$114,BY49+BX50-CG49)))</f>
        <v>299.8</v>
      </c>
      <c r="BZ50" s="14">
        <f>BY50*VLOOKUP('Données projet'!$B$12,Paramètres!$A$1:$I$89,3,0)*VLOOKUP('Données projet'!$B$12,Paramètres!$A$1:$I$89,5,0)</f>
        <v>179.28040000000001</v>
      </c>
      <c r="CA50" s="14">
        <f t="shared" si="39"/>
        <v>45.162051118824294</v>
      </c>
      <c r="CB50" s="22">
        <f t="shared" si="10"/>
        <v>390.90393569861902</v>
      </c>
      <c r="CC50" s="62">
        <f t="shared" si="11"/>
        <v>684.23726903195234</v>
      </c>
      <c r="CD50" s="62">
        <f ca="1">AVERAGE(OFFSET($CC$3,0,0,'Données projet'!$E$12+1,1))-AVERAGE(OFFSET($H$3,0,0,'Données projet'!$E$12+1,1))</f>
        <v>287.29865338866551</v>
      </c>
      <c r="CE50" s="62">
        <f t="shared" si="40"/>
        <v>217.57508587672368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6.8374658626438469</v>
      </c>
      <c r="CM50" s="23">
        <f>EXP(-LN(2)/2)*CM49+(1-EXP(-LN(2)/2))/(LN(2)/2)*CG50*CJ50*VLOOKUP('Données projet'!$B$12,Paramètres!$A$1:$I$89,3,0)*0.475*44/12</f>
        <v>3.553815116649759E-2</v>
      </c>
      <c r="CN50" s="24">
        <f t="shared" si="12"/>
        <v>6.8730040138103448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10.666666666666666</v>
      </c>
      <c r="CT50" s="13">
        <f>IF('Données projet'!$A$140&gt;35,CT49+CS50-DB49,IF(A50&lt;'Données projet'!$A$140,$CQ$205^A50,IF(A50='Données projet'!$A$140,'Données projet'!$B$140,CT49+CS50-DB49)))</f>
        <v>241.33333333333331</v>
      </c>
      <c r="CU50" s="18">
        <f>CT50*VLOOKUP('Données projet'!$B$13,Paramètres!$A$1:$I$89,3,0)*VLOOKUP('Données projet'!$B$13,Paramètres!$A$1:$I$89,5,0)</f>
        <v>150.59199999999998</v>
      </c>
      <c r="CV50" s="14">
        <f t="shared" si="41"/>
        <v>38.713088888505631</v>
      </c>
      <c r="CW50" s="22">
        <f t="shared" si="13"/>
        <v>329.70636314748066</v>
      </c>
      <c r="CX50" s="62">
        <f t="shared" si="14"/>
        <v>623.03969648081397</v>
      </c>
      <c r="CY50" s="62">
        <f ca="1">AVERAGE(OFFSET($CX$3,0,0,'Données projet'!$E$13+1,1))-AVERAGE(OFFSET($H$3,0,0,'Données projet'!$E$13+1,1))</f>
        <v>175.05987582828078</v>
      </c>
      <c r="CZ50" s="62">
        <f t="shared" si="42"/>
        <v>268.54782308462387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5.6678469353646186</v>
      </c>
      <c r="DH50" s="23">
        <f>EXP(-LN(2)/2)*DH49+(1-EXP(-LN(2)/2))/(LN(2)/2)*DB50*DE50*VLOOKUP('Données projet'!$B$13,Paramètres!$A$1:$I$89,3,0)*0.475*44/12</f>
        <v>3.4938152689454195E-2</v>
      </c>
      <c r="DI50" s="24">
        <f t="shared" si="15"/>
        <v>5.7027850880540729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13.2</v>
      </c>
      <c r="DO50" s="13">
        <f>IF('Données projet'!$A$166&gt;35,DO49+DN50-DW49,IF(A50&lt;'Données projet'!$A$166,$DL$205^A50,IF(A50='Données projet'!$A$166,'Données projet'!$B$166,DO49+DN50-DW49)))</f>
        <v>271.39999999999998</v>
      </c>
      <c r="DP50" s="18">
        <f>DO50*VLOOKUP('Données projet'!$B$14,Paramètres!$A$1:$I$89,3,0)*VLOOKUP('Données projet'!$B$14,Paramètres!$A$1:$I$89,5,0)</f>
        <v>155.24080000000001</v>
      </c>
      <c r="DQ50" s="14">
        <f t="shared" si="43"/>
        <v>39.767185348358026</v>
      </c>
      <c r="DR50" s="22">
        <f t="shared" si="16"/>
        <v>339.63890781505688</v>
      </c>
      <c r="DS50" s="62">
        <f t="shared" si="17"/>
        <v>632.97224114839014</v>
      </c>
      <c r="DT50" s="62">
        <f ca="1">AVERAGE(OFFSET($DS$3,0,0,'Données projet'!$E$14+1,1))-AVERAGE(OFFSET($H$3,0,0,'Données projet'!$E$14+1,1))</f>
        <v>228.06050741667258</v>
      </c>
      <c r="DU50" s="62">
        <f t="shared" si="44"/>
        <v>191.94885821983536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11.736044370884681</v>
      </c>
      <c r="EC50" s="23">
        <f>EXP(-LN(2)/2)*EC49+(1-EXP(-LN(2)/2))/(LN(2)/2)*DW50*DZ50*VLOOKUP('Données projet'!$B$14,Paramètres!$A$1:$I$89,3,0)*0.475*44/12</f>
        <v>0.28344339346172437</v>
      </c>
      <c r="ED50" s="24">
        <f t="shared" si="18"/>
        <v>12.019487764346405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-5.6843418860808015E-14</v>
      </c>
      <c r="EK50" s="18">
        <f>EJ50*VLOOKUP('Données projet'!$B$15,Paramètres!$A$1:$I$89,3,0)*VLOOKUP('Données projet'!$B$15,Paramètres!$A$1:$I$89,5,0)</f>
        <v>-5.1431925385259088E-14</v>
      </c>
      <c r="EL50" s="14" t="e">
        <f t="shared" si="45"/>
        <v>#NUM!</v>
      </c>
      <c r="EM50" s="22" t="e">
        <f t="shared" si="19"/>
        <v>#NUM!</v>
      </c>
      <c r="EN50" s="62" t="e">
        <f t="shared" si="20"/>
        <v>#NUM!</v>
      </c>
      <c r="EO50" s="62">
        <f ca="1">AVERAGE(OFFSET($EN$3,0,0,'Données projet'!$E$15+1,1))-AVERAGE(OFFSET($H$3,0,0,'Données projet'!$E$15+1,1))</f>
        <v>315.23521260143986</v>
      </c>
      <c r="EP50" s="62">
        <f t="shared" si="46"/>
        <v>439.11021845472641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18.714285714285715</v>
      </c>
      <c r="N51" s="14">
        <f>IF('Données projet'!$A$36&gt;35,N50+M51-V50,IF(A51&lt;'Données projet'!$A$36,$K$205^A51,IF(A51='Données projet'!$A$36,'Données projet'!$B$36,N50+M51-V50)))</f>
        <v>454.28571428571411</v>
      </c>
      <c r="O51" s="14">
        <f>N51*VLOOKUP('Données projet'!$B$9,Paramètres!$A$1:$I$89,3,0)*VLOOKUP('Données projet'!$B$9,Paramètres!$A$1:$I$89,5,0)</f>
        <v>253.94571428571419</v>
      </c>
      <c r="P51" s="14">
        <f t="shared" si="33"/>
        <v>61.430084594341928</v>
      </c>
      <c r="Q51" s="22">
        <f t="shared" si="53"/>
        <v>549.27951638276431</v>
      </c>
      <c r="R51" s="62">
        <f t="shared" si="0"/>
        <v>842.61284971609757</v>
      </c>
      <c r="S51" s="62">
        <f ca="1">AVERAGE(OFFSET($R$3,0,0,'Données projet'!$E$9+1,1))-AVERAGE(OFFSET($H$3,0,0,'Données projet'!$E$9+1,1))</f>
        <v>302.20483575440988</v>
      </c>
      <c r="T51" s="62">
        <f t="shared" si="34"/>
        <v>275.32862097158687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13.519709297952792</v>
      </c>
      <c r="AB51" s="23">
        <f>EXP(-LN(2)/2)*AB50+(1-EXP(-LN(2)/2))/(LN(2)/2)*V51*Y51*VLOOKUP('Données projet'!$B$9,Paramètres!$A$1:$I$89,3,0)*0.475*44/12</f>
        <v>2.1499572347041543E-2</v>
      </c>
      <c r="AC51" s="24">
        <f t="shared" si="3"/>
        <v>13.541208870299833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209.00000000000006</v>
      </c>
      <c r="AJ51" s="14">
        <f>AI51*VLOOKUP('Données projet'!$B$10,Paramètres!$A$1:$I$89,3,0)*VLOOKUP('Données projet'!$B$10,Paramètres!$A$1:$I$89,5,0)</f>
        <v>189.10320000000004</v>
      </c>
      <c r="AK51" s="14">
        <f t="shared" si="35"/>
        <v>47.341628542787163</v>
      </c>
      <c r="AL51" s="22">
        <f t="shared" si="4"/>
        <v>411.8080763786877</v>
      </c>
      <c r="AM51" s="62">
        <f t="shared" si="5"/>
        <v>705.14140971202096</v>
      </c>
      <c r="AN51" s="62">
        <f ca="1">AVERAGE(OFFSET($AM$3,0,0,'Données projet'!$E$10+1,1))-AVERAGE(OFFSET($H$3,0,0,'Données projet'!$E$10+1,1))</f>
        <v>384.44848355636935</v>
      </c>
      <c r="AO51" s="62">
        <f t="shared" si="36"/>
        <v>203.5274665601915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209.00000000000006</v>
      </c>
      <c r="BE51" s="14">
        <f>BD51*VLOOKUP('Données projet'!$B$11,Paramètres!$A$1:$I$89,3,0)*VLOOKUP('Données projet'!$B$11,Paramètres!$A$1:$I$89,5,0)</f>
        <v>211.92600000000007</v>
      </c>
      <c r="BF51" s="14">
        <f t="shared" si="37"/>
        <v>52.356241262970165</v>
      </c>
      <c r="BG51" s="22">
        <f t="shared" si="7"/>
        <v>460.29157019967312</v>
      </c>
      <c r="BH51" s="62">
        <f t="shared" si="8"/>
        <v>753.62490353300643</v>
      </c>
      <c r="BI51" s="62">
        <f ca="1">AVERAGE(OFFSET($BH$3,0,0,'Données projet'!$E$11+1,1))-AVERAGE(OFFSET($H$3,0,0,'Données projet'!$E$11+1,1))</f>
        <v>440.60698566758532</v>
      </c>
      <c r="BJ51" s="62">
        <f t="shared" si="38"/>
        <v>231.92898690465887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17.399999999999999</v>
      </c>
      <c r="BY51" s="13">
        <f>IF('Données projet'!$A$114&gt;35,BY50+BX51-CG50,IF(A51&lt;'Données projet'!$A$114,$BV$205^A51,IF(A51='Données projet'!$A$114,'Données projet'!$B$114,BY50+BX51-CG50)))</f>
        <v>317.2</v>
      </c>
      <c r="BZ51" s="14">
        <f>BY51*VLOOKUP('Données projet'!$B$12,Paramètres!$A$1:$I$89,3,0)*VLOOKUP('Données projet'!$B$12,Paramètres!$A$1:$I$89,5,0)</f>
        <v>189.68560000000002</v>
      </c>
      <c r="CA51" s="14">
        <f t="shared" si="39"/>
        <v>47.470436776872745</v>
      </c>
      <c r="CB51" s="22">
        <f t="shared" si="10"/>
        <v>413.04676405305344</v>
      </c>
      <c r="CC51" s="62">
        <f t="shared" si="11"/>
        <v>706.38009738638675</v>
      </c>
      <c r="CD51" s="62">
        <f ca="1">AVERAGE(OFFSET($CC$3,0,0,'Données projet'!$E$12+1,1))-AVERAGE(OFFSET($H$3,0,0,'Données projet'!$E$12+1,1))</f>
        <v>287.29865338866551</v>
      </c>
      <c r="CE51" s="62">
        <f t="shared" si="40"/>
        <v>217.57508587672368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6.6504949990631488</v>
      </c>
      <c r="CM51" s="23">
        <f>EXP(-LN(2)/2)*CM50+(1-EXP(-LN(2)/2))/(LN(2)/2)*CG51*CJ51*VLOOKUP('Données projet'!$B$12,Paramètres!$A$1:$I$89,3,0)*0.475*44/12</f>
        <v>2.5129267680663061E-2</v>
      </c>
      <c r="CN51" s="24">
        <f t="shared" si="12"/>
        <v>6.6756242667438119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>
        <f>VLOOKUP(A51,'Données projet'!$A$139:$I$159,2,0)</f>
        <v>252</v>
      </c>
      <c r="CR51" s="13">
        <f>VLOOKUP(A51,'Données projet'!$A$139:$I$159,9,0)</f>
        <v>10.666666666666666</v>
      </c>
      <c r="CS51" s="13">
        <f t="array" ref="CS51">INDEX(CR:CR,MIN(IF(ISNUMBER(CR51:CR247),ROW(CR51:CR247),"")))</f>
        <v>10.666666666666666</v>
      </c>
      <c r="CT51" s="13">
        <f>IF('Données projet'!$A$140&gt;35,CT50+CS51-DB50,IF(A51&lt;'Données projet'!$A$140,$CQ$205^A51,IF(A51='Données projet'!$A$140,'Données projet'!$B$140,CT50+CS51-DB50)))</f>
        <v>251.99999999999997</v>
      </c>
      <c r="CU51" s="18">
        <f>CT51*VLOOKUP('Données projet'!$B$13,Paramètres!$A$1:$I$89,3,0)*VLOOKUP('Données projet'!$B$13,Paramètres!$A$1:$I$89,5,0)</f>
        <v>157.24799999999999</v>
      </c>
      <c r="CV51" s="14">
        <f t="shared" si="41"/>
        <v>40.22116874434861</v>
      </c>
      <c r="CW51" s="22">
        <f t="shared" si="13"/>
        <v>343.92546889640715</v>
      </c>
      <c r="CX51" s="62">
        <f t="shared" si="14"/>
        <v>637.25880222974047</v>
      </c>
      <c r="CY51" s="62">
        <f ca="1">AVERAGE(OFFSET($CX$3,0,0,'Données projet'!$E$13+1,1))-AVERAGE(OFFSET($H$3,0,0,'Données projet'!$E$13+1,1))</f>
        <v>175.05987582828078</v>
      </c>
      <c r="CZ51" s="62">
        <f t="shared" si="42"/>
        <v>268.54782308462387</v>
      </c>
      <c r="DA51" s="16">
        <f>IF(ISNA(VLOOKUP(A51,'Données projet'!$A$139:$I$159,3,0)),0,VLOOKUP(A51,'Données projet'!$A$139:$I$159,3,0))</f>
        <v>7</v>
      </c>
      <c r="DB51" s="16">
        <f>IF(ISNA(VLOOKUP(A51,'Données projet'!$A$139:$I$159,4,0)),0,VLOOKUP(A51,'Données projet'!$A$139:$I$159,4,0))</f>
        <v>65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5.5128593628579567</v>
      </c>
      <c r="DH51" s="23">
        <f>EXP(-LN(2)/2)*DH50+(1-EXP(-LN(2)/2))/(LN(2)/2)*DB51*DE51*VLOOKUP('Données projet'!$B$13,Paramètres!$A$1:$I$89,3,0)*0.475*44/12</f>
        <v>2.4705004688844075E-2</v>
      </c>
      <c r="DI51" s="24">
        <f t="shared" si="15"/>
        <v>5.5375643675468007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13.2</v>
      </c>
      <c r="DO51" s="13">
        <f>IF('Données projet'!$A$166&gt;35,DO50+DN51-DW50,IF(A51&lt;'Données projet'!$A$166,$DL$205^A51,IF(A51='Données projet'!$A$166,'Données projet'!$B$166,DO50+DN51-DW50)))</f>
        <v>284.59999999999997</v>
      </c>
      <c r="DP51" s="18">
        <f>DO51*VLOOKUP('Données projet'!$B$14,Paramètres!$A$1:$I$89,3,0)*VLOOKUP('Données projet'!$B$14,Paramètres!$A$1:$I$89,5,0)</f>
        <v>162.7912</v>
      </c>
      <c r="DQ51" s="14">
        <f t="shared" si="43"/>
        <v>41.471443274907386</v>
      </c>
      <c r="DR51" s="22">
        <f t="shared" si="16"/>
        <v>355.75743703713033</v>
      </c>
      <c r="DS51" s="62">
        <f t="shared" si="17"/>
        <v>649.09077037046359</v>
      </c>
      <c r="DT51" s="62">
        <f ca="1">AVERAGE(OFFSET($DS$3,0,0,'Données projet'!$E$14+1,1))-AVERAGE(OFFSET($H$3,0,0,'Données projet'!$E$14+1,1))</f>
        <v>228.06050741667258</v>
      </c>
      <c r="DU51" s="62">
        <f t="shared" si="44"/>
        <v>191.94885821983536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11.415121620391089</v>
      </c>
      <c r="EC51" s="23">
        <f>EXP(-LN(2)/2)*EC50+(1-EXP(-LN(2)/2))/(LN(2)/2)*DW51*DZ51*VLOOKUP('Données projet'!$B$14,Paramètres!$A$1:$I$89,3,0)*0.475*44/12</f>
        <v>0.20042474559931203</v>
      </c>
      <c r="ED51" s="24">
        <f t="shared" si="18"/>
        <v>11.615546365990401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-5.6843418860808015E-14</v>
      </c>
      <c r="EK51" s="18">
        <f>EJ51*VLOOKUP('Données projet'!$B$15,Paramètres!$A$1:$I$89,3,0)*VLOOKUP('Données projet'!$B$15,Paramètres!$A$1:$I$89,5,0)</f>
        <v>-5.1431925385259088E-14</v>
      </c>
      <c r="EL51" s="14" t="e">
        <f t="shared" si="45"/>
        <v>#NUM!</v>
      </c>
      <c r="EM51" s="22" t="e">
        <f t="shared" si="19"/>
        <v>#NUM!</v>
      </c>
      <c r="EN51" s="62" t="e">
        <f t="shared" si="20"/>
        <v>#NUM!</v>
      </c>
      <c r="EO51" s="62">
        <f ca="1">AVERAGE(OFFSET($EN$3,0,0,'Données projet'!$E$15+1,1))-AVERAGE(OFFSET($H$3,0,0,'Données projet'!$E$15+1,1))</f>
        <v>315.23521260143986</v>
      </c>
      <c r="EP51" s="62">
        <f t="shared" si="46"/>
        <v>439.11021845472641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473</v>
      </c>
      <c r="L52" s="13">
        <f>VLOOKUP(A52,'Données projet'!$A$35:$I$55,9,0)</f>
        <v>18.714285714285715</v>
      </c>
      <c r="M52" s="13">
        <f t="array" ref="M52">INDEX(L:L,MIN(IF(ISNUMBER(L52:L248),ROW(L52:L248),"")))</f>
        <v>18.714285714285715</v>
      </c>
      <c r="N52" s="14">
        <f>IF('Données projet'!$A$36&gt;35,N51+M52-V51,IF(A52&lt;'Données projet'!$A$36,$K$205^A52,IF(A52='Données projet'!$A$36,'Données projet'!$B$36,N51+M52-V51)))</f>
        <v>472.99999999999983</v>
      </c>
      <c r="O52" s="14">
        <f>N52*VLOOKUP('Données projet'!$B$9,Paramètres!$A$1:$I$89,3,0)*VLOOKUP('Données projet'!$B$9,Paramètres!$A$1:$I$89,5,0)</f>
        <v>264.40699999999993</v>
      </c>
      <c r="P52" s="14">
        <f t="shared" si="33"/>
        <v>63.660851355620842</v>
      </c>
      <c r="Q52" s="22">
        <f t="shared" si="53"/>
        <v>571.38484111103946</v>
      </c>
      <c r="R52" s="62">
        <f t="shared" si="0"/>
        <v>864.71817444437283</v>
      </c>
      <c r="S52" s="62">
        <f ca="1">AVERAGE(OFFSET($R$3,0,0,'Données projet'!$E$9+1,1))-AVERAGE(OFFSET($H$3,0,0,'Données projet'!$E$9+1,1))</f>
        <v>302.20483575440988</v>
      </c>
      <c r="T52" s="62">
        <f t="shared" si="34"/>
        <v>275.32862097158687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80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13.150012136229661</v>
      </c>
      <c r="AB52" s="23">
        <f>EXP(-LN(2)/2)*AB51+(1-EXP(-LN(2)/2))/(LN(2)/2)*V52*Y52*VLOOKUP('Données projet'!$B$9,Paramètres!$A$1:$I$89,3,0)*0.475*44/12</f>
        <v>1.5202493399203853E-2</v>
      </c>
      <c r="AC52" s="24">
        <f t="shared" si="3"/>
        <v>13.165214629628865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220.00000000000006</v>
      </c>
      <c r="AJ52" s="14">
        <f>AI52*VLOOKUP('Données projet'!$B$10,Paramètres!$A$1:$I$89,3,0)*VLOOKUP('Données projet'!$B$10,Paramètres!$A$1:$I$89,5,0)</f>
        <v>199.05600000000004</v>
      </c>
      <c r="AK52" s="14">
        <f t="shared" si="35"/>
        <v>49.536648006253934</v>
      </c>
      <c r="AL52" s="22">
        <f t="shared" si="4"/>
        <v>432.96552861089231</v>
      </c>
      <c r="AM52" s="62">
        <f t="shared" si="5"/>
        <v>726.29886194422556</v>
      </c>
      <c r="AN52" s="62">
        <f ca="1">AVERAGE(OFFSET($AM$3,0,0,'Données projet'!$E$10+1,1))-AVERAGE(OFFSET($H$3,0,0,'Données projet'!$E$10+1,1))</f>
        <v>384.44848355636935</v>
      </c>
      <c r="AO52" s="62">
        <f t="shared" si="36"/>
        <v>203.5274665601915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220.00000000000006</v>
      </c>
      <c r="BE52" s="14">
        <f>BD52*VLOOKUP('Données projet'!$B$11,Paramètres!$A$1:$I$89,3,0)*VLOOKUP('Données projet'!$B$11,Paramètres!$A$1:$I$89,5,0)</f>
        <v>223.08000000000004</v>
      </c>
      <c r="BF52" s="14">
        <f t="shared" si="37"/>
        <v>54.783765878062667</v>
      </c>
      <c r="BG52" s="22">
        <f t="shared" si="7"/>
        <v>483.94605890429256</v>
      </c>
      <c r="BH52" s="62">
        <f t="shared" si="8"/>
        <v>777.27939223762587</v>
      </c>
      <c r="BI52" s="62">
        <f ca="1">AVERAGE(OFFSET($BH$3,0,0,'Données projet'!$E$11+1,1))-AVERAGE(OFFSET($H$3,0,0,'Données projet'!$E$11+1,1))</f>
        <v>440.60698566758532</v>
      </c>
      <c r="BJ52" s="62">
        <f t="shared" si="38"/>
        <v>231.92898690465887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17.399999999999999</v>
      </c>
      <c r="BY52" s="13">
        <f>IF('Données projet'!$A$114&gt;35,BY51+BX52-CG51,IF(A52&lt;'Données projet'!$A$114,$BV$205^A52,IF(A52='Données projet'!$A$114,'Données projet'!$B$114,BY51+BX52-CG51)))</f>
        <v>334.59999999999997</v>
      </c>
      <c r="BZ52" s="14">
        <f>BY52*VLOOKUP('Données projet'!$B$12,Paramètres!$A$1:$I$89,3,0)*VLOOKUP('Données projet'!$B$12,Paramètres!$A$1:$I$89,5,0)</f>
        <v>200.0908</v>
      </c>
      <c r="CA52" s="14">
        <f t="shared" si="39"/>
        <v>49.764122289960234</v>
      </c>
      <c r="CB52" s="22">
        <f t="shared" si="10"/>
        <v>435.16398965501406</v>
      </c>
      <c r="CC52" s="62">
        <f t="shared" si="11"/>
        <v>728.49732298834738</v>
      </c>
      <c r="CD52" s="62">
        <f ca="1">AVERAGE(OFFSET($CC$3,0,0,'Données projet'!$E$12+1,1))-AVERAGE(OFFSET($H$3,0,0,'Données projet'!$E$12+1,1))</f>
        <v>287.29865338866551</v>
      </c>
      <c r="CE52" s="62">
        <f t="shared" si="40"/>
        <v>217.57508587672368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6.4686368635794347</v>
      </c>
      <c r="CM52" s="23">
        <f>EXP(-LN(2)/2)*CM51+(1-EXP(-LN(2)/2))/(LN(2)/2)*CG52*CJ52*VLOOKUP('Données projet'!$B$12,Paramètres!$A$1:$I$89,3,0)*0.475*44/12</f>
        <v>1.7769075583248795E-2</v>
      </c>
      <c r="CN52" s="24">
        <f t="shared" si="12"/>
        <v>6.4864059391626832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9.75</v>
      </c>
      <c r="CT52" s="13">
        <f>IF('Données projet'!$A$140&gt;35,CT51+CS52-DB51,IF(A52&lt;'Données projet'!$A$140,$CQ$205^A52,IF(A52='Données projet'!$A$140,'Données projet'!$B$140,CT51+CS52-DB51)))</f>
        <v>196.75</v>
      </c>
      <c r="CU52" s="18">
        <f>CT52*VLOOKUP('Données projet'!$B$13,Paramètres!$A$1:$I$89,3,0)*VLOOKUP('Données projet'!$B$13,Paramètres!$A$1:$I$89,5,0)</f>
        <v>122.77200000000001</v>
      </c>
      <c r="CV52" s="14">
        <f t="shared" si="41"/>
        <v>32.320660955470466</v>
      </c>
      <c r="CW52" s="22">
        <f t="shared" si="13"/>
        <v>270.11971783077774</v>
      </c>
      <c r="CX52" s="62">
        <f t="shared" si="14"/>
        <v>563.453051164111</v>
      </c>
      <c r="CY52" s="62">
        <f ca="1">AVERAGE(OFFSET($CX$3,0,0,'Données projet'!$E$13+1,1))-AVERAGE(OFFSET($H$3,0,0,'Données projet'!$E$13+1,1))</f>
        <v>175.05987582828078</v>
      </c>
      <c r="CZ52" s="62">
        <f t="shared" si="42"/>
        <v>268.54782308462387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5.362109933671932</v>
      </c>
      <c r="DH52" s="23">
        <f>EXP(-LN(2)/2)*DH51+(1-EXP(-LN(2)/2))/(LN(2)/2)*DB52*DE52*VLOOKUP('Données projet'!$B$13,Paramètres!$A$1:$I$89,3,0)*0.475*44/12</f>
        <v>1.7469076344727098E-2</v>
      </c>
      <c r="DI52" s="24">
        <f t="shared" si="15"/>
        <v>5.3795790100166592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13.2</v>
      </c>
      <c r="DO52" s="13">
        <f>IF('Données projet'!$A$166&gt;35,DO51+DN52-DW51,IF(A52&lt;'Données projet'!$A$166,$DL$205^A52,IF(A52='Données projet'!$A$166,'Données projet'!$B$166,DO51+DN52-DW51)))</f>
        <v>297.79999999999995</v>
      </c>
      <c r="DP52" s="18">
        <f>DO52*VLOOKUP('Données projet'!$B$14,Paramètres!$A$1:$I$89,3,0)*VLOOKUP('Données projet'!$B$14,Paramètres!$A$1:$I$89,5,0)</f>
        <v>170.34159999999997</v>
      </c>
      <c r="DQ52" s="14">
        <f t="shared" si="43"/>
        <v>43.166521681123569</v>
      </c>
      <c r="DR52" s="22">
        <f t="shared" si="16"/>
        <v>371.8599785946235</v>
      </c>
      <c r="DS52" s="62">
        <f t="shared" si="17"/>
        <v>665.19331192795676</v>
      </c>
      <c r="DT52" s="62">
        <f ca="1">AVERAGE(OFFSET($DS$3,0,0,'Données projet'!$E$14+1,1))-AVERAGE(OFFSET($H$3,0,0,'Données projet'!$E$14+1,1))</f>
        <v>228.06050741667258</v>
      </c>
      <c r="DU52" s="62">
        <f t="shared" si="44"/>
        <v>191.94885821983536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11.102974519386338</v>
      </c>
      <c r="EC52" s="23">
        <f>EXP(-LN(2)/2)*EC51+(1-EXP(-LN(2)/2))/(LN(2)/2)*DW52*DZ52*VLOOKUP('Données projet'!$B$14,Paramètres!$A$1:$I$89,3,0)*0.475*44/12</f>
        <v>0.14172169673086218</v>
      </c>
      <c r="ED52" s="24">
        <f t="shared" si="18"/>
        <v>11.2446962161172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-5.6843418860808015E-14</v>
      </c>
      <c r="EK52" s="18">
        <f>EJ52*VLOOKUP('Données projet'!$B$15,Paramètres!$A$1:$I$89,3,0)*VLOOKUP('Données projet'!$B$15,Paramètres!$A$1:$I$89,5,0)</f>
        <v>-5.1431925385259088E-14</v>
      </c>
      <c r="EL52" s="14" t="e">
        <f t="shared" si="45"/>
        <v>#NUM!</v>
      </c>
      <c r="EM52" s="22" t="e">
        <f t="shared" si="19"/>
        <v>#NUM!</v>
      </c>
      <c r="EN52" s="62" t="e">
        <f t="shared" si="20"/>
        <v>#NUM!</v>
      </c>
      <c r="EO52" s="62">
        <f ca="1">AVERAGE(OFFSET($EN$3,0,0,'Données projet'!$E$15+1,1))-AVERAGE(OFFSET($H$3,0,0,'Données projet'!$E$15+1,1))</f>
        <v>315.23521260143986</v>
      </c>
      <c r="EP52" s="62">
        <f t="shared" si="46"/>
        <v>439.11021845472641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17.285714285714285</v>
      </c>
      <c r="N53" s="14">
        <f>IF('Données projet'!$A$36&gt;35,N52+M53-V52,IF(A53&lt;'Données projet'!$A$36,$K$205^A53,IF(A53='Données projet'!$A$36,'Données projet'!$B$36,N52+M53-V52)))</f>
        <v>410.28571428571411</v>
      </c>
      <c r="O53" s="14">
        <f>N53*VLOOKUP('Données projet'!$B$9,Paramètres!$A$1:$I$89,3,0)*VLOOKUP('Données projet'!$B$9,Paramètres!$A$1:$I$89,5,0)</f>
        <v>229.34971428571419</v>
      </c>
      <c r="P53" s="14">
        <f t="shared" si="33"/>
        <v>56.142051394693567</v>
      </c>
      <c r="Q53" s="22">
        <f t="shared" si="53"/>
        <v>497.23149189337681</v>
      </c>
      <c r="R53" s="62">
        <f t="shared" si="0"/>
        <v>790.56482522671013</v>
      </c>
      <c r="S53" s="62">
        <f ca="1">AVERAGE(OFFSET($R$3,0,0,'Données projet'!$E$9+1,1))-AVERAGE(OFFSET($H$3,0,0,'Données projet'!$E$9+1,1))</f>
        <v>302.20483575440988</v>
      </c>
      <c r="T53" s="62">
        <f t="shared" si="34"/>
        <v>275.32862097158687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12.790424362835378</v>
      </c>
      <c r="AB53" s="23">
        <f>EXP(-LN(2)/2)*AB52+(1-EXP(-LN(2)/2))/(LN(2)/2)*V53*Y53*VLOOKUP('Données projet'!$B$9,Paramètres!$A$1:$I$89,3,0)*0.475*44/12</f>
        <v>1.0749786173520773E-2</v>
      </c>
      <c r="AC53" s="24">
        <f t="shared" si="3"/>
        <v>12.801174149008899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231.00000000000006</v>
      </c>
      <c r="AJ53" s="14">
        <f>AI53*VLOOKUP('Données projet'!$B$10,Paramètres!$A$1:$I$89,3,0)*VLOOKUP('Données projet'!$B$10,Paramètres!$A$1:$I$89,5,0)</f>
        <v>209.00880000000004</v>
      </c>
      <c r="AK53" s="14">
        <f t="shared" si="35"/>
        <v>51.718923953824252</v>
      </c>
      <c r="AL53" s="22">
        <f t="shared" si="4"/>
        <v>454.10078588624395</v>
      </c>
      <c r="AM53" s="62">
        <f t="shared" si="5"/>
        <v>747.43411921957727</v>
      </c>
      <c r="AN53" s="62">
        <f ca="1">AVERAGE(OFFSET($AM$3,0,0,'Données projet'!$E$10+1,1))-AVERAGE(OFFSET($H$3,0,0,'Données projet'!$E$10+1,1))</f>
        <v>384.44848355636935</v>
      </c>
      <c r="AO53" s="62">
        <f t="shared" si="36"/>
        <v>203.5274665601915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231.00000000000006</v>
      </c>
      <c r="BE53" s="14">
        <f>BD53*VLOOKUP('Données projet'!$B$11,Paramètres!$A$1:$I$89,3,0)*VLOOKUP('Données projet'!$B$11,Paramètres!$A$1:$I$89,5,0)</f>
        <v>234.23400000000007</v>
      </c>
      <c r="BF53" s="14">
        <f t="shared" si="37"/>
        <v>57.197197133603488</v>
      </c>
      <c r="BG53" s="22">
        <f t="shared" si="7"/>
        <v>507.57600167435953</v>
      </c>
      <c r="BH53" s="62">
        <f t="shared" si="8"/>
        <v>800.90933500769279</v>
      </c>
      <c r="BI53" s="62">
        <f ca="1">AVERAGE(OFFSET($BH$3,0,0,'Données projet'!$E$11+1,1))-AVERAGE(OFFSET($H$3,0,0,'Données projet'!$E$11+1,1))</f>
        <v>440.60698566758532</v>
      </c>
      <c r="BJ53" s="62">
        <f t="shared" si="38"/>
        <v>231.92898690465887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352</v>
      </c>
      <c r="BW53" s="13">
        <f>VLOOKUP(A53,'Données projet'!$A$113:$I$133,9,0)</f>
        <v>17.399999999999999</v>
      </c>
      <c r="BX53" s="13">
        <f t="array" ref="BX53">INDEX(BW:BW,MIN(IF(ISNUMBER(BW53:BW249),ROW(BW53:BW249),"")))</f>
        <v>17.399999999999999</v>
      </c>
      <c r="BY53" s="13">
        <f>IF('Données projet'!$A$114&gt;35,BY52+BX53-CG52,IF(A53&lt;'Données projet'!$A$114,$BV$205^A53,IF(A53='Données projet'!$A$114,'Données projet'!$B$114,BY52+BX53-CG52)))</f>
        <v>351.99999999999994</v>
      </c>
      <c r="BZ53" s="14">
        <f>BY53*VLOOKUP('Données projet'!$B$12,Paramètres!$A$1:$I$89,3,0)*VLOOKUP('Données projet'!$B$12,Paramètres!$A$1:$I$89,5,0)</f>
        <v>210.49599999999998</v>
      </c>
      <c r="CA53" s="14">
        <f t="shared" si="39"/>
        <v>52.043959291168463</v>
      </c>
      <c r="CB53" s="22">
        <f t="shared" si="10"/>
        <v>457.25709576545165</v>
      </c>
      <c r="CC53" s="62">
        <f t="shared" si="11"/>
        <v>750.59042909878497</v>
      </c>
      <c r="CD53" s="62">
        <f ca="1">AVERAGE(OFFSET($CC$3,0,0,'Données projet'!$E$12+1,1))-AVERAGE(OFFSET($H$3,0,0,'Données projet'!$E$12+1,1))</f>
        <v>287.29865338866551</v>
      </c>
      <c r="CE53" s="62">
        <f t="shared" si="40"/>
        <v>217.57508587672368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53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6.291751648374027</v>
      </c>
      <c r="CM53" s="23">
        <f>EXP(-LN(2)/2)*CM52+(1-EXP(-LN(2)/2))/(LN(2)/2)*CG53*CJ53*VLOOKUP('Données projet'!$B$12,Paramètres!$A$1:$I$89,3,0)*0.475*44/12</f>
        <v>1.256463384033153E-2</v>
      </c>
      <c r="CN53" s="24">
        <f t="shared" si="12"/>
        <v>6.3043162822143586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9.75</v>
      </c>
      <c r="CT53" s="13">
        <f>IF('Données projet'!$A$140&gt;35,CT52+CS53-DB52,IF(A53&lt;'Données projet'!$A$140,$CQ$205^A53,IF(A53='Données projet'!$A$140,'Données projet'!$B$140,CT52+CS53-DB52)))</f>
        <v>206.5</v>
      </c>
      <c r="CU53" s="18">
        <f>CT53*VLOOKUP('Données projet'!$B$13,Paramètres!$A$1:$I$89,3,0)*VLOOKUP('Données projet'!$B$13,Paramètres!$A$1:$I$89,5,0)</f>
        <v>128.85599999999999</v>
      </c>
      <c r="CV53" s="14">
        <f t="shared" si="41"/>
        <v>33.731878688740906</v>
      </c>
      <c r="CW53" s="22">
        <f t="shared" si="13"/>
        <v>283.1738887162237</v>
      </c>
      <c r="CX53" s="62">
        <f t="shared" si="14"/>
        <v>576.50722204955696</v>
      </c>
      <c r="CY53" s="62">
        <f ca="1">AVERAGE(OFFSET($CX$3,0,0,'Données projet'!$E$13+1,1))-AVERAGE(OFFSET($H$3,0,0,'Données projet'!$E$13+1,1))</f>
        <v>175.05987582828078</v>
      </c>
      <c r="CZ53" s="62">
        <f t="shared" si="42"/>
        <v>268.54782308462387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5.2154827555545671</v>
      </c>
      <c r="DH53" s="23">
        <f>EXP(-LN(2)/2)*DH52+(1-EXP(-LN(2)/2))/(LN(2)/2)*DB53*DE53*VLOOKUP('Données projet'!$B$13,Paramètres!$A$1:$I$89,3,0)*0.475*44/12</f>
        <v>1.2352502344422037E-2</v>
      </c>
      <c r="DI53" s="24">
        <f t="shared" si="15"/>
        <v>5.2278352578989891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311</v>
      </c>
      <c r="DM53" s="13">
        <f>VLOOKUP(A53,'Données projet'!$A$165:$I$185,9,0)</f>
        <v>13.2</v>
      </c>
      <c r="DN53" s="13">
        <f t="array" ref="DN53">INDEX(DM:DM,MIN(IF(ISNUMBER(DM53:DM249),ROW(DM53:DM249),"")))</f>
        <v>13.2</v>
      </c>
      <c r="DO53" s="13">
        <f>IF('Données projet'!$A$166&gt;35,DO52+DN53-DW52,IF(A53&lt;'Données projet'!$A$166,$DL$205^A53,IF(A53='Données projet'!$A$166,'Données projet'!$B$166,DO52+DN53-DW52)))</f>
        <v>310.99999999999994</v>
      </c>
      <c r="DP53" s="18">
        <f>DO53*VLOOKUP('Données projet'!$B$14,Paramètres!$A$1:$I$89,3,0)*VLOOKUP('Données projet'!$B$14,Paramètres!$A$1:$I$89,5,0)</f>
        <v>177.89199999999997</v>
      </c>
      <c r="DQ53" s="14">
        <f t="shared" si="43"/>
        <v>44.8528739442404</v>
      </c>
      <c r="DR53" s="22">
        <f t="shared" si="16"/>
        <v>387.94732211955193</v>
      </c>
      <c r="DS53" s="62">
        <f t="shared" si="17"/>
        <v>681.28065545288518</v>
      </c>
      <c r="DT53" s="62">
        <f ca="1">AVERAGE(OFFSET($DS$3,0,0,'Données projet'!$E$14+1,1))-AVERAGE(OFFSET($H$3,0,0,'Données projet'!$E$14+1,1))</f>
        <v>228.06050741667258</v>
      </c>
      <c r="DU53" s="62">
        <f t="shared" si="44"/>
        <v>191.94885821983536</v>
      </c>
      <c r="DV53" s="16">
        <f>IF(ISNA(VLOOKUP(A53,'Données projet'!$A$165:$I$185,3,0)),0,VLOOKUP(A53,'Données projet'!$A$165:$I$185,3,0))</f>
        <v>6</v>
      </c>
      <c r="DW53" s="16">
        <f>IF(ISNA(VLOOKUP(A53,'Données projet'!$A$165:$I$185,4,0)),0,VLOOKUP(A53,'Données projet'!$A$165:$I$185,4,0))</f>
        <v>37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10.799363097273664</v>
      </c>
      <c r="EC53" s="23">
        <f>EXP(-LN(2)/2)*EC52+(1-EXP(-LN(2)/2))/(LN(2)/2)*DW53*DZ53*VLOOKUP('Données projet'!$B$14,Paramètres!$A$1:$I$89,3,0)*0.475*44/12</f>
        <v>0.10021237279965602</v>
      </c>
      <c r="ED53" s="24">
        <f t="shared" si="18"/>
        <v>10.899575470073321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-5.6843418860808015E-14</v>
      </c>
      <c r="EK53" s="18">
        <f>EJ53*VLOOKUP('Données projet'!$B$15,Paramètres!$A$1:$I$89,3,0)*VLOOKUP('Données projet'!$B$15,Paramètres!$A$1:$I$89,5,0)</f>
        <v>-5.1431925385259088E-14</v>
      </c>
      <c r="EL53" s="14" t="e">
        <f t="shared" si="45"/>
        <v>#NUM!</v>
      </c>
      <c r="EM53" s="22" t="e">
        <f t="shared" si="19"/>
        <v>#NUM!</v>
      </c>
      <c r="EN53" s="62" t="e">
        <f t="shared" si="20"/>
        <v>#NUM!</v>
      </c>
      <c r="EO53" s="62">
        <f ca="1">AVERAGE(OFFSET($EN$3,0,0,'Données projet'!$E$15+1,1))-AVERAGE(OFFSET($H$3,0,0,'Données projet'!$E$15+1,1))</f>
        <v>315.23521260143986</v>
      </c>
      <c r="EP53" s="62">
        <f t="shared" si="46"/>
        <v>439.11021845472641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17.285714285714285</v>
      </c>
      <c r="N54" s="14">
        <f>IF('Données projet'!$A$36&gt;35,N53+M54-V53,IF(A54&lt;'Données projet'!$A$36,$K$205^A54,IF(A54='Données projet'!$A$36,'Données projet'!$B$36,N53+M54-V53)))</f>
        <v>427.57142857142838</v>
      </c>
      <c r="O54" s="14">
        <f>N54*VLOOKUP('Données projet'!$B$9,Paramètres!$A$1:$I$89,3,0)*VLOOKUP('Données projet'!$B$9,Paramètres!$A$1:$I$89,5,0)</f>
        <v>239.01242857142847</v>
      </c>
      <c r="P54" s="14">
        <f t="shared" si="33"/>
        <v>58.226998714225545</v>
      </c>
      <c r="Q54" s="22">
        <f t="shared" si="53"/>
        <v>517.69200252251403</v>
      </c>
      <c r="R54" s="62">
        <f t="shared" si="0"/>
        <v>811.02533585584729</v>
      </c>
      <c r="S54" s="62">
        <f ca="1">AVERAGE(OFFSET($R$3,0,0,'Données projet'!$E$9+1,1))-AVERAGE(OFFSET($H$3,0,0,'Données projet'!$E$9+1,1))</f>
        <v>302.20483575440988</v>
      </c>
      <c r="T54" s="62">
        <f t="shared" si="34"/>
        <v>275.32862097158687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12.440669536014459</v>
      </c>
      <c r="AB54" s="23">
        <f>EXP(-LN(2)/2)*AB53+(1-EXP(-LN(2)/2))/(LN(2)/2)*V54*Y54*VLOOKUP('Données projet'!$B$9,Paramètres!$A$1:$I$89,3,0)*0.475*44/12</f>
        <v>7.6012466996019275E-3</v>
      </c>
      <c r="AC54" s="24">
        <f t="shared" si="3"/>
        <v>12.448270782714062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241.20000000000005</v>
      </c>
      <c r="AJ54" s="14">
        <f>AI54*VLOOKUP('Données projet'!$B$10,Paramètres!$A$1:$I$89,3,0)*VLOOKUP('Données projet'!$B$10,Paramètres!$A$1:$I$89,5,0)</f>
        <v>218.23776000000004</v>
      </c>
      <c r="AK54" s="14">
        <f t="shared" si="35"/>
        <v>53.731692470599071</v>
      </c>
      <c r="AL54" s="22">
        <f t="shared" si="4"/>
        <v>473.68012971962668</v>
      </c>
      <c r="AM54" s="62">
        <f t="shared" si="5"/>
        <v>767.01346305295999</v>
      </c>
      <c r="AN54" s="62">
        <f ca="1">AVERAGE(OFFSET($AM$3,0,0,'Données projet'!$E$10+1,1))-AVERAGE(OFFSET($H$3,0,0,'Données projet'!$E$10+1,1))</f>
        <v>384.44848355636935</v>
      </c>
      <c r="AO54" s="62">
        <f t="shared" si="36"/>
        <v>203.5274665601915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241.20000000000005</v>
      </c>
      <c r="BE54" s="14">
        <f>BD54*VLOOKUP('Données projet'!$B$11,Paramètres!$A$1:$I$89,3,0)*VLOOKUP('Données projet'!$B$11,Paramètres!$A$1:$I$89,5,0)</f>
        <v>244.57680000000005</v>
      </c>
      <c r="BF54" s="14">
        <f t="shared" si="37"/>
        <v>59.423166060201147</v>
      </c>
      <c r="BG54" s="22">
        <f t="shared" si="7"/>
        <v>529.46660755485038</v>
      </c>
      <c r="BH54" s="62">
        <f t="shared" si="8"/>
        <v>822.79994088818376</v>
      </c>
      <c r="BI54" s="62">
        <f ca="1">AVERAGE(OFFSET($BH$3,0,0,'Données projet'!$E$11+1,1))-AVERAGE(OFFSET($H$3,0,0,'Données projet'!$E$11+1,1))</f>
        <v>440.60698566758532</v>
      </c>
      <c r="BJ54" s="62">
        <f t="shared" si="38"/>
        <v>231.92898690465887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17.625</v>
      </c>
      <c r="BY54" s="13">
        <f>IF('Données projet'!$A$114&gt;35,BY53+BX54-CG53,IF(A54&lt;'Données projet'!$A$114,$BV$205^A54,IF(A54='Données projet'!$A$114,'Données projet'!$B$114,BY53+BX54-CG53)))</f>
        <v>316.62499999999994</v>
      </c>
      <c r="BZ54" s="14">
        <f>BY54*VLOOKUP('Données projet'!$B$12,Paramètres!$A$1:$I$89,3,0)*VLOOKUP('Données projet'!$B$12,Paramètres!$A$1:$I$89,5,0)</f>
        <v>189.34174999999999</v>
      </c>
      <c r="CA54" s="14">
        <f t="shared" si="39"/>
        <v>47.394393740797923</v>
      </c>
      <c r="CB54" s="22">
        <f t="shared" si="10"/>
        <v>412.31545034855634</v>
      </c>
      <c r="CC54" s="62">
        <f t="shared" si="11"/>
        <v>705.64878368188965</v>
      </c>
      <c r="CD54" s="62">
        <f ca="1">AVERAGE(OFFSET($CC$3,0,0,'Données projet'!$E$12+1,1))-AVERAGE(OFFSET($H$3,0,0,'Données projet'!$E$12+1,1))</f>
        <v>287.29865338866551</v>
      </c>
      <c r="CE54" s="62">
        <f t="shared" si="40"/>
        <v>217.57508587672368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6.1197033686804003</v>
      </c>
      <c r="CM54" s="23">
        <f>EXP(-LN(2)/2)*CM53+(1-EXP(-LN(2)/2))/(LN(2)/2)*CG54*CJ54*VLOOKUP('Données projet'!$B$12,Paramètres!$A$1:$I$89,3,0)*0.475*44/12</f>
        <v>8.8845377916243976E-3</v>
      </c>
      <c r="CN54" s="24">
        <f t="shared" si="12"/>
        <v>6.128587906472025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9.75</v>
      </c>
      <c r="CT54" s="13">
        <f>IF('Données projet'!$A$140&gt;35,CT53+CS54-DB53,IF(A54&lt;'Données projet'!$A$140,$CQ$205^A54,IF(A54='Données projet'!$A$140,'Données projet'!$B$140,CT53+CS54-DB53)))</f>
        <v>216.25</v>
      </c>
      <c r="CU54" s="18">
        <f>CT54*VLOOKUP('Données projet'!$B$13,Paramètres!$A$1:$I$89,3,0)*VLOOKUP('Données projet'!$B$13,Paramètres!$A$1:$I$89,5,0)</f>
        <v>134.94</v>
      </c>
      <c r="CV54" s="14">
        <f t="shared" si="41"/>
        <v>35.135358771568036</v>
      </c>
      <c r="CW54" s="22">
        <f t="shared" si="13"/>
        <v>296.21458319381429</v>
      </c>
      <c r="CX54" s="62">
        <f t="shared" si="14"/>
        <v>589.54791652714766</v>
      </c>
      <c r="CY54" s="62">
        <f ca="1">AVERAGE(OFFSET($CX$3,0,0,'Données projet'!$E$13+1,1))-AVERAGE(OFFSET($H$3,0,0,'Données projet'!$E$13+1,1))</f>
        <v>175.05987582828078</v>
      </c>
      <c r="CZ54" s="62">
        <f t="shared" si="42"/>
        <v>268.54782308462387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5.0728651053336096</v>
      </c>
      <c r="DH54" s="23">
        <f>EXP(-LN(2)/2)*DH53+(1-EXP(-LN(2)/2))/(LN(2)/2)*DB54*DE54*VLOOKUP('Données projet'!$B$13,Paramètres!$A$1:$I$89,3,0)*0.475*44/12</f>
        <v>8.7345381723635488E-3</v>
      </c>
      <c r="DI54" s="24">
        <f t="shared" si="15"/>
        <v>5.0815996435059727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12.25</v>
      </c>
      <c r="DO54" s="13">
        <f>IF('Données projet'!$A$166&gt;35,DO53+DN54-DW53,IF(A54&lt;'Données projet'!$A$166,$DL$205^A54,IF(A54='Données projet'!$A$166,'Données projet'!$B$166,DO53+DN54-DW53)))</f>
        <v>286.24999999999994</v>
      </c>
      <c r="DP54" s="18">
        <f>DO54*VLOOKUP('Données projet'!$B$14,Paramètres!$A$1:$I$89,3,0)*VLOOKUP('Données projet'!$B$14,Paramètres!$A$1:$I$89,5,0)</f>
        <v>163.73499999999999</v>
      </c>
      <c r="DQ54" s="14">
        <f t="shared" si="43"/>
        <v>41.683820360110872</v>
      </c>
      <c r="DR54" s="22">
        <f t="shared" si="16"/>
        <v>357.77111212719302</v>
      </c>
      <c r="DS54" s="62">
        <f t="shared" si="17"/>
        <v>651.10444546052634</v>
      </c>
      <c r="DT54" s="62">
        <f ca="1">AVERAGE(OFFSET($DS$3,0,0,'Données projet'!$E$14+1,1))-AVERAGE(OFFSET($H$3,0,0,'Données projet'!$E$14+1,1))</f>
        <v>228.06050741667258</v>
      </c>
      <c r="DU54" s="62">
        <f t="shared" si="44"/>
        <v>191.94885821983536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10.504053945464893</v>
      </c>
      <c r="EC54" s="23">
        <f>EXP(-LN(2)/2)*EC53+(1-EXP(-LN(2)/2))/(LN(2)/2)*DW54*DZ54*VLOOKUP('Données projet'!$B$14,Paramètres!$A$1:$I$89,3,0)*0.475*44/12</f>
        <v>7.0860848365431092E-2</v>
      </c>
      <c r="ED54" s="24">
        <f t="shared" si="18"/>
        <v>10.574914793830324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-5.6843418860808015E-14</v>
      </c>
      <c r="EK54" s="18">
        <f>EJ54*VLOOKUP('Données projet'!$B$15,Paramètres!$A$1:$I$89,3,0)*VLOOKUP('Données projet'!$B$15,Paramètres!$A$1:$I$89,5,0)</f>
        <v>-5.1431925385259088E-14</v>
      </c>
      <c r="EL54" s="14" t="e">
        <f t="shared" si="45"/>
        <v>#NUM!</v>
      </c>
      <c r="EM54" s="22" t="e">
        <f t="shared" si="19"/>
        <v>#NUM!</v>
      </c>
      <c r="EN54" s="62" t="e">
        <f t="shared" si="20"/>
        <v>#NUM!</v>
      </c>
      <c r="EO54" s="62">
        <f ca="1">AVERAGE(OFFSET($EN$3,0,0,'Données projet'!$E$15+1,1))-AVERAGE(OFFSET($H$3,0,0,'Données projet'!$E$15+1,1))</f>
        <v>315.23521260143986</v>
      </c>
      <c r="EP54" s="62">
        <f t="shared" si="46"/>
        <v>439.11021845472641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17.285714285714285</v>
      </c>
      <c r="N55" s="14">
        <f>IF('Données projet'!$A$36&gt;35,N54+M55-V54,IF(A55&lt;'Données projet'!$A$36,$K$205^A55,IF(A55='Données projet'!$A$36,'Données projet'!$B$36,N54+M55-V54)))</f>
        <v>444.85714285714266</v>
      </c>
      <c r="O55" s="14">
        <f>N55*VLOOKUP('Données projet'!$B$9,Paramètres!$A$1:$I$89,3,0)*VLOOKUP('Données projet'!$B$9,Paramètres!$A$1:$I$89,5,0)</f>
        <v>248.67514285714276</v>
      </c>
      <c r="P55" s="14">
        <f t="shared" si="33"/>
        <v>60.30215496200401</v>
      </c>
      <c r="Q55" s="22">
        <f t="shared" si="53"/>
        <v>538.13546036834725</v>
      </c>
      <c r="R55" s="62">
        <f t="shared" si="0"/>
        <v>831.46879370168062</v>
      </c>
      <c r="S55" s="62">
        <f ca="1">AVERAGE(OFFSET($R$3,0,0,'Données projet'!$E$9+1,1))-AVERAGE(OFFSET($H$3,0,0,'Données projet'!$E$9+1,1))</f>
        <v>302.20483575440988</v>
      </c>
      <c r="T55" s="62">
        <f t="shared" si="34"/>
        <v>275.32862097158687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12.100478773325767</v>
      </c>
      <c r="AB55" s="23">
        <f>EXP(-LN(2)/2)*AB54+(1-EXP(-LN(2)/2))/(LN(2)/2)*V55*Y55*VLOOKUP('Données projet'!$B$9,Paramètres!$A$1:$I$89,3,0)*0.475*44/12</f>
        <v>5.3748930867603874E-3</v>
      </c>
      <c r="AC55" s="24">
        <f t="shared" si="3"/>
        <v>12.105853666412527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251.40000000000003</v>
      </c>
      <c r="AJ55" s="14">
        <f>AI55*VLOOKUP('Données projet'!$B$10,Paramètres!$A$1:$I$89,3,0)*VLOOKUP('Données projet'!$B$10,Paramètres!$A$1:$I$89,5,0)</f>
        <v>227.46672000000004</v>
      </c>
      <c r="AK55" s="14">
        <f t="shared" si="35"/>
        <v>55.734574592438989</v>
      </c>
      <c r="AL55" s="22">
        <f t="shared" si="4"/>
        <v>493.24225474849794</v>
      </c>
      <c r="AM55" s="62">
        <f t="shared" si="5"/>
        <v>786.57558808183126</v>
      </c>
      <c r="AN55" s="62">
        <f ca="1">AVERAGE(OFFSET($AM$3,0,0,'Données projet'!$E$10+1,1))-AVERAGE(OFFSET($H$3,0,0,'Données projet'!$E$10+1,1))</f>
        <v>384.44848355636935</v>
      </c>
      <c r="AO55" s="62">
        <f t="shared" si="36"/>
        <v>203.5274665601915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251.40000000000003</v>
      </c>
      <c r="BE55" s="14">
        <f>BD55*VLOOKUP('Données projet'!$B$11,Paramètres!$A$1:$I$89,3,0)*VLOOKUP('Données projet'!$B$11,Paramètres!$A$1:$I$89,5,0)</f>
        <v>254.91960000000006</v>
      </c>
      <c r="BF55" s="14">
        <f t="shared" si="37"/>
        <v>61.638201385772277</v>
      </c>
      <c r="BG55" s="22">
        <f t="shared" si="7"/>
        <v>551.33817074688682</v>
      </c>
      <c r="BH55" s="62">
        <f t="shared" si="8"/>
        <v>844.67150408022007</v>
      </c>
      <c r="BI55" s="62">
        <f ca="1">AVERAGE(OFFSET($BH$3,0,0,'Données projet'!$E$11+1,1))-AVERAGE(OFFSET($H$3,0,0,'Données projet'!$E$11+1,1))</f>
        <v>440.60698566758532</v>
      </c>
      <c r="BJ55" s="62">
        <f t="shared" si="38"/>
        <v>231.92898690465887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17.625</v>
      </c>
      <c r="BY55" s="13">
        <f>IF('Données projet'!$A$114&gt;35,BY54+BX55-CG54,IF(A55&lt;'Données projet'!$A$114,$BV$205^A55,IF(A55='Données projet'!$A$114,'Données projet'!$B$114,BY54+BX55-CG54)))</f>
        <v>334.24999999999994</v>
      </c>
      <c r="BZ55" s="14">
        <f>BY55*VLOOKUP('Données projet'!$B$12,Paramètres!$A$1:$I$89,3,0)*VLOOKUP('Données projet'!$B$12,Paramètres!$A$1:$I$89,5,0)</f>
        <v>199.88149999999996</v>
      </c>
      <c r="CA55" s="14">
        <f t="shared" si="39"/>
        <v>49.71812411377941</v>
      </c>
      <c r="CB55" s="22">
        <f t="shared" si="10"/>
        <v>434.71934533149914</v>
      </c>
      <c r="CC55" s="62">
        <f t="shared" si="11"/>
        <v>728.05267866483246</v>
      </c>
      <c r="CD55" s="62">
        <f ca="1">AVERAGE(OFFSET($CC$3,0,0,'Données projet'!$E$12+1,1))-AVERAGE(OFFSET($H$3,0,0,'Données projet'!$E$12+1,1))</f>
        <v>287.29865338866551</v>
      </c>
      <c r="CE55" s="62">
        <f t="shared" si="40"/>
        <v>217.57508587672368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5.9523597582426211</v>
      </c>
      <c r="CM55" s="23">
        <f>EXP(-LN(2)/2)*CM54+(1-EXP(-LN(2)/2))/(LN(2)/2)*CG55*CJ55*VLOOKUP('Données projet'!$B$12,Paramètres!$A$1:$I$89,3,0)*0.475*44/12</f>
        <v>6.2823169201657652E-3</v>
      </c>
      <c r="CN55" s="24">
        <f t="shared" si="12"/>
        <v>5.9586420751627864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9.75</v>
      </c>
      <c r="CT55" s="13">
        <f>IF('Données projet'!$A$140&gt;35,CT54+CS55-DB54,IF(A55&lt;'Données projet'!$A$140,$CQ$205^A55,IF(A55='Données projet'!$A$140,'Données projet'!$B$140,CT54+CS55-DB54)))</f>
        <v>226</v>
      </c>
      <c r="CU55" s="18">
        <f>CT55*VLOOKUP('Données projet'!$B$13,Paramètres!$A$1:$I$89,3,0)*VLOOKUP('Données projet'!$B$13,Paramètres!$A$1:$I$89,5,0)</f>
        <v>141.024</v>
      </c>
      <c r="CV55" s="14">
        <f t="shared" si="41"/>
        <v>36.531489925882461</v>
      </c>
      <c r="CW55" s="22">
        <f t="shared" si="13"/>
        <v>309.24247828757859</v>
      </c>
      <c r="CX55" s="62">
        <f t="shared" si="14"/>
        <v>602.57581162091196</v>
      </c>
      <c r="CY55" s="62">
        <f ca="1">AVERAGE(OFFSET($CX$3,0,0,'Données projet'!$E$13+1,1))-AVERAGE(OFFSET($H$3,0,0,'Données projet'!$E$13+1,1))</f>
        <v>175.05987582828078</v>
      </c>
      <c r="CZ55" s="62">
        <f t="shared" si="42"/>
        <v>268.54782308462387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4.9341473422578801</v>
      </c>
      <c r="DH55" s="23">
        <f>EXP(-LN(2)/2)*DH54+(1-EXP(-LN(2)/2))/(LN(2)/2)*DB55*DE55*VLOOKUP('Données projet'!$B$13,Paramètres!$A$1:$I$89,3,0)*0.475*44/12</f>
        <v>6.1762511722110187E-3</v>
      </c>
      <c r="DI55" s="24">
        <f t="shared" si="15"/>
        <v>4.9403235934300911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12.25</v>
      </c>
      <c r="DO55" s="13">
        <f>IF('Données projet'!$A$166&gt;35,DO54+DN55-DW54,IF(A55&lt;'Données projet'!$A$166,$DL$205^A55,IF(A55='Données projet'!$A$166,'Données projet'!$B$166,DO54+DN55-DW54)))</f>
        <v>298.49999999999994</v>
      </c>
      <c r="DP55" s="18">
        <f>DO55*VLOOKUP('Données projet'!$B$14,Paramètres!$A$1:$I$89,3,0)*VLOOKUP('Données projet'!$B$14,Paramètres!$A$1:$I$89,5,0)</f>
        <v>170.74199999999996</v>
      </c>
      <c r="DQ55" s="14">
        <f t="shared" si="43"/>
        <v>43.256164755747903</v>
      </c>
      <c r="DR55" s="22">
        <f t="shared" si="16"/>
        <v>372.71347028292752</v>
      </c>
      <c r="DS55" s="62">
        <f t="shared" si="17"/>
        <v>666.04680361626083</v>
      </c>
      <c r="DT55" s="62">
        <f ca="1">AVERAGE(OFFSET($DS$3,0,0,'Données projet'!$E$14+1,1))-AVERAGE(OFFSET($H$3,0,0,'Données projet'!$E$14+1,1))</f>
        <v>228.06050741667258</v>
      </c>
      <c r="DU55" s="62">
        <f t="shared" si="44"/>
        <v>191.94885821983536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10.216820037941966</v>
      </c>
      <c r="EC55" s="23">
        <f>EXP(-LN(2)/2)*EC54+(1-EXP(-LN(2)/2))/(LN(2)/2)*DW55*DZ55*VLOOKUP('Données projet'!$B$14,Paramètres!$A$1:$I$89,3,0)*0.475*44/12</f>
        <v>5.0106186399828008E-2</v>
      </c>
      <c r="ED55" s="24">
        <f t="shared" si="18"/>
        <v>10.266926224341795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-5.6843418860808015E-14</v>
      </c>
      <c r="EK55" s="18">
        <f>EJ55*VLOOKUP('Données projet'!$B$15,Paramètres!$A$1:$I$89,3,0)*VLOOKUP('Données projet'!$B$15,Paramètres!$A$1:$I$89,5,0)</f>
        <v>-5.1431925385259088E-14</v>
      </c>
      <c r="EL55" s="14" t="e">
        <f t="shared" si="45"/>
        <v>#NUM!</v>
      </c>
      <c r="EM55" s="22" t="e">
        <f t="shared" si="19"/>
        <v>#NUM!</v>
      </c>
      <c r="EN55" s="62" t="e">
        <f t="shared" si="20"/>
        <v>#NUM!</v>
      </c>
      <c r="EO55" s="62">
        <f ca="1">AVERAGE(OFFSET($EN$3,0,0,'Données projet'!$E$15+1,1))-AVERAGE(OFFSET($H$3,0,0,'Données projet'!$E$15+1,1))</f>
        <v>315.23521260143986</v>
      </c>
      <c r="EP55" s="62">
        <f t="shared" si="46"/>
        <v>439.11021845472641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17.285714285714285</v>
      </c>
      <c r="N56" s="14">
        <f>IF('Données projet'!$A$36&gt;35,N55+M56-V55,IF(A56&lt;'Données projet'!$A$36,$K$205^A56,IF(A56='Données projet'!$A$36,'Données projet'!$B$36,N55+M56-V55)))</f>
        <v>462.14285714285694</v>
      </c>
      <c r="O56" s="14">
        <f>N56*VLOOKUP('Données projet'!$B$9,Paramètres!$A$1:$I$89,3,0)*VLOOKUP('Données projet'!$B$9,Paramètres!$A$1:$I$89,5,0)</f>
        <v>258.33785714285705</v>
      </c>
      <c r="P56" s="14">
        <f t="shared" si="33"/>
        <v>62.367944130057822</v>
      </c>
      <c r="Q56" s="22">
        <f t="shared" si="53"/>
        <v>558.56260388366002</v>
      </c>
      <c r="R56" s="62">
        <f t="shared" si="0"/>
        <v>851.89593721699339</v>
      </c>
      <c r="S56" s="62">
        <f ca="1">AVERAGE(OFFSET($R$3,0,0,'Données projet'!$E$9+1,1))-AVERAGE(OFFSET($H$3,0,0,'Données projet'!$E$9+1,1))</f>
        <v>302.20483575440988</v>
      </c>
      <c r="T56" s="62">
        <f t="shared" si="34"/>
        <v>275.32862097158687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11.769590544932651</v>
      </c>
      <c r="AB56" s="23">
        <f>EXP(-LN(2)/2)*AB55+(1-EXP(-LN(2)/2))/(LN(2)/2)*V56*Y56*VLOOKUP('Données projet'!$B$9,Paramètres!$A$1:$I$89,3,0)*0.475*44/12</f>
        <v>3.8006233498009646E-3</v>
      </c>
      <c r="AC56" s="24">
        <f t="shared" si="3"/>
        <v>11.773391168282451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261.60000000000002</v>
      </c>
      <c r="AJ56" s="14">
        <f>AI56*VLOOKUP('Données projet'!$B$10,Paramètres!$A$1:$I$89,3,0)*VLOOKUP('Données projet'!$B$10,Paramètres!$A$1:$I$89,5,0)</f>
        <v>236.69568000000001</v>
      </c>
      <c r="AK56" s="14">
        <f t="shared" si="35"/>
        <v>57.72801732243034</v>
      </c>
      <c r="AL56" s="22">
        <f t="shared" si="4"/>
        <v>512.78793950323291</v>
      </c>
      <c r="AM56" s="62">
        <f t="shared" si="5"/>
        <v>806.12127283656628</v>
      </c>
      <c r="AN56" s="62">
        <f ca="1">AVERAGE(OFFSET($AM$3,0,0,'Données projet'!$E$10+1,1))-AVERAGE(OFFSET($H$3,0,0,'Données projet'!$E$10+1,1))</f>
        <v>384.44848355636935</v>
      </c>
      <c r="AO56" s="62">
        <f t="shared" si="36"/>
        <v>203.5274665601915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261.60000000000002</v>
      </c>
      <c r="BE56" s="14">
        <f>BD56*VLOOKUP('Données projet'!$B$11,Paramètres!$A$1:$I$89,3,0)*VLOOKUP('Données projet'!$B$11,Paramètres!$A$1:$I$89,5,0)</f>
        <v>265.26240000000001</v>
      </c>
      <c r="BF56" s="14">
        <f t="shared" si="37"/>
        <v>63.842797461739814</v>
      </c>
      <c r="BG56" s="22">
        <f t="shared" si="7"/>
        <v>573.19155224586348</v>
      </c>
      <c r="BH56" s="62">
        <f t="shared" si="8"/>
        <v>866.52488557919673</v>
      </c>
      <c r="BI56" s="62">
        <f ca="1">AVERAGE(OFFSET($BH$3,0,0,'Données projet'!$E$11+1,1))-AVERAGE(OFFSET($H$3,0,0,'Données projet'!$E$11+1,1))</f>
        <v>440.60698566758532</v>
      </c>
      <c r="BJ56" s="62">
        <f t="shared" si="38"/>
        <v>231.92898690465887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17.625</v>
      </c>
      <c r="BY56" s="13">
        <f>IF('Données projet'!$A$114&gt;35,BY55+BX56-CG55,IF(A56&lt;'Données projet'!$A$114,$BV$205^A56,IF(A56='Données projet'!$A$114,'Données projet'!$B$114,BY55+BX56-CG55)))</f>
        <v>351.87499999999994</v>
      </c>
      <c r="BZ56" s="14">
        <f>BY56*VLOOKUP('Données projet'!$B$12,Paramètres!$A$1:$I$89,3,0)*VLOOKUP('Données projet'!$B$12,Paramètres!$A$1:$I$89,5,0)</f>
        <v>210.42124999999999</v>
      </c>
      <c r="CA56" s="14">
        <f t="shared" si="39"/>
        <v>52.027628682866947</v>
      </c>
      <c r="CB56" s="22">
        <f t="shared" si="10"/>
        <v>457.09846370599325</v>
      </c>
      <c r="CC56" s="62">
        <f t="shared" si="11"/>
        <v>750.43179703932651</v>
      </c>
      <c r="CD56" s="62">
        <f ca="1">AVERAGE(OFFSET($CC$3,0,0,'Données projet'!$E$12+1,1))-AVERAGE(OFFSET($H$3,0,0,'Données projet'!$E$12+1,1))</f>
        <v>287.29865338866551</v>
      </c>
      <c r="CE56" s="62">
        <f t="shared" si="40"/>
        <v>217.57508587672368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5.7895921676324811</v>
      </c>
      <c r="CM56" s="23">
        <f>EXP(-LN(2)/2)*CM55+(1-EXP(-LN(2)/2))/(LN(2)/2)*CG56*CJ56*VLOOKUP('Données projet'!$B$12,Paramètres!$A$1:$I$89,3,0)*0.475*44/12</f>
        <v>4.4422688958121988E-3</v>
      </c>
      <c r="CN56" s="24">
        <f t="shared" si="12"/>
        <v>5.7940344365282934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9.75</v>
      </c>
      <c r="CT56" s="13">
        <f>IF('Données projet'!$A$140&gt;35,CT55+CS56-DB55,IF(A56&lt;'Données projet'!$A$140,$CQ$205^A56,IF(A56='Données projet'!$A$140,'Données projet'!$B$140,CT55+CS56-DB55)))</f>
        <v>235.75</v>
      </c>
      <c r="CU56" s="18">
        <f>CT56*VLOOKUP('Données projet'!$B$13,Paramètres!$A$1:$I$89,3,0)*VLOOKUP('Données projet'!$B$13,Paramètres!$A$1:$I$89,5,0)</f>
        <v>147.108</v>
      </c>
      <c r="CV56" s="14">
        <f t="shared" si="41"/>
        <v>37.920625436598897</v>
      </c>
      <c r="CW56" s="22">
        <f t="shared" si="13"/>
        <v>322.25818930207646</v>
      </c>
      <c r="CX56" s="62">
        <f t="shared" si="14"/>
        <v>615.59152263540977</v>
      </c>
      <c r="CY56" s="62">
        <f ca="1">AVERAGE(OFFSET($CX$3,0,0,'Données projet'!$E$13+1,1))-AVERAGE(OFFSET($H$3,0,0,'Données projet'!$E$13+1,1))</f>
        <v>175.05987582828078</v>
      </c>
      <c r="CZ56" s="62">
        <f t="shared" si="42"/>
        <v>268.54782308462387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4.7992228237083072</v>
      </c>
      <c r="DH56" s="23">
        <f>EXP(-LN(2)/2)*DH55+(1-EXP(-LN(2)/2))/(LN(2)/2)*DB56*DE56*VLOOKUP('Données projet'!$B$13,Paramètres!$A$1:$I$89,3,0)*0.475*44/12</f>
        <v>4.3672690861817744E-3</v>
      </c>
      <c r="DI56" s="24">
        <f t="shared" si="15"/>
        <v>4.8035900927944892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12.25</v>
      </c>
      <c r="DO56" s="13">
        <f>IF('Données projet'!$A$166&gt;35,DO55+DN56-DW55,IF(A56&lt;'Données projet'!$A$166,$DL$205^A56,IF(A56='Données projet'!$A$166,'Données projet'!$B$166,DO55+DN56-DW55)))</f>
        <v>310.74999999999994</v>
      </c>
      <c r="DP56" s="18">
        <f>DO56*VLOOKUP('Données projet'!$B$14,Paramètres!$A$1:$I$89,3,0)*VLOOKUP('Données projet'!$B$14,Paramètres!$A$1:$I$89,5,0)</f>
        <v>177.749</v>
      </c>
      <c r="DQ56" s="14">
        <f t="shared" si="43"/>
        <v>44.821013932875545</v>
      </c>
      <c r="DR56" s="22">
        <f t="shared" si="16"/>
        <v>387.64277426642496</v>
      </c>
      <c r="DS56" s="62">
        <f t="shared" si="17"/>
        <v>680.97610759975828</v>
      </c>
      <c r="DT56" s="62">
        <f ca="1">AVERAGE(OFFSET($DS$3,0,0,'Données projet'!$E$14+1,1))-AVERAGE(OFFSET($H$3,0,0,'Données projet'!$E$14+1,1))</f>
        <v>228.06050741667258</v>
      </c>
      <c r="DU56" s="62">
        <f t="shared" si="44"/>
        <v>191.94885821983536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9.9374405567252282</v>
      </c>
      <c r="EC56" s="23">
        <f>EXP(-LN(2)/2)*EC55+(1-EXP(-LN(2)/2))/(LN(2)/2)*DW56*DZ56*VLOOKUP('Données projet'!$B$14,Paramètres!$A$1:$I$89,3,0)*0.475*44/12</f>
        <v>3.5430424182715546E-2</v>
      </c>
      <c r="ED56" s="24">
        <f t="shared" si="18"/>
        <v>9.9728709809079437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-5.6843418860808015E-14</v>
      </c>
      <c r="EK56" s="18">
        <f>EJ56*VLOOKUP('Données projet'!$B$15,Paramètres!$A$1:$I$89,3,0)*VLOOKUP('Données projet'!$B$15,Paramètres!$A$1:$I$89,5,0)</f>
        <v>-5.1431925385259088E-14</v>
      </c>
      <c r="EL56" s="14" t="e">
        <f t="shared" si="45"/>
        <v>#NUM!</v>
      </c>
      <c r="EM56" s="22" t="e">
        <f t="shared" si="19"/>
        <v>#NUM!</v>
      </c>
      <c r="EN56" s="62" t="e">
        <f t="shared" si="20"/>
        <v>#NUM!</v>
      </c>
      <c r="EO56" s="62">
        <f ca="1">AVERAGE(OFFSET($EN$3,0,0,'Données projet'!$E$15+1,1))-AVERAGE(OFFSET($H$3,0,0,'Données projet'!$E$15+1,1))</f>
        <v>315.23521260143986</v>
      </c>
      <c r="EP56" s="62">
        <f t="shared" si="46"/>
        <v>439.11021845472641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17.285714285714285</v>
      </c>
      <c r="N57" s="14">
        <f>IF('Données projet'!$A$36&gt;35,N56+M57-V56,IF(A57&lt;'Données projet'!$A$36,$K$205^A57,IF(A57='Données projet'!$A$36,'Données projet'!$B$36,N56+M57-V56)))</f>
        <v>479.42857142857122</v>
      </c>
      <c r="O57" s="14">
        <f>N57*VLOOKUP('Données projet'!$B$9,Paramètres!$A$1:$I$89,3,0)*VLOOKUP('Données projet'!$B$9,Paramètres!$A$1:$I$89,5,0)</f>
        <v>268.00057142857128</v>
      </c>
      <c r="P57" s="14">
        <f t="shared" si="33"/>
        <v>64.42475669606354</v>
      </c>
      <c r="Q57" s="22">
        <f t="shared" si="53"/>
        <v>578.97411315040551</v>
      </c>
      <c r="R57" s="62">
        <f t="shared" si="0"/>
        <v>872.30744648373889</v>
      </c>
      <c r="S57" s="62">
        <f ca="1">AVERAGE(OFFSET($R$3,0,0,'Données projet'!$E$9+1,1))-AVERAGE(OFFSET($H$3,0,0,'Données projet'!$E$9+1,1))</f>
        <v>302.20483575440988</v>
      </c>
      <c r="T57" s="62">
        <f t="shared" si="34"/>
        <v>275.32862097158687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11.4477504725456</v>
      </c>
      <c r="AB57" s="23">
        <f>EXP(-LN(2)/2)*AB56+(1-EXP(-LN(2)/2))/(LN(2)/2)*V57*Y57*VLOOKUP('Données projet'!$B$9,Paramètres!$A$1:$I$89,3,0)*0.475*44/12</f>
        <v>2.6874465433801942E-3</v>
      </c>
      <c r="AC57" s="24">
        <f t="shared" si="3"/>
        <v>11.45043791908898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271.8</v>
      </c>
      <c r="AJ57" s="14">
        <f>AI57*VLOOKUP('Données projet'!$B$10,Paramètres!$A$1:$I$89,3,0)*VLOOKUP('Données projet'!$B$10,Paramètres!$A$1:$I$89,5,0)</f>
        <v>245.92464000000001</v>
      </c>
      <c r="AK57" s="14">
        <f t="shared" si="35"/>
        <v>59.712430831913537</v>
      </c>
      <c r="AL57" s="22">
        <f t="shared" si="4"/>
        <v>532.31789836558266</v>
      </c>
      <c r="AM57" s="62">
        <f t="shared" si="5"/>
        <v>825.65123169891604</v>
      </c>
      <c r="AN57" s="62">
        <f ca="1">AVERAGE(OFFSET($AM$3,0,0,'Données projet'!$E$10+1,1))-AVERAGE(OFFSET($H$3,0,0,'Données projet'!$E$10+1,1))</f>
        <v>384.44848355636935</v>
      </c>
      <c r="AO57" s="62">
        <f t="shared" si="36"/>
        <v>203.5274665601915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271.8</v>
      </c>
      <c r="BE57" s="14">
        <f>BD57*VLOOKUP('Données projet'!$B$11,Paramètres!$A$1:$I$89,3,0)*VLOOKUP('Données projet'!$B$11,Paramètres!$A$1:$I$89,5,0)</f>
        <v>275.60520000000002</v>
      </c>
      <c r="BF57" s="14">
        <f t="shared" si="37"/>
        <v>66.037407906416391</v>
      </c>
      <c r="BG57" s="22">
        <f t="shared" si="7"/>
        <v>595.02754210367516</v>
      </c>
      <c r="BH57" s="62">
        <f t="shared" si="8"/>
        <v>888.36087543700842</v>
      </c>
      <c r="BI57" s="62">
        <f ca="1">AVERAGE(OFFSET($BH$3,0,0,'Données projet'!$E$11+1,1))-AVERAGE(OFFSET($H$3,0,0,'Données projet'!$E$11+1,1))</f>
        <v>440.60698566758532</v>
      </c>
      <c r="BJ57" s="62">
        <f t="shared" si="38"/>
        <v>231.92898690465887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17.625</v>
      </c>
      <c r="BY57" s="13">
        <f>IF('Données projet'!$A$114&gt;35,BY56+BX57-CG56,IF(A57&lt;'Données projet'!$A$114,$BV$205^A57,IF(A57='Données projet'!$A$114,'Données projet'!$B$114,BY56+BX57-CG56)))</f>
        <v>369.49999999999994</v>
      </c>
      <c r="BZ57" s="14">
        <f>BY57*VLOOKUP('Données projet'!$B$12,Paramètres!$A$1:$I$89,3,0)*VLOOKUP('Données projet'!$B$12,Paramètres!$A$1:$I$89,5,0)</f>
        <v>220.96099999999996</v>
      </c>
      <c r="CA57" s="14">
        <f t="shared" si="39"/>
        <v>54.323701308314696</v>
      </c>
      <c r="CB57" s="22">
        <f t="shared" si="10"/>
        <v>479.45418811198141</v>
      </c>
      <c r="CC57" s="62">
        <f t="shared" si="11"/>
        <v>772.78752144531472</v>
      </c>
      <c r="CD57" s="62">
        <f ca="1">AVERAGE(OFFSET($CC$3,0,0,'Données projet'!$E$12+1,1))-AVERAGE(OFFSET($H$3,0,0,'Données projet'!$E$12+1,1))</f>
        <v>287.29865338866551</v>
      </c>
      <c r="CE57" s="62">
        <f t="shared" si="40"/>
        <v>217.57508587672368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5.6312754653471515</v>
      </c>
      <c r="CM57" s="23">
        <f>EXP(-LN(2)/2)*CM56+(1-EXP(-LN(2)/2))/(LN(2)/2)*CG57*CJ57*VLOOKUP('Données projet'!$B$12,Paramètres!$A$1:$I$89,3,0)*0.475*44/12</f>
        <v>3.1411584600828826E-3</v>
      </c>
      <c r="CN57" s="24">
        <f t="shared" si="12"/>
        <v>5.6344166238072342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9.75</v>
      </c>
      <c r="CT57" s="13">
        <f>IF('Données projet'!$A$140&gt;35,CT56+CS57-DB56,IF(A57&lt;'Données projet'!$A$140,$CQ$205^A57,IF(A57='Données projet'!$A$140,'Données projet'!$B$140,CT56+CS57-DB56)))</f>
        <v>245.5</v>
      </c>
      <c r="CU57" s="18">
        <f>CT57*VLOOKUP('Données projet'!$B$13,Paramètres!$A$1:$I$89,3,0)*VLOOKUP('Données projet'!$B$13,Paramètres!$A$1:$I$89,5,0)</f>
        <v>153.19199999999998</v>
      </c>
      <c r="CV57" s="14">
        <f t="shared" si="41"/>
        <v>39.303087713366921</v>
      </c>
      <c r="CW57" s="22">
        <f t="shared" si="13"/>
        <v>335.2622777674473</v>
      </c>
      <c r="CX57" s="62">
        <f t="shared" si="14"/>
        <v>628.59561110078062</v>
      </c>
      <c r="CY57" s="62">
        <f ca="1">AVERAGE(OFFSET($CX$3,0,0,'Données projet'!$E$13+1,1))-AVERAGE(OFFSET($H$3,0,0,'Données projet'!$E$13+1,1))</f>
        <v>175.05987582828078</v>
      </c>
      <c r="CZ57" s="62">
        <f t="shared" si="42"/>
        <v>268.54782308462387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4.6679878232138439</v>
      </c>
      <c r="DH57" s="23">
        <f>EXP(-LN(2)/2)*DH56+(1-EXP(-LN(2)/2))/(LN(2)/2)*DB57*DE57*VLOOKUP('Données projet'!$B$13,Paramètres!$A$1:$I$89,3,0)*0.475*44/12</f>
        <v>3.0881255861055093E-3</v>
      </c>
      <c r="DI57" s="24">
        <f t="shared" si="15"/>
        <v>4.6710759487999498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12.25</v>
      </c>
      <c r="DO57" s="13">
        <f>IF('Données projet'!$A$166&gt;35,DO56+DN57-DW56,IF(A57&lt;'Données projet'!$A$166,$DL$205^A57,IF(A57='Données projet'!$A$166,'Données projet'!$B$166,DO56+DN57-DW56)))</f>
        <v>322.99999999999994</v>
      </c>
      <c r="DP57" s="18">
        <f>DO57*VLOOKUP('Données projet'!$B$14,Paramètres!$A$1:$I$89,3,0)*VLOOKUP('Données projet'!$B$14,Paramètres!$A$1:$I$89,5,0)</f>
        <v>184.75599999999997</v>
      </c>
      <c r="DQ57" s="14">
        <f t="shared" si="43"/>
        <v>46.378697169162017</v>
      </c>
      <c r="DR57" s="22">
        <f t="shared" si="16"/>
        <v>402.5595975696238</v>
      </c>
      <c r="DS57" s="62">
        <f t="shared" si="17"/>
        <v>695.89293090295712</v>
      </c>
      <c r="DT57" s="62">
        <f ca="1">AVERAGE(OFFSET($DS$3,0,0,'Données projet'!$E$14+1,1))-AVERAGE(OFFSET($H$3,0,0,'Données projet'!$E$14+1,1))</f>
        <v>228.06050741667258</v>
      </c>
      <c r="DU57" s="62">
        <f t="shared" si="44"/>
        <v>191.94885821983536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9.6657007221142894</v>
      </c>
      <c r="EC57" s="23">
        <f>EXP(-LN(2)/2)*EC56+(1-EXP(-LN(2)/2))/(LN(2)/2)*DW57*DZ57*VLOOKUP('Données projet'!$B$14,Paramètres!$A$1:$I$89,3,0)*0.475*44/12</f>
        <v>2.5053093199914004E-2</v>
      </c>
      <c r="ED57" s="24">
        <f t="shared" si="18"/>
        <v>9.6907538153142028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-5.6843418860808015E-14</v>
      </c>
      <c r="EK57" s="18">
        <f>EJ57*VLOOKUP('Données projet'!$B$15,Paramètres!$A$1:$I$89,3,0)*VLOOKUP('Données projet'!$B$15,Paramètres!$A$1:$I$89,5,0)</f>
        <v>-5.1431925385259088E-14</v>
      </c>
      <c r="EL57" s="14" t="e">
        <f t="shared" si="45"/>
        <v>#NUM!</v>
      </c>
      <c r="EM57" s="22" t="e">
        <f t="shared" si="19"/>
        <v>#NUM!</v>
      </c>
      <c r="EN57" s="62" t="e">
        <f t="shared" si="20"/>
        <v>#NUM!</v>
      </c>
      <c r="EO57" s="62">
        <f ca="1">AVERAGE(OFFSET($EN$3,0,0,'Données projet'!$E$15+1,1))-AVERAGE(OFFSET($H$3,0,0,'Données projet'!$E$15+1,1))</f>
        <v>315.23521260143986</v>
      </c>
      <c r="EP57" s="62">
        <f t="shared" si="46"/>
        <v>439.11021845472641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17.285714285714285</v>
      </c>
      <c r="N58" s="14">
        <f>IF('Données projet'!$A$36&gt;35,N57+M58-V57,IF(A58&lt;'Données projet'!$A$36,$K$205^A58,IF(A58='Données projet'!$A$36,'Données projet'!$B$36,N57+M58-V57)))</f>
        <v>496.7142857142855</v>
      </c>
      <c r="O58" s="14">
        <f>N58*VLOOKUP('Données projet'!$B$9,Paramètres!$A$1:$I$89,3,0)*VLOOKUP('Données projet'!$B$9,Paramètres!$A$1:$I$89,5,0)</f>
        <v>277.66328571428562</v>
      </c>
      <c r="P58" s="14">
        <f t="shared" si="33"/>
        <v>66.47295338451616</v>
      </c>
      <c r="Q58" s="22">
        <f t="shared" si="53"/>
        <v>599.37061643041295</v>
      </c>
      <c r="R58" s="62">
        <f t="shared" si="0"/>
        <v>892.70394976374632</v>
      </c>
      <c r="S58" s="62">
        <f ca="1">AVERAGE(OFFSET($R$3,0,0,'Données projet'!$E$9+1,1))-AVERAGE(OFFSET($H$3,0,0,'Données projet'!$E$9+1,1))</f>
        <v>302.20483575440988</v>
      </c>
      <c r="T58" s="62">
        <f t="shared" si="34"/>
        <v>275.32862097158687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11.134711133862808</v>
      </c>
      <c r="AB58" s="23">
        <f>EXP(-LN(2)/2)*AB57+(1-EXP(-LN(2)/2))/(LN(2)/2)*V58*Y58*VLOOKUP('Données projet'!$B$9,Paramètres!$A$1:$I$89,3,0)*0.475*44/12</f>
        <v>1.9003116749004825E-3</v>
      </c>
      <c r="AC58" s="24">
        <f t="shared" si="3"/>
        <v>11.136611445537708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282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282</v>
      </c>
      <c r="AJ58" s="14">
        <f>AI58*VLOOKUP('Données projet'!$B$10,Paramètres!$A$1:$I$89,3,0)*VLOOKUP('Données projet'!$B$10,Paramètres!$A$1:$I$89,5,0)</f>
        <v>255.15360000000001</v>
      </c>
      <c r="AK58" s="14">
        <f t="shared" si="35"/>
        <v>61.688192762754426</v>
      </c>
      <c r="AL58" s="22">
        <f t="shared" si="4"/>
        <v>551.83278906179726</v>
      </c>
      <c r="AM58" s="62">
        <f t="shared" si="5"/>
        <v>845.16612239513051</v>
      </c>
      <c r="AN58" s="62">
        <f ca="1">AVERAGE(OFFSET($AM$3,0,0,'Données projet'!$E$10+1,1))-AVERAGE(OFFSET($H$3,0,0,'Données projet'!$E$10+1,1))</f>
        <v>384.44848355636935</v>
      </c>
      <c r="AO58" s="62">
        <f t="shared" si="36"/>
        <v>203.5274665601915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56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282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282</v>
      </c>
      <c r="BE58" s="14">
        <f>BD58*VLOOKUP('Données projet'!$B$11,Paramètres!$A$1:$I$89,3,0)*VLOOKUP('Données projet'!$B$11,Paramètres!$A$1:$I$89,5,0)</f>
        <v>285.94800000000004</v>
      </c>
      <c r="BF58" s="14">
        <f t="shared" si="37"/>
        <v>68.222450362989363</v>
      </c>
      <c r="BG58" s="22">
        <f t="shared" si="7"/>
        <v>616.84686771553982</v>
      </c>
      <c r="BH58" s="62">
        <f t="shared" si="8"/>
        <v>910.18020104887319</v>
      </c>
      <c r="BI58" s="62">
        <f ca="1">AVERAGE(OFFSET($BH$3,0,0,'Données projet'!$E$11+1,1))-AVERAGE(OFFSET($H$3,0,0,'Données projet'!$E$11+1,1))</f>
        <v>440.60698566758532</v>
      </c>
      <c r="BJ58" s="62">
        <f t="shared" si="38"/>
        <v>231.92898690465887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56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17.625</v>
      </c>
      <c r="BY58" s="13">
        <f>IF('Données projet'!$A$114&gt;35,BY57+BX58-CG57,IF(A58&lt;'Données projet'!$A$114,$BV$205^A58,IF(A58='Données projet'!$A$114,'Données projet'!$B$114,BY57+BX58-CG57)))</f>
        <v>387.12499999999994</v>
      </c>
      <c r="BZ58" s="14">
        <f>BY58*VLOOKUP('Données projet'!$B$12,Paramètres!$A$1:$I$89,3,0)*VLOOKUP('Données projet'!$B$12,Paramètres!$A$1:$I$89,5,0)</f>
        <v>231.50074999999998</v>
      </c>
      <c r="CA58" s="14">
        <f t="shared" si="39"/>
        <v>56.607055837426749</v>
      </c>
      <c r="CB58" s="22">
        <f t="shared" si="10"/>
        <v>501.78776183351812</v>
      </c>
      <c r="CC58" s="62">
        <f t="shared" si="11"/>
        <v>795.12109516685143</v>
      </c>
      <c r="CD58" s="62">
        <f ca="1">AVERAGE(OFFSET($CC$3,0,0,'Données projet'!$E$12+1,1))-AVERAGE(OFFSET($H$3,0,0,'Données projet'!$E$12+1,1))</f>
        <v>287.29865338866551</v>
      </c>
      <c r="CE58" s="62">
        <f t="shared" si="40"/>
        <v>217.57508587672368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5.4772879416113271</v>
      </c>
      <c r="CM58" s="23">
        <f>EXP(-LN(2)/2)*CM57+(1-EXP(-LN(2)/2))/(LN(2)/2)*CG58*CJ58*VLOOKUP('Données projet'!$B$12,Paramètres!$A$1:$I$89,3,0)*0.475*44/12</f>
        <v>2.2211344479060994E-3</v>
      </c>
      <c r="CN58" s="24">
        <f t="shared" si="12"/>
        <v>5.4795090760592329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9.75</v>
      </c>
      <c r="CT58" s="13">
        <f>IF('Données projet'!$A$140&gt;35,CT57+CS58-DB57,IF(A58&lt;'Données projet'!$A$140,$CQ$205^A58,IF(A58='Données projet'!$A$140,'Données projet'!$B$140,CT57+CS58-DB57)))</f>
        <v>255.25</v>
      </c>
      <c r="CU58" s="18">
        <f>CT58*VLOOKUP('Données projet'!$B$13,Paramètres!$A$1:$I$89,3,0)*VLOOKUP('Données projet'!$B$13,Paramètres!$A$1:$I$89,5,0)</f>
        <v>159.27600000000001</v>
      </c>
      <c r="CV58" s="14">
        <f t="shared" si="41"/>
        <v>40.679172107249002</v>
      </c>
      <c r="CW58" s="22">
        <f t="shared" si="13"/>
        <v>348.25525808679203</v>
      </c>
      <c r="CX58" s="62">
        <f t="shared" si="14"/>
        <v>641.58859142012534</v>
      </c>
      <c r="CY58" s="62">
        <f ca="1">AVERAGE(OFFSET($CX$3,0,0,'Données projet'!$E$13+1,1))-AVERAGE(OFFSET($H$3,0,0,'Données projet'!$E$13+1,1))</f>
        <v>175.05987582828078</v>
      </c>
      <c r="CZ58" s="62">
        <f t="shared" si="42"/>
        <v>268.54782308462387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4.5403414507092501</v>
      </c>
      <c r="DH58" s="23">
        <f>EXP(-LN(2)/2)*DH57+(1-EXP(-LN(2)/2))/(LN(2)/2)*DB58*DE58*VLOOKUP('Données projet'!$B$13,Paramètres!$A$1:$I$89,3,0)*0.475*44/12</f>
        <v>2.1836345430908872E-3</v>
      </c>
      <c r="DI58" s="24">
        <f t="shared" si="15"/>
        <v>4.5425250852523407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12.25</v>
      </c>
      <c r="DO58" s="13">
        <f>IF('Données projet'!$A$166&gt;35,DO57+DN58-DW57,IF(A58&lt;'Données projet'!$A$166,$DL$205^A58,IF(A58='Données projet'!$A$166,'Données projet'!$B$166,DO57+DN58-DW57)))</f>
        <v>335.24999999999994</v>
      </c>
      <c r="DP58" s="18">
        <f>DO58*VLOOKUP('Données projet'!$B$14,Paramètres!$A$1:$I$89,3,0)*VLOOKUP('Données projet'!$B$14,Paramètres!$A$1:$I$89,5,0)</f>
        <v>191.76299999999995</v>
      </c>
      <c r="DQ58" s="14">
        <f t="shared" si="43"/>
        <v>47.929517351413239</v>
      </c>
      <c r="DR58" s="22">
        <f t="shared" si="16"/>
        <v>417.46446772037797</v>
      </c>
      <c r="DS58" s="62">
        <f t="shared" si="17"/>
        <v>710.79780105371128</v>
      </c>
      <c r="DT58" s="62">
        <f ca="1">AVERAGE(OFFSET($DS$3,0,0,'Données projet'!$E$14+1,1))-AVERAGE(OFFSET($H$3,0,0,'Données projet'!$E$14+1,1))</f>
        <v>228.06050741667258</v>
      </c>
      <c r="DU58" s="62">
        <f t="shared" si="44"/>
        <v>191.94885821983536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9.4013916275709644</v>
      </c>
      <c r="EC58" s="23">
        <f>EXP(-LN(2)/2)*EC57+(1-EXP(-LN(2)/2))/(LN(2)/2)*DW58*DZ58*VLOOKUP('Données projet'!$B$14,Paramètres!$A$1:$I$89,3,0)*0.475*44/12</f>
        <v>1.7715212091357773E-2</v>
      </c>
      <c r="ED58" s="24">
        <f t="shared" si="18"/>
        <v>9.419106839662323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-5.6843418860808015E-14</v>
      </c>
      <c r="EK58" s="18">
        <f>EJ58*VLOOKUP('Données projet'!$B$15,Paramètres!$A$1:$I$89,3,0)*VLOOKUP('Données projet'!$B$15,Paramètres!$A$1:$I$89,5,0)</f>
        <v>-5.1431925385259088E-14</v>
      </c>
      <c r="EL58" s="14" t="e">
        <f t="shared" si="45"/>
        <v>#NUM!</v>
      </c>
      <c r="EM58" s="22" t="e">
        <f t="shared" si="19"/>
        <v>#NUM!</v>
      </c>
      <c r="EN58" s="62" t="e">
        <f t="shared" si="20"/>
        <v>#NUM!</v>
      </c>
      <c r="EO58" s="62">
        <f ca="1">AVERAGE(OFFSET($EN$3,0,0,'Données projet'!$E$15+1,1))-AVERAGE(OFFSET($H$3,0,0,'Données projet'!$E$15+1,1))</f>
        <v>315.23521260143986</v>
      </c>
      <c r="EP58" s="62">
        <f t="shared" si="46"/>
        <v>439.11021845472641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514</v>
      </c>
      <c r="L59" s="13">
        <f>VLOOKUP(A59,'Données projet'!$A$35:$I$55,9,0)</f>
        <v>17.285714285714285</v>
      </c>
      <c r="M59" s="13">
        <f t="array" ref="M59">INDEX(L:L,MIN(IF(ISNUMBER(L59:L255),ROW(L59:L255),"")))</f>
        <v>17.285714285714285</v>
      </c>
      <c r="N59" s="14">
        <f>IF('Données projet'!$A$36&gt;35,N58+M59-V58,IF(A59&lt;'Données projet'!$A$36,$K$205^A59,IF(A59='Données projet'!$A$36,'Données projet'!$B$36,N58+M59-V58)))</f>
        <v>513.99999999999977</v>
      </c>
      <c r="O59" s="14">
        <f>N59*VLOOKUP('Données projet'!$B$9,Paramètres!$A$1:$I$89,3,0)*VLOOKUP('Données projet'!$B$9,Paramètres!$A$1:$I$89,5,0)</f>
        <v>287.32599999999985</v>
      </c>
      <c r="P59" s="14">
        <f t="shared" si="33"/>
        <v>68.512868389632061</v>
      </c>
      <c r="Q59" s="22">
        <f t="shared" si="53"/>
        <v>619.75269577860888</v>
      </c>
      <c r="R59" s="62">
        <f t="shared" si="0"/>
        <v>913.08602911194225</v>
      </c>
      <c r="S59" s="62">
        <f ca="1">AVERAGE(OFFSET($R$3,0,0,'Données projet'!$E$9+1,1))-AVERAGE(OFFSET($H$3,0,0,'Données projet'!$E$9+1,1))</f>
        <v>302.20483575440988</v>
      </c>
      <c r="T59" s="62">
        <f t="shared" si="34"/>
        <v>275.32862097158687</v>
      </c>
      <c r="U59" s="16">
        <f>IF(ISNA(VLOOKUP(A59,'Données projet'!$A$35:$I$55,3,0)),0,VLOOKUP(A59,'Données projet'!$A$35:$I$55,3,0))</f>
        <v>6</v>
      </c>
      <c r="V59" s="16">
        <f>IF(ISNA(VLOOKUP(A59,'Données projet'!$A$35:$I$55,4,0)),0,VLOOKUP(A59,'Données projet'!$A$35:$I$55,4,0))</f>
        <v>85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10.83023187235832</v>
      </c>
      <c r="AB59" s="23">
        <f>EXP(-LN(2)/2)*AB58+(1-EXP(-LN(2)/2))/(LN(2)/2)*V59*Y59*VLOOKUP('Données projet'!$B$9,Paramètres!$A$1:$I$89,3,0)*0.475*44/12</f>
        <v>1.3437232716900973E-3</v>
      </c>
      <c r="AC59" s="24">
        <f t="shared" si="3"/>
        <v>10.83157559563001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212.98991999999998</v>
      </c>
      <c r="AK59" s="14">
        <f t="shared" si="35"/>
        <v>52.588419883221171</v>
      </c>
      <c r="AL59" s="22">
        <f t="shared" si="4"/>
        <v>462.54894196327677</v>
      </c>
      <c r="AM59" s="62">
        <f t="shared" si="5"/>
        <v>755.88227529661003</v>
      </c>
      <c r="AN59" s="62">
        <f ca="1">AVERAGE(OFFSET($AM$3,0,0,'Données projet'!$E$10+1,1))-AVERAGE(OFFSET($H$3,0,0,'Données projet'!$E$10+1,1))</f>
        <v>384.44848355636935</v>
      </c>
      <c r="AO59" s="62">
        <f t="shared" si="36"/>
        <v>203.5274665601915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238.69559999999998</v>
      </c>
      <c r="BF59" s="14">
        <f t="shared" si="37"/>
        <v>58.158793514165929</v>
      </c>
      <c r="BG59" s="22">
        <f t="shared" si="7"/>
        <v>517.02140203717238</v>
      </c>
      <c r="BH59" s="62">
        <f t="shared" si="8"/>
        <v>810.35473537050575</v>
      </c>
      <c r="BI59" s="62">
        <f ca="1">AVERAGE(OFFSET($BH$3,0,0,'Données projet'!$E$11+1,1))-AVERAGE(OFFSET($H$3,0,0,'Données projet'!$E$11+1,1))</f>
        <v>440.60698566758532</v>
      </c>
      <c r="BJ59" s="62">
        <f t="shared" si="38"/>
        <v>231.92898690465887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17.625</v>
      </c>
      <c r="BY59" s="13">
        <f>IF('Données projet'!$A$114&gt;35,BY58+BX59-CG58,IF(A59&lt;'Données projet'!$A$114,$BV$205^A59,IF(A59='Données projet'!$A$114,'Données projet'!$B$114,BY58+BX59-CG58)))</f>
        <v>404.74999999999994</v>
      </c>
      <c r="BZ59" s="14">
        <f>BY59*VLOOKUP('Données projet'!$B$12,Paramètres!$A$1:$I$89,3,0)*VLOOKUP('Données projet'!$B$12,Paramètres!$A$1:$I$89,5,0)</f>
        <v>242.04049999999998</v>
      </c>
      <c r="CA59" s="14">
        <f t="shared" si="39"/>
        <v>58.878337443371535</v>
      </c>
      <c r="CB59" s="22">
        <f t="shared" si="10"/>
        <v>524.10030854720526</v>
      </c>
      <c r="CC59" s="62">
        <f t="shared" si="11"/>
        <v>817.43364188053852</v>
      </c>
      <c r="CD59" s="62">
        <f ca="1">AVERAGE(OFFSET($CC$3,0,0,'Données projet'!$E$12+1,1))-AVERAGE(OFFSET($H$3,0,0,'Données projet'!$E$12+1,1))</f>
        <v>287.29865338866551</v>
      </c>
      <c r="CE59" s="62">
        <f t="shared" si="40"/>
        <v>217.57508587672368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5.3275112148099106</v>
      </c>
      <c r="CM59" s="23">
        <f>EXP(-LN(2)/2)*CM58+(1-EXP(-LN(2)/2))/(LN(2)/2)*CG59*CJ59*VLOOKUP('Données projet'!$B$12,Paramètres!$A$1:$I$89,3,0)*0.475*44/12</f>
        <v>1.5705792300414413E-3</v>
      </c>
      <c r="CN59" s="24">
        <f t="shared" si="12"/>
        <v>5.3290817940399524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9.75</v>
      </c>
      <c r="CT59" s="13">
        <f>IF('Données projet'!$A$140&gt;35,CT58+CS59-DB58,IF(A59&lt;'Données projet'!$A$140,$CQ$205^A59,IF(A59='Données projet'!$A$140,'Données projet'!$B$140,CT58+CS59-DB58)))</f>
        <v>265</v>
      </c>
      <c r="CU59" s="18">
        <f>CT59*VLOOKUP('Données projet'!$B$13,Paramètres!$A$1:$I$89,3,0)*VLOOKUP('Données projet'!$B$13,Paramètres!$A$1:$I$89,5,0)</f>
        <v>165.35999999999999</v>
      </c>
      <c r="CV59" s="14">
        <f t="shared" si="41"/>
        <v>42.04915012784209</v>
      </c>
      <c r="CW59" s="22">
        <f t="shared" si="13"/>
        <v>361.2376031393249</v>
      </c>
      <c r="CX59" s="62">
        <f t="shared" si="14"/>
        <v>654.57093647265822</v>
      </c>
      <c r="CY59" s="62">
        <f ca="1">AVERAGE(OFFSET($CX$3,0,0,'Données projet'!$E$13+1,1))-AVERAGE(OFFSET($H$3,0,0,'Données projet'!$E$13+1,1))</f>
        <v>175.05987582828078</v>
      </c>
      <c r="CZ59" s="62">
        <f t="shared" si="42"/>
        <v>268.54782308462387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4.4161855749734258</v>
      </c>
      <c r="DH59" s="23">
        <f>EXP(-LN(2)/2)*DH58+(1-EXP(-LN(2)/2))/(LN(2)/2)*DB59*DE59*VLOOKUP('Données projet'!$B$13,Paramètres!$A$1:$I$89,3,0)*0.475*44/12</f>
        <v>1.5440627930527547E-3</v>
      </c>
      <c r="DI59" s="24">
        <f t="shared" si="15"/>
        <v>4.4177296377664783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12.25</v>
      </c>
      <c r="DO59" s="13">
        <f>IF('Données projet'!$A$166&gt;35,DO58+DN59-DW58,IF(A59&lt;'Données projet'!$A$166,$DL$205^A59,IF(A59='Données projet'!$A$166,'Données projet'!$B$166,DO58+DN59-DW58)))</f>
        <v>347.49999999999994</v>
      </c>
      <c r="DP59" s="18">
        <f>DO59*VLOOKUP('Données projet'!$B$14,Paramètres!$A$1:$I$89,3,0)*VLOOKUP('Données projet'!$B$14,Paramètres!$A$1:$I$89,5,0)</f>
        <v>198.76999999999998</v>
      </c>
      <c r="DQ59" s="14">
        <f t="shared" si="43"/>
        <v>49.473753977140319</v>
      </c>
      <c r="DR59" s="22">
        <f t="shared" si="16"/>
        <v>432.35787151018599</v>
      </c>
      <c r="DS59" s="62">
        <f t="shared" si="17"/>
        <v>725.69120484351924</v>
      </c>
      <c r="DT59" s="62">
        <f ca="1">AVERAGE(OFFSET($DS$3,0,0,'Données projet'!$E$14+1,1))-AVERAGE(OFFSET($H$3,0,0,'Données projet'!$E$14+1,1))</f>
        <v>228.06050741667258</v>
      </c>
      <c r="DU59" s="62">
        <f t="shared" si="44"/>
        <v>191.94885821983536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9.1443100791173375</v>
      </c>
      <c r="EC59" s="23">
        <f>EXP(-LN(2)/2)*EC58+(1-EXP(-LN(2)/2))/(LN(2)/2)*DW59*DZ59*VLOOKUP('Données projet'!$B$14,Paramètres!$A$1:$I$89,3,0)*0.475*44/12</f>
        <v>1.2526546599957002E-2</v>
      </c>
      <c r="ED59" s="24">
        <f t="shared" si="18"/>
        <v>9.1568366257172951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-5.6843418860808015E-14</v>
      </c>
      <c r="EK59" s="18">
        <f>EJ59*VLOOKUP('Données projet'!$B$15,Paramètres!$A$1:$I$89,3,0)*VLOOKUP('Données projet'!$B$15,Paramètres!$A$1:$I$89,5,0)</f>
        <v>-5.1431925385259088E-14</v>
      </c>
      <c r="EL59" s="14" t="e">
        <f t="shared" si="45"/>
        <v>#NUM!</v>
      </c>
      <c r="EM59" s="22" t="e">
        <f t="shared" si="19"/>
        <v>#NUM!</v>
      </c>
      <c r="EN59" s="62" t="e">
        <f t="shared" si="20"/>
        <v>#NUM!</v>
      </c>
      <c r="EO59" s="62">
        <f ca="1">AVERAGE(OFFSET($EN$3,0,0,'Données projet'!$E$15+1,1))-AVERAGE(OFFSET($H$3,0,0,'Données projet'!$E$15+1,1))</f>
        <v>315.23521260143986</v>
      </c>
      <c r="EP59" s="62">
        <f t="shared" si="46"/>
        <v>439.11021845472641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15.571428571428571</v>
      </c>
      <c r="N60" s="14">
        <f>IF('Données projet'!$A$36&gt;35,N59+M60-V59,IF(A60&lt;'Données projet'!$A$36,$K$205^A60,IF(A60='Données projet'!$A$36,'Données projet'!$B$36,N59+M60-V59)))</f>
        <v>444.57142857142833</v>
      </c>
      <c r="O60" s="14">
        <f>N60*VLOOKUP('Données projet'!$B$9,Paramètres!$A$1:$I$89,3,0)*VLOOKUP('Données projet'!$B$9,Paramètres!$A$1:$I$89,5,0)</f>
        <v>248.51542857142846</v>
      </c>
      <c r="P60" s="14">
        <f t="shared" si="33"/>
        <v>60.267932112745214</v>
      </c>
      <c r="Q60" s="22">
        <f t="shared" si="53"/>
        <v>537.79768652493578</v>
      </c>
      <c r="R60" s="62">
        <f t="shared" si="0"/>
        <v>831.13101985826916</v>
      </c>
      <c r="S60" s="62">
        <f ca="1">AVERAGE(OFFSET($R$3,0,0,'Données projet'!$E$9+1,1))-AVERAGE(OFFSET($H$3,0,0,'Données projet'!$E$9+1,1))</f>
        <v>302.20483575440988</v>
      </c>
      <c r="T60" s="62">
        <f t="shared" si="34"/>
        <v>275.32862097158687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10.534078612271541</v>
      </c>
      <c r="AB60" s="23">
        <f>EXP(-LN(2)/2)*AB59+(1-EXP(-LN(2)/2))/(LN(2)/2)*V60*Y60*VLOOKUP('Données projet'!$B$9,Paramètres!$A$1:$I$89,3,0)*0.475*44/12</f>
        <v>9.5015583745024148E-4</v>
      </c>
      <c r="AC60" s="24">
        <f t="shared" si="3"/>
        <v>10.535028768108992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221.49503999999999</v>
      </c>
      <c r="AK60" s="14">
        <f t="shared" si="35"/>
        <v>54.439697086174412</v>
      </c>
      <c r="AL60" s="22">
        <f t="shared" si="4"/>
        <v>480.58633375842032</v>
      </c>
      <c r="AM60" s="62">
        <f t="shared" si="5"/>
        <v>773.91966709175358</v>
      </c>
      <c r="AN60" s="62">
        <f ca="1">AVERAGE(OFFSET($AM$3,0,0,'Données projet'!$E$10+1,1))-AVERAGE(OFFSET($H$3,0,0,'Données projet'!$E$10+1,1))</f>
        <v>384.44848355636935</v>
      </c>
      <c r="AO60" s="62">
        <f t="shared" si="36"/>
        <v>203.5274665601915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248.22720000000001</v>
      </c>
      <c r="BF60" s="14">
        <f t="shared" si="37"/>
        <v>60.20616532763993</v>
      </c>
      <c r="BG60" s="22">
        <f t="shared" si="7"/>
        <v>537.18811127897277</v>
      </c>
      <c r="BH60" s="62">
        <f t="shared" si="8"/>
        <v>830.52144461230614</v>
      </c>
      <c r="BI60" s="62">
        <f ca="1">AVERAGE(OFFSET($BH$3,0,0,'Données projet'!$E$11+1,1))-AVERAGE(OFFSET($H$3,0,0,'Données projet'!$E$11+1,1))</f>
        <v>440.60698566758532</v>
      </c>
      <c r="BJ60" s="62">
        <f t="shared" si="38"/>
        <v>231.92898690465887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17.625</v>
      </c>
      <c r="BY60" s="13">
        <f>IF('Données projet'!$A$114&gt;35,BY59+BX60-CG59,IF(A60&lt;'Données projet'!$A$114,$BV$205^A60,IF(A60='Données projet'!$A$114,'Données projet'!$B$114,BY59+BX60-CG59)))</f>
        <v>422.37499999999994</v>
      </c>
      <c r="BZ60" s="14">
        <f>BY60*VLOOKUP('Données projet'!$B$12,Paramètres!$A$1:$I$89,3,0)*VLOOKUP('Données projet'!$B$12,Paramètres!$A$1:$I$89,5,0)</f>
        <v>252.58025000000001</v>
      </c>
      <c r="CA60" s="14">
        <f t="shared" si="39"/>
        <v>61.138131933251593</v>
      </c>
      <c r="CB60" s="22">
        <f t="shared" si="10"/>
        <v>546.39284853374647</v>
      </c>
      <c r="CC60" s="62">
        <f t="shared" si="11"/>
        <v>839.72618186707973</v>
      </c>
      <c r="CD60" s="62">
        <f ca="1">AVERAGE(OFFSET($CC$3,0,0,'Données projet'!$E$12+1,1))-AVERAGE(OFFSET($H$3,0,0,'Données projet'!$E$12+1,1))</f>
        <v>287.29865338866551</v>
      </c>
      <c r="CE60" s="62">
        <f t="shared" si="40"/>
        <v>217.57508587672368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5.1818301404792955</v>
      </c>
      <c r="CM60" s="23">
        <f>EXP(-LN(2)/2)*CM59+(1-EXP(-LN(2)/2))/(LN(2)/2)*CG60*CJ60*VLOOKUP('Données projet'!$B$12,Paramètres!$A$1:$I$89,3,0)*0.475*44/12</f>
        <v>1.1105672239530497E-3</v>
      </c>
      <c r="CN60" s="24">
        <f t="shared" si="12"/>
        <v>5.1829407077032483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9.75</v>
      </c>
      <c r="CT60" s="13">
        <f>IF('Données projet'!$A$140&gt;35,CT59+CS60-DB59,IF(A60&lt;'Données projet'!$A$140,$CQ$205^A60,IF(A60='Données projet'!$A$140,'Données projet'!$B$140,CT59+CS60-DB59)))</f>
        <v>274.75</v>
      </c>
      <c r="CU60" s="18">
        <f>CT60*VLOOKUP('Données projet'!$B$13,Paramètres!$A$1:$I$89,3,0)*VLOOKUP('Données projet'!$B$13,Paramètres!$A$1:$I$89,5,0)</f>
        <v>171.44399999999999</v>
      </c>
      <c r="CV60" s="14">
        <f t="shared" si="41"/>
        <v>43.413272173627242</v>
      </c>
      <c r="CW60" s="22">
        <f t="shared" si="13"/>
        <v>374.20974903573409</v>
      </c>
      <c r="CX60" s="62">
        <f t="shared" si="14"/>
        <v>667.54308236906741</v>
      </c>
      <c r="CY60" s="62">
        <f ca="1">AVERAGE(OFFSET($CX$3,0,0,'Données projet'!$E$13+1,1))-AVERAGE(OFFSET($H$3,0,0,'Données projet'!$E$13+1,1))</f>
        <v>175.05987582828078</v>
      </c>
      <c r="CZ60" s="62">
        <f t="shared" si="42"/>
        <v>268.54782308462387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4.2954247481886716</v>
      </c>
      <c r="DH60" s="23">
        <f>EXP(-LN(2)/2)*DH59+(1-EXP(-LN(2)/2))/(LN(2)/2)*DB60*DE60*VLOOKUP('Données projet'!$B$13,Paramètres!$A$1:$I$89,3,0)*0.475*44/12</f>
        <v>1.0918172715454436E-3</v>
      </c>
      <c r="DI60" s="24">
        <f t="shared" si="15"/>
        <v>4.2965165654602169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12.25</v>
      </c>
      <c r="DO60" s="13">
        <f>IF('Données projet'!$A$166&gt;35,DO59+DN60-DW59,IF(A60&lt;'Données projet'!$A$166,$DL$205^A60,IF(A60='Données projet'!$A$166,'Données projet'!$B$166,DO59+DN60-DW59)))</f>
        <v>359.74999999999994</v>
      </c>
      <c r="DP60" s="18">
        <f>DO60*VLOOKUP('Données projet'!$B$14,Paramètres!$A$1:$I$89,3,0)*VLOOKUP('Données projet'!$B$14,Paramètres!$A$1:$I$89,5,0)</f>
        <v>205.77699999999996</v>
      </c>
      <c r="DQ60" s="14">
        <f t="shared" si="43"/>
        <v>51.011665720992838</v>
      </c>
      <c r="DR60" s="22">
        <f t="shared" si="16"/>
        <v>447.24025946406249</v>
      </c>
      <c r="DS60" s="62">
        <f t="shared" si="17"/>
        <v>740.5735927973958</v>
      </c>
      <c r="DT60" s="62">
        <f ca="1">AVERAGE(OFFSET($DS$3,0,0,'Données projet'!$E$14+1,1))-AVERAGE(OFFSET($H$3,0,0,'Données projet'!$E$14+1,1))</f>
        <v>228.06050741667258</v>
      </c>
      <c r="DU60" s="62">
        <f t="shared" si="44"/>
        <v>191.94885821983536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8.8942584391255064</v>
      </c>
      <c r="EC60" s="23">
        <f>EXP(-LN(2)/2)*EC59+(1-EXP(-LN(2)/2))/(LN(2)/2)*DW60*DZ60*VLOOKUP('Données projet'!$B$14,Paramètres!$A$1:$I$89,3,0)*0.475*44/12</f>
        <v>8.8576060456788865E-3</v>
      </c>
      <c r="ED60" s="24">
        <f t="shared" si="18"/>
        <v>8.9031160451711848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-5.6843418860808015E-14</v>
      </c>
      <c r="EK60" s="18">
        <f>EJ60*VLOOKUP('Données projet'!$B$15,Paramètres!$A$1:$I$89,3,0)*VLOOKUP('Données projet'!$B$15,Paramètres!$A$1:$I$89,5,0)</f>
        <v>-5.1431925385259088E-14</v>
      </c>
      <c r="EL60" s="14" t="e">
        <f t="shared" si="45"/>
        <v>#NUM!</v>
      </c>
      <c r="EM60" s="22" t="e">
        <f t="shared" si="19"/>
        <v>#NUM!</v>
      </c>
      <c r="EN60" s="62" t="e">
        <f t="shared" si="20"/>
        <v>#NUM!</v>
      </c>
      <c r="EO60" s="62">
        <f ca="1">AVERAGE(OFFSET($EN$3,0,0,'Données projet'!$E$15+1,1))-AVERAGE(OFFSET($H$3,0,0,'Données projet'!$E$15+1,1))</f>
        <v>315.23521260143986</v>
      </c>
      <c r="EP60" s="62">
        <f t="shared" si="46"/>
        <v>439.11021845472641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15.571428571428571</v>
      </c>
      <c r="N61" s="14">
        <f>IF('Données projet'!$A$36&gt;35,N60+M61-V60,IF(A61&lt;'Données projet'!$A$36,$K$205^A61,IF(A61='Données projet'!$A$36,'Données projet'!$B$36,N60+M61-V60)))</f>
        <v>460.14285714285688</v>
      </c>
      <c r="O61" s="14">
        <f>N61*VLOOKUP('Données projet'!$B$9,Paramètres!$A$1:$I$89,3,0)*VLOOKUP('Données projet'!$B$9,Paramètres!$A$1:$I$89,5,0)</f>
        <v>257.21985714285699</v>
      </c>
      <c r="P61" s="14">
        <f t="shared" si="33"/>
        <v>62.129393573116417</v>
      </c>
      <c r="Q61" s="22">
        <f t="shared" si="53"/>
        <v>556.19994499698703</v>
      </c>
      <c r="R61" s="62">
        <f t="shared" si="0"/>
        <v>849.5332783303204</v>
      </c>
      <c r="S61" s="62">
        <f ca="1">AVERAGE(OFFSET($R$3,0,0,'Données projet'!$E$9+1,1))-AVERAGE(OFFSET($H$3,0,0,'Données projet'!$E$9+1,1))</f>
        <v>302.20483575440988</v>
      </c>
      <c r="T61" s="62">
        <f t="shared" si="34"/>
        <v>275.32862097158687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10.246023678655858</v>
      </c>
      <c r="AB61" s="23">
        <f>EXP(-LN(2)/2)*AB60+(1-EXP(-LN(2)/2))/(LN(2)/2)*V61*Y61*VLOOKUP('Données projet'!$B$9,Paramètres!$A$1:$I$89,3,0)*0.475*44/12</f>
        <v>6.7186163584504876E-4</v>
      </c>
      <c r="AC61" s="24">
        <f t="shared" si="3"/>
        <v>10.246695540291704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230.00015999999997</v>
      </c>
      <c r="AK61" s="14">
        <f t="shared" si="35"/>
        <v>56.282716126880423</v>
      </c>
      <c r="AL61" s="22">
        <f t="shared" si="4"/>
        <v>498.60934258765002</v>
      </c>
      <c r="AM61" s="62">
        <f t="shared" si="5"/>
        <v>791.94267592098333</v>
      </c>
      <c r="AN61" s="62">
        <f ca="1">AVERAGE(OFFSET($AM$3,0,0,'Données projet'!$E$10+1,1))-AVERAGE(OFFSET($H$3,0,0,'Données projet'!$E$10+1,1))</f>
        <v>384.44848355636935</v>
      </c>
      <c r="AO61" s="62">
        <f t="shared" si="36"/>
        <v>203.5274665601915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257.75880000000001</v>
      </c>
      <c r="BF61" s="14">
        <f t="shared" si="37"/>
        <v>62.244404241627407</v>
      </c>
      <c r="BG61" s="22">
        <f t="shared" si="7"/>
        <v>557.33891405416773</v>
      </c>
      <c r="BH61" s="62">
        <f t="shared" si="8"/>
        <v>850.6722473875011</v>
      </c>
      <c r="BI61" s="62">
        <f ca="1">AVERAGE(OFFSET($BH$3,0,0,'Données projet'!$E$11+1,1))-AVERAGE(OFFSET($H$3,0,0,'Données projet'!$E$11+1,1))</f>
        <v>440.60698566758532</v>
      </c>
      <c r="BJ61" s="62">
        <f t="shared" si="38"/>
        <v>231.92898690465887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>
        <f>VLOOKUP(A61,'Données projet'!$A$113:$I$133,2,0)</f>
        <v>440</v>
      </c>
      <c r="BW61" s="13">
        <f>VLOOKUP(A61,'Données projet'!$A$113:$I$133,9,0)</f>
        <v>17.625</v>
      </c>
      <c r="BX61" s="13">
        <f t="array" ref="BX61">INDEX(BW:BW,MIN(IF(ISNUMBER(BW61:BW257),ROW(BW61:BW257),"")))</f>
        <v>17.625</v>
      </c>
      <c r="BY61" s="13">
        <f>IF('Données projet'!$A$114&gt;35,BY60+BX61-CG60,IF(A61&lt;'Données projet'!$A$114,$BV$205^A61,IF(A61='Données projet'!$A$114,'Données projet'!$B$114,BY60+BX61-CG60)))</f>
        <v>439.99999999999994</v>
      </c>
      <c r="BZ61" s="14">
        <f>BY61*VLOOKUP('Données projet'!$B$12,Paramètres!$A$1:$I$89,3,0)*VLOOKUP('Données projet'!$B$12,Paramètres!$A$1:$I$89,5,0)</f>
        <v>263.12</v>
      </c>
      <c r="CA61" s="14">
        <f t="shared" si="39"/>
        <v>63.386973458752003</v>
      </c>
      <c r="CB61" s="22">
        <f t="shared" si="10"/>
        <v>568.66631210732646</v>
      </c>
      <c r="CC61" s="62">
        <f t="shared" si="11"/>
        <v>861.99964544065983</v>
      </c>
      <c r="CD61" s="62">
        <f ca="1">AVERAGE(OFFSET($CC$3,0,0,'Données projet'!$E$12+1,1))-AVERAGE(OFFSET($H$3,0,0,'Données projet'!$E$12+1,1))</f>
        <v>287.29865338866551</v>
      </c>
      <c r="CE61" s="62">
        <f t="shared" si="40"/>
        <v>217.57508587672368</v>
      </c>
      <c r="CF61" s="16">
        <f>IF(ISNA(VLOOKUP(A61,'Données projet'!$A$113:$I$133,3,0)),0,VLOOKUP(A61,'Données projet'!$A$113:$I$133,3,0))</f>
        <v>8</v>
      </c>
      <c r="CG61" s="16">
        <f>IF(ISNA(VLOOKUP(A61,'Données projet'!$A$113:$I$133,4,0)),0,VLOOKUP(A61,'Données projet'!$A$113:$I$133,4,0))</f>
        <v>78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5.040132722787285</v>
      </c>
      <c r="CM61" s="23">
        <f>EXP(-LN(2)/2)*CM60+(1-EXP(-LN(2)/2))/(LN(2)/2)*CG61*CJ61*VLOOKUP('Données projet'!$B$12,Paramètres!$A$1:$I$89,3,0)*0.475*44/12</f>
        <v>7.8528961502072065E-4</v>
      </c>
      <c r="CN61" s="24">
        <f t="shared" si="12"/>
        <v>5.0409180124023054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9.75</v>
      </c>
      <c r="CT61" s="13">
        <f>IF('Données projet'!$A$140&gt;35,CT60+CS61-DB60,IF(A61&lt;'Données projet'!$A$140,$CQ$205^A61,IF(A61='Données projet'!$A$140,'Données projet'!$B$140,CT60+CS61-DB60)))</f>
        <v>284.5</v>
      </c>
      <c r="CU61" s="18">
        <f>CT61*VLOOKUP('Données projet'!$B$13,Paramètres!$A$1:$I$89,3,0)*VLOOKUP('Données projet'!$B$13,Paramètres!$A$1:$I$89,5,0)</f>
        <v>177.52800000000002</v>
      </c>
      <c r="CV61" s="14">
        <f t="shared" si="41"/>
        <v>44.771769863863661</v>
      </c>
      <c r="CW61" s="22">
        <f t="shared" si="13"/>
        <v>387.17209917956257</v>
      </c>
      <c r="CX61" s="62">
        <f t="shared" si="14"/>
        <v>680.50543251289582</v>
      </c>
      <c r="CY61" s="62">
        <f ca="1">AVERAGE(OFFSET($CX$3,0,0,'Données projet'!$E$13+1,1))-AVERAGE(OFFSET($H$3,0,0,'Données projet'!$E$13+1,1))</f>
        <v>175.05987582828078</v>
      </c>
      <c r="CZ61" s="62">
        <f t="shared" si="42"/>
        <v>268.54782308462387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4.1779661325628821</v>
      </c>
      <c r="DH61" s="23">
        <f>EXP(-LN(2)/2)*DH60+(1-EXP(-LN(2)/2))/(LN(2)/2)*DB61*DE61*VLOOKUP('Données projet'!$B$13,Paramètres!$A$1:$I$89,3,0)*0.475*44/12</f>
        <v>7.7203139652637733E-4</v>
      </c>
      <c r="DI61" s="24">
        <f t="shared" si="15"/>
        <v>4.1787381639594088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>
        <f>VLOOKUP(A61,'Données projet'!$A$165:$I$185,2,0)</f>
        <v>372</v>
      </c>
      <c r="DM61" s="13">
        <f>VLOOKUP(A61,'Données projet'!$A$165:$I$185,9,0)</f>
        <v>12.25</v>
      </c>
      <c r="DN61" s="13">
        <f t="array" ref="DN61">INDEX(DM:DM,MIN(IF(ISNUMBER(DM61:DM257),ROW(DM61:DM257),"")))</f>
        <v>12.25</v>
      </c>
      <c r="DO61" s="13">
        <f>IF('Données projet'!$A$166&gt;35,DO60+DN61-DW60,IF(A61&lt;'Données projet'!$A$166,$DL$205^A61,IF(A61='Données projet'!$A$166,'Données projet'!$B$166,DO60+DN61-DW60)))</f>
        <v>371.99999999999994</v>
      </c>
      <c r="DP61" s="18">
        <f>DO61*VLOOKUP('Données projet'!$B$14,Paramètres!$A$1:$I$89,3,0)*VLOOKUP('Données projet'!$B$14,Paramètres!$A$1:$I$89,5,0)</f>
        <v>212.78399999999999</v>
      </c>
      <c r="DQ61" s="14">
        <f t="shared" si="43"/>
        <v>52.543492641808065</v>
      </c>
      <c r="DR61" s="22">
        <f t="shared" si="16"/>
        <v>462.11204968448237</v>
      </c>
      <c r="DS61" s="62">
        <f t="shared" si="17"/>
        <v>755.44538301781563</v>
      </c>
      <c r="DT61" s="62">
        <f ca="1">AVERAGE(OFFSET($DS$3,0,0,'Données projet'!$E$14+1,1))-AVERAGE(OFFSET($H$3,0,0,'Données projet'!$E$14+1,1))</f>
        <v>228.06050741667258</v>
      </c>
      <c r="DU61" s="62">
        <f t="shared" si="44"/>
        <v>191.94885821983536</v>
      </c>
      <c r="DV61" s="16">
        <f>IF(ISNA(VLOOKUP(A61,'Données projet'!$A$165:$I$185,3,0)),0,VLOOKUP(A61,'Données projet'!$A$165:$I$185,3,0))</f>
        <v>7</v>
      </c>
      <c r="DW61" s="16">
        <f>IF(ISNA(VLOOKUP(A61,'Données projet'!$A$165:$I$185,4,0)),0,VLOOKUP(A61,'Données projet'!$A$165:$I$185,4,0))</f>
        <v>48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8.6510444743788959</v>
      </c>
      <c r="EC61" s="23">
        <f>EXP(-LN(2)/2)*EC60+(1-EXP(-LN(2)/2))/(LN(2)/2)*DW61*DZ61*VLOOKUP('Données projet'!$B$14,Paramètres!$A$1:$I$89,3,0)*0.475*44/12</f>
        <v>6.263273299978501E-3</v>
      </c>
      <c r="ED61" s="24">
        <f t="shared" si="18"/>
        <v>8.6573077476788747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-5.6843418860808015E-14</v>
      </c>
      <c r="EK61" s="18">
        <f>EJ61*VLOOKUP('Données projet'!$B$15,Paramètres!$A$1:$I$89,3,0)*VLOOKUP('Données projet'!$B$15,Paramètres!$A$1:$I$89,5,0)</f>
        <v>-5.1431925385259088E-14</v>
      </c>
      <c r="EL61" s="14" t="e">
        <f t="shared" si="45"/>
        <v>#NUM!</v>
      </c>
      <c r="EM61" s="22" t="e">
        <f t="shared" si="19"/>
        <v>#NUM!</v>
      </c>
      <c r="EN61" s="62" t="e">
        <f t="shared" si="20"/>
        <v>#NUM!</v>
      </c>
      <c r="EO61" s="62">
        <f ca="1">AVERAGE(OFFSET($EN$3,0,0,'Données projet'!$E$15+1,1))-AVERAGE(OFFSET($H$3,0,0,'Données projet'!$E$15+1,1))</f>
        <v>315.23521260143986</v>
      </c>
      <c r="EP61" s="62">
        <f t="shared" si="46"/>
        <v>439.11021845472641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15.571428571428571</v>
      </c>
      <c r="N62" s="14">
        <f>IF('Données projet'!$A$36&gt;35,N61+M62-V61,IF(A62&lt;'Données projet'!$A$36,$K$205^A62,IF(A62='Données projet'!$A$36,'Données projet'!$B$36,N61+M62-V61)))</f>
        <v>475.71428571428544</v>
      </c>
      <c r="O62" s="14">
        <f>N62*VLOOKUP('Données projet'!$B$9,Paramètres!$A$1:$I$89,3,0)*VLOOKUP('Données projet'!$B$9,Paramètres!$A$1:$I$89,5,0)</f>
        <v>265.92428571428559</v>
      </c>
      <c r="P62" s="14">
        <f t="shared" si="33"/>
        <v>63.983535636381461</v>
      </c>
      <c r="Q62" s="22">
        <f t="shared" si="53"/>
        <v>574.58945551907846</v>
      </c>
      <c r="R62" s="62">
        <f t="shared" si="0"/>
        <v>867.92278885241171</v>
      </c>
      <c r="S62" s="62">
        <f ca="1">AVERAGE(OFFSET($R$3,0,0,'Données projet'!$E$9+1,1))-AVERAGE(OFFSET($H$3,0,0,'Données projet'!$E$9+1,1))</f>
        <v>302.20483575440988</v>
      </c>
      <c r="T62" s="62">
        <f t="shared" si="34"/>
        <v>275.32862097158687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9.9658456223480449</v>
      </c>
      <c r="AB62" s="23">
        <f>EXP(-LN(2)/2)*AB61+(1-EXP(-LN(2)/2))/(LN(2)/2)*V62*Y62*VLOOKUP('Données projet'!$B$9,Paramètres!$A$1:$I$89,3,0)*0.475*44/12</f>
        <v>4.7507791872512079E-4</v>
      </c>
      <c r="AC62" s="24">
        <f t="shared" si="3"/>
        <v>9.9663207002667704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238.50527999999997</v>
      </c>
      <c r="AK62" s="14">
        <f t="shared" si="35"/>
        <v>58.117817352909881</v>
      </c>
      <c r="AL62" s="22">
        <f t="shared" si="4"/>
        <v>516.61856122298457</v>
      </c>
      <c r="AM62" s="62">
        <f t="shared" si="5"/>
        <v>809.95189455631794</v>
      </c>
      <c r="AN62" s="62">
        <f ca="1">AVERAGE(OFFSET($AM$3,0,0,'Données projet'!$E$10+1,1))-AVERAGE(OFFSET($H$3,0,0,'Données projet'!$E$10+1,1))</f>
        <v>384.44848355636935</v>
      </c>
      <c r="AO62" s="62">
        <f t="shared" si="36"/>
        <v>203.5274665601915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267.29039999999998</v>
      </c>
      <c r="BF62" s="14">
        <f t="shared" si="37"/>
        <v>64.273886654661325</v>
      </c>
      <c r="BG62" s="22">
        <f t="shared" si="7"/>
        <v>577.47446592353515</v>
      </c>
      <c r="BH62" s="62">
        <f t="shared" si="8"/>
        <v>870.80779925686852</v>
      </c>
      <c r="BI62" s="62">
        <f ca="1">AVERAGE(OFFSET($BH$3,0,0,'Données projet'!$E$11+1,1))-AVERAGE(OFFSET($H$3,0,0,'Données projet'!$E$11+1,1))</f>
        <v>440.60698566758532</v>
      </c>
      <c r="BJ62" s="62">
        <f t="shared" si="38"/>
        <v>231.92898690465887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16.625</v>
      </c>
      <c r="BY62" s="13">
        <f>IF('Données projet'!$A$114&gt;35,BY61+BX62-CG61,IF(A62&lt;'Données projet'!$A$114,$BV$205^A62,IF(A62='Données projet'!$A$114,'Données projet'!$B$114,BY61+BX62-CG61)))</f>
        <v>378.62499999999994</v>
      </c>
      <c r="BZ62" s="14">
        <f>BY62*VLOOKUP('Données projet'!$B$12,Paramètres!$A$1:$I$89,3,0)*VLOOKUP('Données projet'!$B$12,Paramètres!$A$1:$I$89,5,0)</f>
        <v>226.41774999999998</v>
      </c>
      <c r="CA62" s="14">
        <f t="shared" si="39"/>
        <v>55.507409107649494</v>
      </c>
      <c r="CB62" s="22">
        <f t="shared" si="10"/>
        <v>491.0196521124895</v>
      </c>
      <c r="CC62" s="62">
        <f t="shared" si="11"/>
        <v>784.35298544582281</v>
      </c>
      <c r="CD62" s="62">
        <f ca="1">AVERAGE(OFFSET($CC$3,0,0,'Données projet'!$E$12+1,1))-AVERAGE(OFFSET($H$3,0,0,'Données projet'!$E$12+1,1))</f>
        <v>287.29865338866551</v>
      </c>
      <c r="CE62" s="62">
        <f t="shared" si="40"/>
        <v>217.57508587672368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4.9023100284336065</v>
      </c>
      <c r="CM62" s="23">
        <f>EXP(-LN(2)/2)*CM61+(1-EXP(-LN(2)/2))/(LN(2)/2)*CG62*CJ62*VLOOKUP('Données projet'!$B$12,Paramètres!$A$1:$I$89,3,0)*0.475*44/12</f>
        <v>5.5528361197652485E-4</v>
      </c>
      <c r="CN62" s="24">
        <f t="shared" si="12"/>
        <v>4.9028653120455834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9.75</v>
      </c>
      <c r="CT62" s="13">
        <f>IF('Données projet'!$A$140&gt;35,CT61+CS62-DB61,IF(A62&lt;'Données projet'!$A$140,$CQ$205^A62,IF(A62='Données projet'!$A$140,'Données projet'!$B$140,CT61+CS62-DB61)))</f>
        <v>294.25</v>
      </c>
      <c r="CU62" s="18">
        <f>CT62*VLOOKUP('Données projet'!$B$13,Paramètres!$A$1:$I$89,3,0)*VLOOKUP('Données projet'!$B$13,Paramètres!$A$1:$I$89,5,0)</f>
        <v>183.61199999999999</v>
      </c>
      <c r="CV62" s="14">
        <f t="shared" si="41"/>
        <v>46.124858041839339</v>
      </c>
      <c r="CW62" s="22">
        <f t="shared" si="13"/>
        <v>400.12502775620351</v>
      </c>
      <c r="CX62" s="62">
        <f t="shared" si="14"/>
        <v>693.45836108953677</v>
      </c>
      <c r="CY62" s="62">
        <f ca="1">AVERAGE(OFFSET($CX$3,0,0,'Données projet'!$E$13+1,1))-AVERAGE(OFFSET($H$3,0,0,'Données projet'!$E$13+1,1))</f>
        <v>175.05987582828078</v>
      </c>
      <c r="CZ62" s="62">
        <f t="shared" si="42"/>
        <v>268.54782308462387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4.0637194289582599</v>
      </c>
      <c r="DH62" s="23">
        <f>EXP(-LN(2)/2)*DH61+(1-EXP(-LN(2)/2))/(LN(2)/2)*DB62*DE62*VLOOKUP('Données projet'!$B$13,Paramètres!$A$1:$I$89,3,0)*0.475*44/12</f>
        <v>5.459086357727218E-4</v>
      </c>
      <c r="DI62" s="24">
        <f t="shared" si="15"/>
        <v>4.0642653375940325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11.375</v>
      </c>
      <c r="DO62" s="13">
        <f>IF('Données projet'!$A$166&gt;35,DO61+DN62-DW61,IF(A62&lt;'Données projet'!$A$166,$DL$205^A62,IF(A62='Données projet'!$A$166,'Données projet'!$B$166,DO61+DN62-DW61)))</f>
        <v>335.37499999999994</v>
      </c>
      <c r="DP62" s="18">
        <f>DO62*VLOOKUP('Données projet'!$B$14,Paramètres!$A$1:$I$89,3,0)*VLOOKUP('Données projet'!$B$14,Paramètres!$A$1:$I$89,5,0)</f>
        <v>191.83449999999996</v>
      </c>
      <c r="DQ62" s="14">
        <f t="shared" si="43"/>
        <v>47.945307658140791</v>
      </c>
      <c r="DR62" s="22">
        <f t="shared" si="16"/>
        <v>417.61649833792848</v>
      </c>
      <c r="DS62" s="62">
        <f t="shared" si="17"/>
        <v>710.94983167126179</v>
      </c>
      <c r="DT62" s="62">
        <f ca="1">AVERAGE(OFFSET($DS$3,0,0,'Données projet'!$E$14+1,1))-AVERAGE(OFFSET($H$3,0,0,'Données projet'!$E$14+1,1))</f>
        <v>228.06050741667258</v>
      </c>
      <c r="DU62" s="62">
        <f t="shared" si="44"/>
        <v>191.94885821983536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8.4144812082883487</v>
      </c>
      <c r="EC62" s="23">
        <f>EXP(-LN(2)/2)*EC61+(1-EXP(-LN(2)/2))/(LN(2)/2)*DW62*DZ62*VLOOKUP('Données projet'!$B$14,Paramètres!$A$1:$I$89,3,0)*0.475*44/12</f>
        <v>4.4288030228394433E-3</v>
      </c>
      <c r="ED62" s="24">
        <f t="shared" si="18"/>
        <v>8.4189100113111888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-5.6843418860808015E-14</v>
      </c>
      <c r="EK62" s="18">
        <f>EJ62*VLOOKUP('Données projet'!$B$15,Paramètres!$A$1:$I$89,3,0)*VLOOKUP('Données projet'!$B$15,Paramètres!$A$1:$I$89,5,0)</f>
        <v>-5.1431925385259088E-14</v>
      </c>
      <c r="EL62" s="14" t="e">
        <f t="shared" si="45"/>
        <v>#NUM!</v>
      </c>
      <c r="EM62" s="22" t="e">
        <f t="shared" si="19"/>
        <v>#NUM!</v>
      </c>
      <c r="EN62" s="62" t="e">
        <f t="shared" si="20"/>
        <v>#NUM!</v>
      </c>
      <c r="EO62" s="62">
        <f ca="1">AVERAGE(OFFSET($EN$3,0,0,'Données projet'!$E$15+1,1))-AVERAGE(OFFSET($H$3,0,0,'Données projet'!$E$15+1,1))</f>
        <v>315.23521260143986</v>
      </c>
      <c r="EP62" s="62">
        <f t="shared" si="46"/>
        <v>439.11021845472641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15.571428571428571</v>
      </c>
      <c r="N63" s="14">
        <f>IF('Données projet'!$A$36&gt;35,N62+M63-V62,IF(A63&lt;'Données projet'!$A$36,$K$205^A63,IF(A63='Données projet'!$A$36,'Données projet'!$B$36,N62+M63-V62)))</f>
        <v>491.28571428571399</v>
      </c>
      <c r="O63" s="14">
        <f>N63*VLOOKUP('Données projet'!$B$9,Paramètres!$A$1:$I$89,3,0)*VLOOKUP('Données projet'!$B$9,Paramètres!$A$1:$I$89,5,0)</f>
        <v>274.62871428571412</v>
      </c>
      <c r="P63" s="14">
        <f t="shared" si="33"/>
        <v>65.830625361909483</v>
      </c>
      <c r="Q63" s="22">
        <f t="shared" si="53"/>
        <v>592.96668321961113</v>
      </c>
      <c r="R63" s="62">
        <f t="shared" si="0"/>
        <v>886.3000165529445</v>
      </c>
      <c r="S63" s="62">
        <f ca="1">AVERAGE(OFFSET($R$3,0,0,'Données projet'!$E$9+1,1))-AVERAGE(OFFSET($H$3,0,0,'Données projet'!$E$9+1,1))</f>
        <v>302.20483575440988</v>
      </c>
      <c r="T63" s="62">
        <f t="shared" si="34"/>
        <v>275.32862097158687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9.6933290497238929</v>
      </c>
      <c r="AB63" s="23">
        <f>EXP(-LN(2)/2)*AB62+(1-EXP(-LN(2)/2))/(LN(2)/2)*V63*Y63*VLOOKUP('Données projet'!$B$9,Paramètres!$A$1:$I$89,3,0)*0.475*44/12</f>
        <v>3.3593081792252443E-4</v>
      </c>
      <c r="AC63" s="24">
        <f t="shared" si="3"/>
        <v>9.6936649805418149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247.01039999999992</v>
      </c>
      <c r="AK63" s="14">
        <f t="shared" si="35"/>
        <v>59.945315462121812</v>
      </c>
      <c r="AL63" s="22">
        <f t="shared" si="4"/>
        <v>534.61453776319524</v>
      </c>
      <c r="AM63" s="62">
        <f t="shared" si="5"/>
        <v>827.94787109652862</v>
      </c>
      <c r="AN63" s="62">
        <f ca="1">AVERAGE(OFFSET($AM$3,0,0,'Données projet'!$E$10+1,1))-AVERAGE(OFFSET($H$3,0,0,'Données projet'!$E$10+1,1))</f>
        <v>384.44848355636935</v>
      </c>
      <c r="AO63" s="62">
        <f t="shared" si="36"/>
        <v>203.5274665601915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276.82199999999995</v>
      </c>
      <c r="BF63" s="14">
        <f t="shared" si="37"/>
        <v>66.29496059864374</v>
      </c>
      <c r="BG63" s="22">
        <f t="shared" si="7"/>
        <v>597.59537304263779</v>
      </c>
      <c r="BH63" s="62">
        <f t="shared" si="8"/>
        <v>890.92870637597116</v>
      </c>
      <c r="BI63" s="62">
        <f ca="1">AVERAGE(OFFSET($BH$3,0,0,'Données projet'!$E$11+1,1))-AVERAGE(OFFSET($H$3,0,0,'Données projet'!$E$11+1,1))</f>
        <v>440.60698566758532</v>
      </c>
      <c r="BJ63" s="62">
        <f t="shared" si="38"/>
        <v>231.92898690465887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16.625</v>
      </c>
      <c r="BY63" s="13">
        <f>IF('Données projet'!$A$114&gt;35,BY62+BX63-CG62,IF(A63&lt;'Données projet'!$A$114,$BV$205^A63,IF(A63='Données projet'!$A$114,'Données projet'!$B$114,BY62+BX63-CG62)))</f>
        <v>395.24999999999994</v>
      </c>
      <c r="BZ63" s="14">
        <f>BY63*VLOOKUP('Données projet'!$B$12,Paramètres!$A$1:$I$89,3,0)*VLOOKUP('Données projet'!$B$12,Paramètres!$A$1:$I$89,5,0)</f>
        <v>236.35949999999997</v>
      </c>
      <c r="CA63" s="14">
        <f t="shared" si="39"/>
        <v>57.655563749416167</v>
      </c>
      <c r="CB63" s="22">
        <f t="shared" si="10"/>
        <v>512.07623603023308</v>
      </c>
      <c r="CC63" s="62">
        <f t="shared" si="11"/>
        <v>805.40956936356633</v>
      </c>
      <c r="CD63" s="62">
        <f ca="1">AVERAGE(OFFSET($CC$3,0,0,'Données projet'!$E$12+1,1))-AVERAGE(OFFSET($H$3,0,0,'Données projet'!$E$12+1,1))</f>
        <v>287.29865338866551</v>
      </c>
      <c r="CE63" s="62">
        <f t="shared" si="40"/>
        <v>217.57508587672368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4.7682561029048092</v>
      </c>
      <c r="CM63" s="23">
        <f>EXP(-LN(2)/2)*CM62+(1-EXP(-LN(2)/2))/(LN(2)/2)*CG63*CJ63*VLOOKUP('Données projet'!$B$12,Paramètres!$A$1:$I$89,3,0)*0.475*44/12</f>
        <v>3.9264480751036033E-4</v>
      </c>
      <c r="CN63" s="24">
        <f t="shared" si="12"/>
        <v>4.7686487477123194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304</v>
      </c>
      <c r="CR63" s="13">
        <f>VLOOKUP(A63,'Données projet'!$A$139:$I$159,9,0)</f>
        <v>9.75</v>
      </c>
      <c r="CS63" s="13">
        <f t="array" ref="CS63">INDEX(CR:CR,MIN(IF(ISNUMBER(CR63:CR259),ROW(CR63:CR259),"")))</f>
        <v>9.75</v>
      </c>
      <c r="CT63" s="13">
        <f>IF('Données projet'!$A$140&gt;35,CT62+CS63-DB62,IF(A63&lt;'Données projet'!$A$140,$CQ$205^A63,IF(A63='Données projet'!$A$140,'Données projet'!$B$140,CT62+CS63-DB62)))</f>
        <v>304</v>
      </c>
      <c r="CU63" s="18">
        <f>CT63*VLOOKUP('Données projet'!$B$13,Paramètres!$A$1:$I$89,3,0)*VLOOKUP('Données projet'!$B$13,Paramètres!$A$1:$I$89,5,0)</f>
        <v>189.696</v>
      </c>
      <c r="CV63" s="14">
        <f t="shared" si="41"/>
        <v>47.472736505152469</v>
      </c>
      <c r="CW63" s="22">
        <f t="shared" si="13"/>
        <v>413.06888274647389</v>
      </c>
      <c r="CX63" s="62">
        <f t="shared" si="14"/>
        <v>706.4022160798072</v>
      </c>
      <c r="CY63" s="62">
        <f ca="1">AVERAGE(OFFSET($CX$3,0,0,'Données projet'!$E$13+1,1))-AVERAGE(OFFSET($H$3,0,0,'Données projet'!$E$13+1,1))</f>
        <v>175.05987582828078</v>
      </c>
      <c r="CZ63" s="62">
        <f t="shared" si="42"/>
        <v>268.54782308462387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304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3.9525968074716791</v>
      </c>
      <c r="DH63" s="23">
        <f>EXP(-LN(2)/2)*DH62+(1-EXP(-LN(2)/2))/(LN(2)/2)*DB63*DE63*VLOOKUP('Données projet'!$B$13,Paramètres!$A$1:$I$89,3,0)*0.475*44/12</f>
        <v>3.8601569826318867E-4</v>
      </c>
      <c r="DI63" s="24">
        <f t="shared" si="15"/>
        <v>3.9529828231699424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11.375</v>
      </c>
      <c r="DO63" s="13">
        <f>IF('Données projet'!$A$166&gt;35,DO62+DN63-DW62,IF(A63&lt;'Données projet'!$A$166,$DL$205^A63,IF(A63='Données projet'!$A$166,'Données projet'!$B$166,DO62+DN63-DW62)))</f>
        <v>346.74999999999994</v>
      </c>
      <c r="DP63" s="18">
        <f>DO63*VLOOKUP('Données projet'!$B$14,Paramètres!$A$1:$I$89,3,0)*VLOOKUP('Données projet'!$B$14,Paramètres!$A$1:$I$89,5,0)</f>
        <v>198.34099999999995</v>
      </c>
      <c r="DQ63" s="14">
        <f t="shared" si="43"/>
        <v>49.379393175979537</v>
      </c>
      <c r="DR63" s="22">
        <f t="shared" si="16"/>
        <v>431.44635144816431</v>
      </c>
      <c r="DS63" s="62">
        <f t="shared" si="17"/>
        <v>724.77968478149762</v>
      </c>
      <c r="DT63" s="62">
        <f ca="1">AVERAGE(OFFSET($DS$3,0,0,'Données projet'!$E$14+1,1))-AVERAGE(OFFSET($H$3,0,0,'Données projet'!$E$14+1,1))</f>
        <v>228.06050741667258</v>
      </c>
      <c r="DU63" s="62">
        <f t="shared" si="44"/>
        <v>191.94885821983536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8.1843867771493688</v>
      </c>
      <c r="EC63" s="23">
        <f>EXP(-LN(2)/2)*EC62+(1-EXP(-LN(2)/2))/(LN(2)/2)*DW63*DZ63*VLOOKUP('Données projet'!$B$14,Paramètres!$A$1:$I$89,3,0)*0.475*44/12</f>
        <v>3.1316366499892505E-3</v>
      </c>
      <c r="ED63" s="24">
        <f t="shared" si="18"/>
        <v>8.1875184137993582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-5.6843418860808015E-14</v>
      </c>
      <c r="EK63" s="18">
        <f>EJ63*VLOOKUP('Données projet'!$B$15,Paramètres!$A$1:$I$89,3,0)*VLOOKUP('Données projet'!$B$15,Paramètres!$A$1:$I$89,5,0)</f>
        <v>-5.1431925385259088E-14</v>
      </c>
      <c r="EL63" s="14" t="e">
        <f t="shared" si="45"/>
        <v>#NUM!</v>
      </c>
      <c r="EM63" s="22" t="e">
        <f t="shared" si="19"/>
        <v>#NUM!</v>
      </c>
      <c r="EN63" s="62" t="e">
        <f t="shared" si="20"/>
        <v>#NUM!</v>
      </c>
      <c r="EO63" s="62">
        <f ca="1">AVERAGE(OFFSET($EN$3,0,0,'Données projet'!$E$15+1,1))-AVERAGE(OFFSET($H$3,0,0,'Données projet'!$E$15+1,1))</f>
        <v>315.23521260143986</v>
      </c>
      <c r="EP63" s="62">
        <f t="shared" si="46"/>
        <v>439.11021845472641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15.571428571428571</v>
      </c>
      <c r="N64" s="14">
        <f>IF('Données projet'!$A$36&gt;35,N63+M64-V63,IF(A64&lt;'Données projet'!$A$36,$K$205^A64,IF(A64='Données projet'!$A$36,'Données projet'!$B$36,N63+M64-V63)))</f>
        <v>506.85714285714255</v>
      </c>
      <c r="O64" s="14">
        <f>N64*VLOOKUP('Données projet'!$B$9,Paramètres!$A$1:$I$89,3,0)*VLOOKUP('Données projet'!$B$9,Paramètres!$A$1:$I$89,5,0)</f>
        <v>283.33314285714266</v>
      </c>
      <c r="P64" s="14">
        <f t="shared" si="33"/>
        <v>67.670911918680105</v>
      </c>
      <c r="Q64" s="22">
        <f t="shared" si="53"/>
        <v>611.33206206789123</v>
      </c>
      <c r="R64" s="62">
        <f t="shared" si="0"/>
        <v>904.66539540122449</v>
      </c>
      <c r="S64" s="62">
        <f ca="1">AVERAGE(OFFSET($R$3,0,0,'Données projet'!$E$9+1,1))-AVERAGE(OFFSET($H$3,0,0,'Données projet'!$E$9+1,1))</f>
        <v>302.20483575440988</v>
      </c>
      <c r="T64" s="62">
        <f t="shared" si="34"/>
        <v>275.32862097158687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9.4282644571091723</v>
      </c>
      <c r="AB64" s="23">
        <f>EXP(-LN(2)/2)*AB63+(1-EXP(-LN(2)/2))/(LN(2)/2)*V64*Y64*VLOOKUP('Données projet'!$B$9,Paramètres!$A$1:$I$89,3,0)*0.475*44/12</f>
        <v>2.3753895936256045E-4</v>
      </c>
      <c r="AC64" s="24">
        <f t="shared" si="3"/>
        <v>9.428501996068535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281.79999999999995</v>
      </c>
      <c r="AJ64" s="14">
        <f>AI64*VLOOKUP('Données projet'!$B$10,Paramètres!$A$1:$I$89,3,0)*VLOOKUP('Données projet'!$B$10,Paramètres!$A$1:$I$89,5,0)</f>
        <v>254.97263999999996</v>
      </c>
      <c r="AK64" s="14">
        <f t="shared" si="35"/>
        <v>61.649533232533919</v>
      </c>
      <c r="AL64" s="22">
        <f t="shared" si="4"/>
        <v>551.45028504666311</v>
      </c>
      <c r="AM64" s="62">
        <f t="shared" si="5"/>
        <v>844.78361837999637</v>
      </c>
      <c r="AN64" s="62">
        <f ca="1">AVERAGE(OFFSET($AM$3,0,0,'Données projet'!$E$10+1,1))-AVERAGE(OFFSET($H$3,0,0,'Données projet'!$E$10+1,1))</f>
        <v>384.44848355636935</v>
      </c>
      <c r="AO64" s="62">
        <f t="shared" si="36"/>
        <v>203.5274665601915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281.79999999999995</v>
      </c>
      <c r="BE64" s="14">
        <f>BD64*VLOOKUP('Données projet'!$B$11,Paramètres!$A$1:$I$89,3,0)*VLOOKUP('Données projet'!$B$11,Paramètres!$A$1:$I$89,5,0)</f>
        <v>285.74520000000001</v>
      </c>
      <c r="BF64" s="14">
        <f t="shared" si="37"/>
        <v>68.179695862275295</v>
      </c>
      <c r="BG64" s="22">
        <f t="shared" si="7"/>
        <v>616.41919362679607</v>
      </c>
      <c r="BH64" s="62">
        <f t="shared" si="8"/>
        <v>909.75252696012944</v>
      </c>
      <c r="BI64" s="62">
        <f ca="1">AVERAGE(OFFSET($BH$3,0,0,'Données projet'!$E$11+1,1))-AVERAGE(OFFSET($H$3,0,0,'Données projet'!$E$11+1,1))</f>
        <v>440.60698566758532</v>
      </c>
      <c r="BJ64" s="62">
        <f t="shared" si="38"/>
        <v>231.92898690465887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16.625</v>
      </c>
      <c r="BY64" s="13">
        <f>IF('Données projet'!$A$114&gt;35,BY63+BX64-CG63,IF(A64&lt;'Données projet'!$A$114,$BV$205^A64,IF(A64='Données projet'!$A$114,'Données projet'!$B$114,BY63+BX64-CG63)))</f>
        <v>411.87499999999994</v>
      </c>
      <c r="BZ64" s="14">
        <f>BY64*VLOOKUP('Données projet'!$B$12,Paramètres!$A$1:$I$89,3,0)*VLOOKUP('Données projet'!$B$12,Paramètres!$A$1:$I$89,5,0)</f>
        <v>246.30124999999998</v>
      </c>
      <c r="CA64" s="14">
        <f t="shared" si="39"/>
        <v>59.793223430016852</v>
      </c>
      <c r="CB64" s="22">
        <f t="shared" si="10"/>
        <v>533.11454122394582</v>
      </c>
      <c r="CC64" s="62">
        <f t="shared" si="11"/>
        <v>826.44787455727919</v>
      </c>
      <c r="CD64" s="62">
        <f ca="1">AVERAGE(OFFSET($CC$3,0,0,'Données projet'!$E$12+1,1))-AVERAGE(OFFSET($H$3,0,0,'Données projet'!$E$12+1,1))</f>
        <v>287.29865338866551</v>
      </c>
      <c r="CE64" s="62">
        <f t="shared" si="40"/>
        <v>217.57508587672368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4.6378678890191871</v>
      </c>
      <c r="CM64" s="23">
        <f>EXP(-LN(2)/2)*CM63+(1-EXP(-LN(2)/2))/(LN(2)/2)*CG64*CJ64*VLOOKUP('Données projet'!$B$12,Paramètres!$A$1:$I$89,3,0)*0.475*44/12</f>
        <v>2.7764180598826243E-4</v>
      </c>
      <c r="CN64" s="24">
        <f t="shared" si="12"/>
        <v>4.6381455308251756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>
        <f>CT64*VLOOKUP('Données projet'!$B$13,Paramètres!$A$1:$I$89,3,0)*VLOOKUP('Données projet'!$B$13,Paramètres!$A$1:$I$89,5,0)</f>
        <v>0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175.05987582828078</v>
      </c>
      <c r="CZ64" s="62">
        <f t="shared" si="42"/>
        <v>268.54782308462387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3.8445128399133335</v>
      </c>
      <c r="DH64" s="23">
        <f>EXP(-LN(2)/2)*DH63+(1-EXP(-LN(2)/2))/(LN(2)/2)*DB64*DE64*VLOOKUP('Données projet'!$B$13,Paramètres!$A$1:$I$89,3,0)*0.475*44/12</f>
        <v>2.729543178863609E-4</v>
      </c>
      <c r="DI64" s="24">
        <f t="shared" si="15"/>
        <v>3.8447857942312198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11.375</v>
      </c>
      <c r="DO64" s="13">
        <f>IF('Données projet'!$A$166&gt;35,DO63+DN64-DW63,IF(A64&lt;'Données projet'!$A$166,$DL$205^A64,IF(A64='Données projet'!$A$166,'Données projet'!$B$166,DO63+DN64-DW63)))</f>
        <v>358.12499999999994</v>
      </c>
      <c r="DP64" s="18">
        <f>DO64*VLOOKUP('Données projet'!$B$14,Paramètres!$A$1:$I$89,3,0)*VLOOKUP('Données projet'!$B$14,Paramètres!$A$1:$I$89,5,0)</f>
        <v>204.8475</v>
      </c>
      <c r="DQ64" s="14">
        <f t="shared" si="43"/>
        <v>50.808012105592304</v>
      </c>
      <c r="DR64" s="22">
        <f t="shared" si="16"/>
        <v>445.26668358390657</v>
      </c>
      <c r="DS64" s="62">
        <f t="shared" si="17"/>
        <v>738.60001691723983</v>
      </c>
      <c r="DT64" s="62">
        <f ca="1">AVERAGE(OFFSET($DS$3,0,0,'Données projet'!$E$14+1,1))-AVERAGE(OFFSET($H$3,0,0,'Données projet'!$E$14+1,1))</f>
        <v>228.06050741667258</v>
      </c>
      <c r="DU64" s="62">
        <f t="shared" si="44"/>
        <v>191.94885821983536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7.9605842903300248</v>
      </c>
      <c r="EC64" s="23">
        <f>EXP(-LN(2)/2)*EC63+(1-EXP(-LN(2)/2))/(LN(2)/2)*DW64*DZ64*VLOOKUP('Données projet'!$B$14,Paramètres!$A$1:$I$89,3,0)*0.475*44/12</f>
        <v>2.2144015114197216E-3</v>
      </c>
      <c r="ED64" s="24">
        <f t="shared" si="18"/>
        <v>7.9627986918414448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-5.6843418860808015E-14</v>
      </c>
      <c r="EK64" s="18">
        <f>EJ64*VLOOKUP('Données projet'!$B$15,Paramètres!$A$1:$I$89,3,0)*VLOOKUP('Données projet'!$B$15,Paramètres!$A$1:$I$89,5,0)</f>
        <v>-5.1431925385259088E-14</v>
      </c>
      <c r="EL64" s="14" t="e">
        <f t="shared" si="45"/>
        <v>#NUM!</v>
      </c>
      <c r="EM64" s="22" t="e">
        <f t="shared" si="19"/>
        <v>#NUM!</v>
      </c>
      <c r="EN64" s="62" t="e">
        <f t="shared" si="20"/>
        <v>#NUM!</v>
      </c>
      <c r="EO64" s="62">
        <f ca="1">AVERAGE(OFFSET($EN$3,0,0,'Données projet'!$E$15+1,1))-AVERAGE(OFFSET($H$3,0,0,'Données projet'!$E$15+1,1))</f>
        <v>315.23521260143986</v>
      </c>
      <c r="EP64" s="62">
        <f t="shared" si="46"/>
        <v>439.11021845472641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15.571428571428571</v>
      </c>
      <c r="N65" s="14">
        <f>IF('Données projet'!$A$36&gt;35,N64+M65-V64,IF(A65&lt;'Données projet'!$A$36,$K$205^A65,IF(A65='Données projet'!$A$36,'Données projet'!$B$36,N64+M65-V64)))</f>
        <v>522.4285714285711</v>
      </c>
      <c r="O65" s="14">
        <f>N65*VLOOKUP('Données projet'!$B$9,Paramètres!$A$1:$I$89,3,0)*VLOOKUP('Données projet'!$B$9,Paramètres!$A$1:$I$89,5,0)</f>
        <v>292.03757142857125</v>
      </c>
      <c r="P65" s="14">
        <f t="shared" si="33"/>
        <v>69.504628296156</v>
      </c>
      <c r="Q65" s="22">
        <f t="shared" si="53"/>
        <v>629.68599785389995</v>
      </c>
      <c r="R65" s="62">
        <f t="shared" si="0"/>
        <v>923.01933118723332</v>
      </c>
      <c r="S65" s="62">
        <f ca="1">AVERAGE(OFFSET($R$3,0,0,'Données projet'!$E$9+1,1))-AVERAGE(OFFSET($H$3,0,0,'Données projet'!$E$9+1,1))</f>
        <v>302.20483575440988</v>
      </c>
      <c r="T65" s="62">
        <f t="shared" si="34"/>
        <v>275.32862097158687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9.1704480697186419</v>
      </c>
      <c r="AB65" s="23">
        <f>EXP(-LN(2)/2)*AB64+(1-EXP(-LN(2)/2))/(LN(2)/2)*V65*Y65*VLOOKUP('Données projet'!$B$9,Paramètres!$A$1:$I$89,3,0)*0.475*44/12</f>
        <v>1.6796540896126224E-4</v>
      </c>
      <c r="AC65" s="24">
        <f t="shared" si="3"/>
        <v>9.1706160351276029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290.59999999999997</v>
      </c>
      <c r="AJ65" s="14">
        <f>AI65*VLOOKUP('Données projet'!$B$10,Paramètres!$A$1:$I$89,3,0)*VLOOKUP('Données projet'!$B$10,Paramètres!$A$1:$I$89,5,0)</f>
        <v>262.93487999999996</v>
      </c>
      <c r="AK65" s="14">
        <f t="shared" si="35"/>
        <v>63.347566493432765</v>
      </c>
      <c r="AL65" s="22">
        <f t="shared" si="4"/>
        <v>568.27526097606199</v>
      </c>
      <c r="AM65" s="62">
        <f t="shared" si="5"/>
        <v>861.60859430939536</v>
      </c>
      <c r="AN65" s="62">
        <f ca="1">AVERAGE(OFFSET($AM$3,0,0,'Données projet'!$E$10+1,1))-AVERAGE(OFFSET($H$3,0,0,'Données projet'!$E$10+1,1))</f>
        <v>384.44848355636935</v>
      </c>
      <c r="AO65" s="62">
        <f t="shared" si="36"/>
        <v>203.5274665601915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290.59999999999997</v>
      </c>
      <c r="BE65" s="14">
        <f>BD65*VLOOKUP('Données projet'!$B$11,Paramètres!$A$1:$I$89,3,0)*VLOOKUP('Données projet'!$B$11,Paramètres!$A$1:$I$89,5,0)</f>
        <v>294.66839999999996</v>
      </c>
      <c r="BF65" s="14">
        <f t="shared" si="37"/>
        <v>70.057591528661547</v>
      </c>
      <c r="BG65" s="22">
        <f t="shared" si="7"/>
        <v>635.23110191241869</v>
      </c>
      <c r="BH65" s="62">
        <f t="shared" si="8"/>
        <v>928.56443524575207</v>
      </c>
      <c r="BI65" s="62">
        <f ca="1">AVERAGE(OFFSET($BH$3,0,0,'Données projet'!$E$11+1,1))-AVERAGE(OFFSET($H$3,0,0,'Données projet'!$E$11+1,1))</f>
        <v>440.60698566758532</v>
      </c>
      <c r="BJ65" s="62">
        <f t="shared" si="38"/>
        <v>231.92898690465887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16.625</v>
      </c>
      <c r="BY65" s="13">
        <f>IF('Données projet'!$A$114&gt;35,BY64+BX65-CG64,IF(A65&lt;'Données projet'!$A$114,$BV$205^A65,IF(A65='Données projet'!$A$114,'Données projet'!$B$114,BY64+BX65-CG64)))</f>
        <v>428.49999999999994</v>
      </c>
      <c r="BZ65" s="14">
        <f>BY65*VLOOKUP('Données projet'!$B$12,Paramètres!$A$1:$I$89,3,0)*VLOOKUP('Données projet'!$B$12,Paramètres!$A$1:$I$89,5,0)</f>
        <v>256.24299999999999</v>
      </c>
      <c r="CA65" s="14">
        <f t="shared" si="39"/>
        <v>61.920860231490025</v>
      </c>
      <c r="CB65" s="22">
        <f t="shared" si="10"/>
        <v>554.13538990317852</v>
      </c>
      <c r="CC65" s="62">
        <f t="shared" si="11"/>
        <v>847.46872323651178</v>
      </c>
      <c r="CD65" s="62">
        <f ca="1">AVERAGE(OFFSET($CC$3,0,0,'Données projet'!$E$12+1,1))-AVERAGE(OFFSET($H$3,0,0,'Données projet'!$E$12+1,1))</f>
        <v>287.29865338866551</v>
      </c>
      <c r="CE65" s="62">
        <f t="shared" si="40"/>
        <v>217.57508587672368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4.5110451476990852</v>
      </c>
      <c r="CM65" s="23">
        <f>EXP(-LN(2)/2)*CM64+(1-EXP(-LN(2)/2))/(LN(2)/2)*CG65*CJ65*VLOOKUP('Données projet'!$B$12,Paramètres!$A$1:$I$89,3,0)*0.475*44/12</f>
        <v>1.9632240375518016E-4</v>
      </c>
      <c r="CN65" s="24">
        <f t="shared" si="12"/>
        <v>4.5112414701028403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>
        <f>CT65*VLOOKUP('Données projet'!$B$13,Paramètres!$A$1:$I$89,3,0)*VLOOKUP('Données projet'!$B$13,Paramètres!$A$1:$I$89,5,0)</f>
        <v>0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175.05987582828078</v>
      </c>
      <c r="CZ65" s="62">
        <f t="shared" si="42"/>
        <v>268.54782308462387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3.7393844341317597</v>
      </c>
      <c r="DH65" s="23">
        <f>EXP(-LN(2)/2)*DH64+(1-EXP(-LN(2)/2))/(LN(2)/2)*DB65*DE65*VLOOKUP('Données projet'!$B$13,Paramètres!$A$1:$I$89,3,0)*0.475*44/12</f>
        <v>1.9300784913159433E-4</v>
      </c>
      <c r="DI65" s="24">
        <f t="shared" si="15"/>
        <v>3.7395774419808911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11.375</v>
      </c>
      <c r="DO65" s="13">
        <f>IF('Données projet'!$A$166&gt;35,DO64+DN65-DW64,IF(A65&lt;'Données projet'!$A$166,$DL$205^A65,IF(A65='Données projet'!$A$166,'Données projet'!$B$166,DO64+DN65-DW64)))</f>
        <v>369.49999999999994</v>
      </c>
      <c r="DP65" s="18">
        <f>DO65*VLOOKUP('Données projet'!$B$14,Paramètres!$A$1:$I$89,3,0)*VLOOKUP('Données projet'!$B$14,Paramètres!$A$1:$I$89,5,0)</f>
        <v>211.35399999999998</v>
      </c>
      <c r="DQ65" s="14">
        <f t="shared" si="43"/>
        <v>52.23135799939994</v>
      </c>
      <c r="DR65" s="22">
        <f t="shared" si="16"/>
        <v>459.07783184895493</v>
      </c>
      <c r="DS65" s="62">
        <f t="shared" si="17"/>
        <v>752.41116518228819</v>
      </c>
      <c r="DT65" s="62">
        <f ca="1">AVERAGE(OFFSET($DS$3,0,0,'Données projet'!$E$14+1,1))-AVERAGE(OFFSET($H$3,0,0,'Données projet'!$E$14+1,1))</f>
        <v>228.06050741667258</v>
      </c>
      <c r="DU65" s="62">
        <f t="shared" si="44"/>
        <v>191.94885821983536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7.7429016942820166</v>
      </c>
      <c r="EC65" s="23">
        <f>EXP(-LN(2)/2)*EC64+(1-EXP(-LN(2)/2))/(LN(2)/2)*DW65*DZ65*VLOOKUP('Données projet'!$B$14,Paramètres!$A$1:$I$89,3,0)*0.475*44/12</f>
        <v>1.5658183249946252E-3</v>
      </c>
      <c r="ED65" s="24">
        <f t="shared" si="18"/>
        <v>7.7444675126070113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-5.6843418860808015E-14</v>
      </c>
      <c r="EK65" s="18">
        <f>EJ65*VLOOKUP('Données projet'!$B$15,Paramètres!$A$1:$I$89,3,0)*VLOOKUP('Données projet'!$B$15,Paramètres!$A$1:$I$89,5,0)</f>
        <v>-5.1431925385259088E-14</v>
      </c>
      <c r="EL65" s="14" t="e">
        <f t="shared" si="45"/>
        <v>#NUM!</v>
      </c>
      <c r="EM65" s="22" t="e">
        <f t="shared" si="19"/>
        <v>#NUM!</v>
      </c>
      <c r="EN65" s="62" t="e">
        <f t="shared" si="20"/>
        <v>#NUM!</v>
      </c>
      <c r="EO65" s="62">
        <f ca="1">AVERAGE(OFFSET($EN$3,0,0,'Données projet'!$E$15+1,1))-AVERAGE(OFFSET($H$3,0,0,'Données projet'!$E$15+1,1))</f>
        <v>315.23521260143986</v>
      </c>
      <c r="EP65" s="62">
        <f t="shared" si="46"/>
        <v>439.11021845472641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538</v>
      </c>
      <c r="L66" s="13">
        <f>VLOOKUP(A66,'Données projet'!$A$35:$I$55,9,0)</f>
        <v>15.571428571428571</v>
      </c>
      <c r="M66" s="13">
        <f t="array" ref="M66">INDEX(L:L,MIN(IF(ISNUMBER(L66:L262),ROW(L66:L262),"")))</f>
        <v>15.571428571428571</v>
      </c>
      <c r="N66" s="14">
        <f>IF('Données projet'!$A$36&gt;35,N65+M66-V65,IF(A66&lt;'Données projet'!$A$36,$K$205^A66,IF(A66='Données projet'!$A$36,'Données projet'!$B$36,N65+M66-V65)))</f>
        <v>537.99999999999966</v>
      </c>
      <c r="O66" s="14">
        <f>N66*VLOOKUP('Données projet'!$B$9,Paramètres!$A$1:$I$89,3,0)*VLOOKUP('Données projet'!$B$9,Paramètres!$A$1:$I$89,5,0)</f>
        <v>300.74199999999985</v>
      </c>
      <c r="P66" s="14">
        <f t="shared" si="33"/>
        <v>71.331992805448763</v>
      </c>
      <c r="Q66" s="22">
        <f t="shared" si="53"/>
        <v>648.02887080282289</v>
      </c>
      <c r="R66" s="62">
        <f t="shared" si="0"/>
        <v>941.36220413615615</v>
      </c>
      <c r="S66" s="62">
        <f ca="1">AVERAGE(OFFSET($R$3,0,0,'Données projet'!$E$9+1,1))-AVERAGE(OFFSET($H$3,0,0,'Données projet'!$E$9+1,1))</f>
        <v>302.20483575440988</v>
      </c>
      <c r="T66" s="62">
        <f t="shared" si="34"/>
        <v>275.32862097158687</v>
      </c>
      <c r="U66" s="16">
        <f>IF(ISNA(VLOOKUP(A66,'Données projet'!$A$35:$I$55,3,0)),0,VLOOKUP(A66,'Données projet'!$A$35:$I$55,3,0))</f>
        <v>7</v>
      </c>
      <c r="V66" s="16">
        <f>IF(ISNA(VLOOKUP(A66,'Données projet'!$A$35:$I$55,4,0)),0,VLOOKUP(A66,'Données projet'!$A$35:$I$55,4,0))</f>
        <v>84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8.919681684999281</v>
      </c>
      <c r="AB66" s="23">
        <f>EXP(-LN(2)/2)*AB65+(1-EXP(-LN(2)/2))/(LN(2)/2)*V66*Y66*VLOOKUP('Données projet'!$B$9,Paramètres!$A$1:$I$89,3,0)*0.475*44/12</f>
        <v>1.1876947968128024E-4</v>
      </c>
      <c r="AC66" s="24">
        <f t="shared" si="3"/>
        <v>8.9198004544789615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299.39999999999998</v>
      </c>
      <c r="AJ66" s="14">
        <f>AI66*VLOOKUP('Données projet'!$B$10,Paramètres!$A$1:$I$89,3,0)*VLOOKUP('Données projet'!$B$10,Paramètres!$A$1:$I$89,5,0)</f>
        <v>270.89711999999997</v>
      </c>
      <c r="AK66" s="14">
        <f t="shared" si="35"/>
        <v>65.039624021315475</v>
      </c>
      <c r="AL66" s="22">
        <f t="shared" si="4"/>
        <v>585.08982917045773</v>
      </c>
      <c r="AM66" s="62">
        <f t="shared" si="5"/>
        <v>878.42316250379099</v>
      </c>
      <c r="AN66" s="62">
        <f ca="1">AVERAGE(OFFSET($AM$3,0,0,'Données projet'!$E$10+1,1))-AVERAGE(OFFSET($H$3,0,0,'Données projet'!$E$10+1,1))</f>
        <v>384.44848355636935</v>
      </c>
      <c r="AO66" s="62">
        <f t="shared" si="36"/>
        <v>203.5274665601915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299.39999999999998</v>
      </c>
      <c r="BE66" s="14">
        <f>BD66*VLOOKUP('Données projet'!$B$11,Paramètres!$A$1:$I$89,3,0)*VLOOKUP('Données projet'!$B$11,Paramètres!$A$1:$I$89,5,0)</f>
        <v>303.59159999999997</v>
      </c>
      <c r="BF66" s="14">
        <f t="shared" si="37"/>
        <v>71.928878488732749</v>
      </c>
      <c r="BG66" s="22">
        <f t="shared" si="7"/>
        <v>654.03150003454277</v>
      </c>
      <c r="BH66" s="62">
        <f t="shared" si="8"/>
        <v>947.36483336787614</v>
      </c>
      <c r="BI66" s="62">
        <f ca="1">AVERAGE(OFFSET($BH$3,0,0,'Données projet'!$E$11+1,1))-AVERAGE(OFFSET($H$3,0,0,'Données projet'!$E$11+1,1))</f>
        <v>440.60698566758532</v>
      </c>
      <c r="BJ66" s="62">
        <f t="shared" si="38"/>
        <v>231.92898690465887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16.625</v>
      </c>
      <c r="BY66" s="13">
        <f>IF('Données projet'!$A$114&gt;35,BY65+BX66-CG65,IF(A66&lt;'Données projet'!$A$114,$BV$205^A66,IF(A66='Données projet'!$A$114,'Données projet'!$B$114,BY65+BX66-CG65)))</f>
        <v>445.12499999999994</v>
      </c>
      <c r="BZ66" s="14">
        <f>BY66*VLOOKUP('Données projet'!$B$12,Paramètres!$A$1:$I$89,3,0)*VLOOKUP('Données projet'!$B$12,Paramètres!$A$1:$I$89,5,0)</f>
        <v>266.18475000000001</v>
      </c>
      <c r="CA66" s="14">
        <f t="shared" si="39"/>
        <v>64.038907529798962</v>
      </c>
      <c r="CB66" s="22">
        <f t="shared" si="10"/>
        <v>575.13953686439993</v>
      </c>
      <c r="CC66" s="62">
        <f t="shared" si="11"/>
        <v>868.4728701977333</v>
      </c>
      <c r="CD66" s="62">
        <f ca="1">AVERAGE(OFFSET($CC$3,0,0,'Données projet'!$E$12+1,1))-AVERAGE(OFFSET($H$3,0,0,'Données projet'!$E$12+1,1))</f>
        <v>287.29865338866551</v>
      </c>
      <c r="CE66" s="62">
        <f t="shared" si="40"/>
        <v>217.57508587672368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4.3876903809096994</v>
      </c>
      <c r="CM66" s="23">
        <f>EXP(-LN(2)/2)*CM65+(1-EXP(-LN(2)/2))/(LN(2)/2)*CG66*CJ66*VLOOKUP('Données projet'!$B$12,Paramètres!$A$1:$I$89,3,0)*0.475*44/12</f>
        <v>1.3882090299413121E-4</v>
      </c>
      <c r="CN66" s="24">
        <f t="shared" si="12"/>
        <v>4.3878292018126936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>
        <f>CT66*VLOOKUP('Données projet'!$B$13,Paramètres!$A$1:$I$89,3,0)*VLOOKUP('Données projet'!$B$13,Paramètres!$A$1:$I$89,5,0)</f>
        <v>0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175.05987582828078</v>
      </c>
      <c r="CZ66" s="62">
        <f t="shared" si="42"/>
        <v>268.54782308462387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3.6371307701347457</v>
      </c>
      <c r="DH66" s="23">
        <f>EXP(-LN(2)/2)*DH65+(1-EXP(-LN(2)/2))/(LN(2)/2)*DB66*DE66*VLOOKUP('Données projet'!$B$13,Paramètres!$A$1:$I$89,3,0)*0.475*44/12</f>
        <v>1.3647715894318045E-4</v>
      </c>
      <c r="DI66" s="24">
        <f t="shared" si="15"/>
        <v>3.6372672472936891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11.375</v>
      </c>
      <c r="DO66" s="13">
        <f>IF('Données projet'!$A$166&gt;35,DO65+DN66-DW65,IF(A66&lt;'Données projet'!$A$166,$DL$205^A66,IF(A66='Données projet'!$A$166,'Données projet'!$B$166,DO65+DN66-DW65)))</f>
        <v>380.87499999999994</v>
      </c>
      <c r="DP66" s="18">
        <f>DO66*VLOOKUP('Données projet'!$B$14,Paramètres!$A$1:$I$89,3,0)*VLOOKUP('Données projet'!$B$14,Paramètres!$A$1:$I$89,5,0)</f>
        <v>217.86049999999997</v>
      </c>
      <c r="DQ66" s="14">
        <f t="shared" si="43"/>
        <v>53.64961181582801</v>
      </c>
      <c r="DR66" s="22">
        <f t="shared" si="16"/>
        <v>472.88011141256703</v>
      </c>
      <c r="DS66" s="62">
        <f t="shared" si="17"/>
        <v>766.21344474590035</v>
      </c>
      <c r="DT66" s="62">
        <f ca="1">AVERAGE(OFFSET($DS$3,0,0,'Données projet'!$E$14+1,1))-AVERAGE(OFFSET($H$3,0,0,'Données projet'!$E$14+1,1))</f>
        <v>228.06050741667258</v>
      </c>
      <c r="DU66" s="62">
        <f t="shared" si="44"/>
        <v>191.94885821983536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7.5311716402703714</v>
      </c>
      <c r="EC66" s="23">
        <f>EXP(-LN(2)/2)*EC65+(1-EXP(-LN(2)/2))/(LN(2)/2)*DW66*DZ66*VLOOKUP('Données projet'!$B$14,Paramètres!$A$1:$I$89,3,0)*0.475*44/12</f>
        <v>1.1072007557098608E-3</v>
      </c>
      <c r="ED66" s="24">
        <f t="shared" si="18"/>
        <v>7.5322788410260815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-5.6843418860808015E-14</v>
      </c>
      <c r="EK66" s="18">
        <f>EJ66*VLOOKUP('Données projet'!$B$15,Paramètres!$A$1:$I$89,3,0)*VLOOKUP('Données projet'!$B$15,Paramètres!$A$1:$I$89,5,0)</f>
        <v>-5.1431925385259088E-14</v>
      </c>
      <c r="EL66" s="14" t="e">
        <f t="shared" si="45"/>
        <v>#NUM!</v>
      </c>
      <c r="EM66" s="22" t="e">
        <f t="shared" si="19"/>
        <v>#NUM!</v>
      </c>
      <c r="EN66" s="62" t="e">
        <f t="shared" si="20"/>
        <v>#NUM!</v>
      </c>
      <c r="EO66" s="62">
        <f ca="1">AVERAGE(OFFSET($EN$3,0,0,'Données projet'!$E$15+1,1))-AVERAGE(OFFSET($H$3,0,0,'Données projet'!$E$15+1,1))</f>
        <v>315.23521260143986</v>
      </c>
      <c r="EP66" s="62">
        <f t="shared" si="46"/>
        <v>439.11021845472641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13.857142857142858</v>
      </c>
      <c r="N67" s="14">
        <f>IF('Données projet'!$A$36&gt;35,N66+M67-V66,IF(A67&lt;'Données projet'!$A$36,$K$205^A67,IF(A67='Données projet'!$A$36,'Données projet'!$B$36,N66+M67-V66)))</f>
        <v>467.85714285714255</v>
      </c>
      <c r="O67" s="14">
        <f>N67*VLOOKUP('Données projet'!$B$9,Paramètres!$A$1:$I$89,3,0)*VLOOKUP('Données projet'!$B$9,Paramètres!$A$1:$I$89,5,0)</f>
        <v>261.53214285714273</v>
      </c>
      <c r="P67" s="14">
        <f t="shared" si="33"/>
        <v>63.048857133846255</v>
      </c>
      <c r="Q67" s="22">
        <f t="shared" ref="Q67:Q98" si="54">(O67+P67)*0.475*44/12</f>
        <v>565.31190831763899</v>
      </c>
      <c r="R67" s="62">
        <f t="shared" ref="R67:R130" si="55">Q67+(I67+J67)*44/12</f>
        <v>858.64524165097237</v>
      </c>
      <c r="S67" s="62">
        <f ca="1">AVERAGE(OFFSET($R$3,0,0,'Données projet'!$E$9+1,1))-AVERAGE(OFFSET($H$3,0,0,'Données projet'!$E$9+1,1))</f>
        <v>302.20483575440988</v>
      </c>
      <c r="T67" s="62">
        <f t="shared" si="34"/>
        <v>275.32862097158687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8.6757725202573024</v>
      </c>
      <c r="AB67" s="23">
        <f>EXP(-LN(2)/2)*AB66+(1-EXP(-LN(2)/2))/(LN(2)/2)*V67*Y67*VLOOKUP('Données projet'!$B$9,Paramètres!$A$1:$I$89,3,0)*0.475*44/12</f>
        <v>8.3982704480631135E-5</v>
      </c>
      <c r="AC67" s="24">
        <f t="shared" si="3"/>
        <v>8.6758565029617838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308.2</v>
      </c>
      <c r="AJ67" s="14">
        <f>AI67*VLOOKUP('Données projet'!$B$10,Paramètres!$A$1:$I$89,3,0)*VLOOKUP('Données projet'!$B$10,Paramètres!$A$1:$I$89,5,0)</f>
        <v>278.85935999999998</v>
      </c>
      <c r="AK67" s="14">
        <f t="shared" si="35"/>
        <v>66.725901622172444</v>
      </c>
      <c r="AL67" s="22">
        <f t="shared" si="4"/>
        <v>601.89433065861692</v>
      </c>
      <c r="AM67" s="62">
        <f t="shared" si="5"/>
        <v>895.22766399195029</v>
      </c>
      <c r="AN67" s="62">
        <f ca="1">AVERAGE(OFFSET($AM$3,0,0,'Données projet'!$E$10+1,1))-AVERAGE(OFFSET($H$3,0,0,'Données projet'!$E$10+1,1))</f>
        <v>384.44848355636935</v>
      </c>
      <c r="AO67" s="62">
        <f t="shared" si="36"/>
        <v>203.5274665601915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308.2</v>
      </c>
      <c r="BE67" s="14">
        <f>BD67*VLOOKUP('Données projet'!$B$11,Paramètres!$A$1:$I$89,3,0)*VLOOKUP('Données projet'!$B$11,Paramètres!$A$1:$I$89,5,0)</f>
        <v>312.51480000000004</v>
      </c>
      <c r="BF67" s="14">
        <f t="shared" si="37"/>
        <v>73.793773289024969</v>
      </c>
      <c r="BG67" s="22">
        <f t="shared" si="7"/>
        <v>672.82076514505184</v>
      </c>
      <c r="BH67" s="62">
        <f t="shared" si="8"/>
        <v>966.15409847838509</v>
      </c>
      <c r="BI67" s="62">
        <f ca="1">AVERAGE(OFFSET($BH$3,0,0,'Données projet'!$E$11+1,1))-AVERAGE(OFFSET($H$3,0,0,'Données projet'!$E$11+1,1))</f>
        <v>440.60698566758532</v>
      </c>
      <c r="BJ67" s="62">
        <f t="shared" si="38"/>
        <v>231.92898690465887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16.625</v>
      </c>
      <c r="BY67" s="13">
        <f>IF('Données projet'!$A$114&gt;35,BY66+BX67-CG66,IF(A67&lt;'Données projet'!$A$114,$BV$205^A67,IF(A67='Données projet'!$A$114,'Données projet'!$B$114,BY66+BX67-CG66)))</f>
        <v>461.74999999999994</v>
      </c>
      <c r="BZ67" s="14">
        <f>BY67*VLOOKUP('Données projet'!$B$12,Paramètres!$A$1:$I$89,3,0)*VLOOKUP('Données projet'!$B$12,Paramètres!$A$1:$I$89,5,0)</f>
        <v>276.12649999999996</v>
      </c>
      <c r="CA67" s="14">
        <f t="shared" si="39"/>
        <v>66.147764494536574</v>
      </c>
      <c r="CB67" s="22">
        <f t="shared" si="10"/>
        <v>596.12767732798443</v>
      </c>
      <c r="CC67" s="62">
        <f t="shared" si="11"/>
        <v>889.46101066131769</v>
      </c>
      <c r="CD67" s="62">
        <f ca="1">AVERAGE(OFFSET($CC$3,0,0,'Données projet'!$E$12+1,1))-AVERAGE(OFFSET($H$3,0,0,'Données projet'!$E$12+1,1))</f>
        <v>287.29865338866551</v>
      </c>
      <c r="CE67" s="62">
        <f t="shared" si="40"/>
        <v>217.57508587672368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4.2677087567051144</v>
      </c>
      <c r="CM67" s="23">
        <f>EXP(-LN(2)/2)*CM66+(1-EXP(-LN(2)/2))/(LN(2)/2)*CG67*CJ67*VLOOKUP('Données projet'!$B$12,Paramètres!$A$1:$I$89,3,0)*0.475*44/12</f>
        <v>9.8161201877590082E-5</v>
      </c>
      <c r="CN67" s="24">
        <f t="shared" si="12"/>
        <v>4.2678069179069924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>
        <f>CT67*VLOOKUP('Données projet'!$B$13,Paramètres!$A$1:$I$89,3,0)*VLOOKUP('Données projet'!$B$13,Paramètres!$A$1:$I$89,5,0)</f>
        <v>0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175.05987582828078</v>
      </c>
      <c r="CZ67" s="62">
        <f t="shared" si="42"/>
        <v>268.54782308462387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3.5376732379570166</v>
      </c>
      <c r="DH67" s="23">
        <f>EXP(-LN(2)/2)*DH66+(1-EXP(-LN(2)/2))/(LN(2)/2)*DB67*DE67*VLOOKUP('Données projet'!$B$13,Paramètres!$A$1:$I$89,3,0)*0.475*44/12</f>
        <v>9.6503924565797167E-5</v>
      </c>
      <c r="DI67" s="24">
        <f t="shared" si="15"/>
        <v>3.5377697418815823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11.375</v>
      </c>
      <c r="DO67" s="13">
        <f>IF('Données projet'!$A$166&gt;35,DO66+DN67-DW66,IF(A67&lt;'Données projet'!$A$166,$DL$205^A67,IF(A67='Données projet'!$A$166,'Données projet'!$B$166,DO66+DN67-DW66)))</f>
        <v>392.24999999999994</v>
      </c>
      <c r="DP67" s="18">
        <f>DO67*VLOOKUP('Données projet'!$B$14,Paramètres!$A$1:$I$89,3,0)*VLOOKUP('Données projet'!$B$14,Paramètres!$A$1:$I$89,5,0)</f>
        <v>224.36699999999996</v>
      </c>
      <c r="DQ67" s="14">
        <f t="shared" si="43"/>
        <v>55.062943090135803</v>
      </c>
      <c r="DR67" s="22">
        <f t="shared" si="16"/>
        <v>486.67381754865318</v>
      </c>
      <c r="DS67" s="62">
        <f t="shared" si="17"/>
        <v>780.00715088198649</v>
      </c>
      <c r="DT67" s="62">
        <f ca="1">AVERAGE(OFFSET($DS$3,0,0,'Données projet'!$E$14+1,1))-AVERAGE(OFFSET($H$3,0,0,'Données projet'!$E$14+1,1))</f>
        <v>228.06050741667258</v>
      </c>
      <c r="DU67" s="62">
        <f t="shared" si="44"/>
        <v>191.94885821983536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7.3252313557200743</v>
      </c>
      <c r="EC67" s="23">
        <f>EXP(-LN(2)/2)*EC66+(1-EXP(-LN(2)/2))/(LN(2)/2)*DW67*DZ67*VLOOKUP('Données projet'!$B$14,Paramètres!$A$1:$I$89,3,0)*0.475*44/12</f>
        <v>7.8290916249731262E-4</v>
      </c>
      <c r="ED67" s="24">
        <f t="shared" si="18"/>
        <v>7.3260142648825717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-5.6843418860808015E-14</v>
      </c>
      <c r="EK67" s="18">
        <f>EJ67*VLOOKUP('Données projet'!$B$15,Paramètres!$A$1:$I$89,3,0)*VLOOKUP('Données projet'!$B$15,Paramètres!$A$1:$I$89,5,0)</f>
        <v>-5.1431925385259088E-14</v>
      </c>
      <c r="EL67" s="14" t="e">
        <f t="shared" si="45"/>
        <v>#NUM!</v>
      </c>
      <c r="EM67" s="22" t="e">
        <f t="shared" si="19"/>
        <v>#NUM!</v>
      </c>
      <c r="EN67" s="62" t="e">
        <f t="shared" si="20"/>
        <v>#NUM!</v>
      </c>
      <c r="EO67" s="62">
        <f ca="1">AVERAGE(OFFSET($EN$3,0,0,'Données projet'!$E$15+1,1))-AVERAGE(OFFSET($H$3,0,0,'Données projet'!$E$15+1,1))</f>
        <v>315.23521260143986</v>
      </c>
      <c r="EP67" s="62">
        <f t="shared" si="46"/>
        <v>439.11021845472641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13.857142857142858</v>
      </c>
      <c r="N68" s="14">
        <f>IF('Données projet'!$A$36&gt;35,N67+M68-V67,IF(A68&lt;'Données projet'!$A$36,$K$205^A68,IF(A68='Données projet'!$A$36,'Données projet'!$B$36,N67+M68-V67)))</f>
        <v>481.71428571428538</v>
      </c>
      <c r="O68" s="14">
        <f>N68*VLOOKUP('Données projet'!$B$9,Paramètres!$A$1:$I$89,3,0)*VLOOKUP('Données projet'!$B$9,Paramètres!$A$1:$I$89,5,0)</f>
        <v>269.27828571428557</v>
      </c>
      <c r="P68" s="14">
        <f t="shared" si="33"/>
        <v>64.696079449868591</v>
      </c>
      <c r="Q68" s="22">
        <f t="shared" si="54"/>
        <v>581.67201932756836</v>
      </c>
      <c r="R68" s="62">
        <f t="shared" si="55"/>
        <v>875.00535266090174</v>
      </c>
      <c r="S68" s="62">
        <f ca="1">AVERAGE(OFFSET($R$3,0,0,'Données projet'!$E$9+1,1))-AVERAGE(OFFSET($H$3,0,0,'Données projet'!$E$9+1,1))</f>
        <v>302.20483575440988</v>
      </c>
      <c r="T68" s="62">
        <f t="shared" si="34"/>
        <v>275.32862097158687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8.4385330644518177</v>
      </c>
      <c r="AB68" s="23">
        <f>EXP(-LN(2)/2)*AB67+(1-EXP(-LN(2)/2))/(LN(2)/2)*V68*Y68*VLOOKUP('Données projet'!$B$9,Paramètres!$A$1:$I$89,3,0)*0.475*44/12</f>
        <v>5.9384739840640126E-5</v>
      </c>
      <c r="AC68" s="24">
        <f t="shared" ref="AC68:AC131" si="57">SUM(Z68:AB68)</f>
        <v>8.438592449191658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317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317</v>
      </c>
      <c r="AJ68" s="14">
        <f>AI68*VLOOKUP('Données projet'!$B$10,Paramètres!$A$1:$I$89,3,0)*VLOOKUP('Données projet'!$B$10,Paramètres!$A$1:$I$89,5,0)</f>
        <v>286.82159999999999</v>
      </c>
      <c r="AK68" s="14">
        <f t="shared" si="35"/>
        <v>68.406583284351484</v>
      </c>
      <c r="AL68" s="22">
        <f t="shared" ref="AL68:AL131" si="58">(AJ68+AK68)*0.475*44/12</f>
        <v>618.68908588691215</v>
      </c>
      <c r="AM68" s="62">
        <f t="shared" ref="AM68:AM131" si="59">AL68+(AD68+AE68)*44/12</f>
        <v>912.02241922024541</v>
      </c>
      <c r="AN68" s="62">
        <f ca="1">AVERAGE(OFFSET($AM$3,0,0,'Données projet'!$E$10+1,1))-AVERAGE(OFFSET($H$3,0,0,'Données projet'!$E$10+1,1))</f>
        <v>384.44848355636935</v>
      </c>
      <c r="AO68" s="62">
        <f t="shared" si="36"/>
        <v>203.5274665601915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56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317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317</v>
      </c>
      <c r="BE68" s="14">
        <f>BD68*VLOOKUP('Données projet'!$B$11,Paramètres!$A$1:$I$89,3,0)*VLOOKUP('Données projet'!$B$11,Paramètres!$A$1:$I$89,5,0)</f>
        <v>321.43800000000005</v>
      </c>
      <c r="BF68" s="14">
        <f t="shared" si="37"/>
        <v>75.652479406660248</v>
      </c>
      <c r="BG68" s="22">
        <f t="shared" ref="BG68:BG131" si="61">(BE68+BF68)*0.475*44/12</f>
        <v>691.59925163326659</v>
      </c>
      <c r="BH68" s="62">
        <f t="shared" ref="BH68:BH131" si="62">BG68+(AY68+AZ68)*44/12</f>
        <v>984.93258496659996</v>
      </c>
      <c r="BI68" s="62">
        <f ca="1">AVERAGE(OFFSET($BH$3,0,0,'Données projet'!$E$11+1,1))-AVERAGE(OFFSET($H$3,0,0,'Données projet'!$E$11+1,1))</f>
        <v>440.60698566758532</v>
      </c>
      <c r="BJ68" s="62">
        <f t="shared" si="38"/>
        <v>231.92898690465887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56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16.625</v>
      </c>
      <c r="BY68" s="13">
        <f>IF('Données projet'!$A$114&gt;35,BY67+BX68-CG67,IF(A68&lt;'Données projet'!$A$114,$BV$205^A68,IF(A68='Données projet'!$A$114,'Données projet'!$B$114,BY67+BX68-CG67)))</f>
        <v>478.37499999999994</v>
      </c>
      <c r="BZ68" s="14">
        <f>BY68*VLOOKUP('Données projet'!$B$12,Paramètres!$A$1:$I$89,3,0)*VLOOKUP('Données projet'!$B$12,Paramètres!$A$1:$I$89,5,0)</f>
        <v>286.06824999999998</v>
      </c>
      <c r="CA68" s="14">
        <f t="shared" si="39"/>
        <v>68.247799922382825</v>
      </c>
      <c r="CB68" s="22">
        <f t="shared" ref="CB68:CB131" si="64">(BZ68+CA68)*0.475*44/12</f>
        <v>617.10045361481673</v>
      </c>
      <c r="CC68" s="62">
        <f t="shared" ref="CC68:CC131" si="65">CB68+(BT68+BU68)*44/12</f>
        <v>910.4337869481501</v>
      </c>
      <c r="CD68" s="62">
        <f ca="1">AVERAGE(OFFSET($CC$3,0,0,'Données projet'!$E$12+1,1))-AVERAGE(OFFSET($H$3,0,0,'Données projet'!$E$12+1,1))</f>
        <v>287.29865338866551</v>
      </c>
      <c r="CE68" s="62">
        <f t="shared" si="40"/>
        <v>217.57508587672368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4.1510080363239634</v>
      </c>
      <c r="CM68" s="23">
        <f>EXP(-LN(2)/2)*CM67+(1-EXP(-LN(2)/2))/(LN(2)/2)*CG68*CJ68*VLOOKUP('Données projet'!$B$12,Paramètres!$A$1:$I$89,3,0)*0.475*44/12</f>
        <v>6.9410451497065606E-5</v>
      </c>
      <c r="CN68" s="24">
        <f t="shared" ref="CN68:CN131" si="66">SUM(CK68:CM68)</f>
        <v>4.1510774467754601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>
        <f>CT68*VLOOKUP('Données projet'!$B$13,Paramètres!$A$1:$I$89,3,0)*VLOOKUP('Données projet'!$B$13,Paramètres!$A$1:$I$89,5,0)</f>
        <v>0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175.05987582828078</v>
      </c>
      <c r="CZ68" s="62">
        <f t="shared" si="42"/>
        <v>268.54782308462387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3.440935377226932</v>
      </c>
      <c r="DH68" s="23">
        <f>EXP(-LN(2)/2)*DH67+(1-EXP(-LN(2)/2))/(LN(2)/2)*DB68*DE68*VLOOKUP('Données projet'!$B$13,Paramètres!$A$1:$I$89,3,0)*0.475*44/12</f>
        <v>6.8238579471590225E-5</v>
      </c>
      <c r="DI68" s="24">
        <f t="shared" ref="DI68:DI131" si="69">SUM(DF68:DH68)</f>
        <v>3.4410036158064035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11.375</v>
      </c>
      <c r="DO68" s="13">
        <f>IF('Données projet'!$A$166&gt;35,DO67+DN68-DW67,IF(A68&lt;'Données projet'!$A$166,$DL$205^A68,IF(A68='Données projet'!$A$166,'Données projet'!$B$166,DO67+DN68-DW67)))</f>
        <v>403.62499999999994</v>
      </c>
      <c r="DP68" s="18">
        <f>DO68*VLOOKUP('Données projet'!$B$14,Paramètres!$A$1:$I$89,3,0)*VLOOKUP('Données projet'!$B$14,Paramètres!$A$1:$I$89,5,0)</f>
        <v>230.87349999999998</v>
      </c>
      <c r="DQ68" s="14">
        <f t="shared" si="43"/>
        <v>56.471510965615813</v>
      </c>
      <c r="DR68" s="22">
        <f t="shared" ref="DR68:DR131" si="70">(DP68+DQ68)*0.475*44/12</f>
        <v>500.45922743178085</v>
      </c>
      <c r="DS68" s="62">
        <f t="shared" ref="DS68:DS131" si="71">DR68+(DJ68+DK68)*44/12</f>
        <v>793.7925607651141</v>
      </c>
      <c r="DT68" s="62">
        <f ca="1">AVERAGE(OFFSET($DS$3,0,0,'Données projet'!$E$14+1,1))-AVERAGE(OFFSET($H$3,0,0,'Données projet'!$E$14+1,1))</f>
        <v>228.06050741667258</v>
      </c>
      <c r="DU68" s="62">
        <f t="shared" si="44"/>
        <v>191.94885821983536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7.1249225190807337</v>
      </c>
      <c r="EC68" s="23">
        <f>EXP(-LN(2)/2)*EC67+(1-EXP(-LN(2)/2))/(LN(2)/2)*DW68*DZ68*VLOOKUP('Données projet'!$B$14,Paramètres!$A$1:$I$89,3,0)*0.475*44/12</f>
        <v>5.5360037785493041E-4</v>
      </c>
      <c r="ED68" s="24">
        <f t="shared" ref="ED68:ED131" si="72">SUM(EA68:EC68)</f>
        <v>7.1254761194585887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-5.6843418860808015E-14</v>
      </c>
      <c r="EK68" s="18">
        <f>EJ68*VLOOKUP('Données projet'!$B$15,Paramètres!$A$1:$I$89,3,0)*VLOOKUP('Données projet'!$B$15,Paramètres!$A$1:$I$89,5,0)</f>
        <v>-5.1431925385259088E-14</v>
      </c>
      <c r="EL68" s="14" t="e">
        <f t="shared" si="45"/>
        <v>#NUM!</v>
      </c>
      <c r="EM68" s="22" t="e">
        <f t="shared" ref="EM68:EM131" si="73">(EK68+EL68)*0.475*44/12</f>
        <v>#NUM!</v>
      </c>
      <c r="EN68" s="62" t="e">
        <f t="shared" ref="EN68:EN131" si="74">EM68+(EE68+EF68)*44/12</f>
        <v>#NUM!</v>
      </c>
      <c r="EO68" s="62">
        <f ca="1">AVERAGE(OFFSET($EN$3,0,0,'Données projet'!$E$15+1,1))-AVERAGE(OFFSET($H$3,0,0,'Données projet'!$E$15+1,1))</f>
        <v>315.23521260143986</v>
      </c>
      <c r="EP68" s="62">
        <f t="shared" si="46"/>
        <v>439.11021845472641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13.857142857142858</v>
      </c>
      <c r="N69" s="14">
        <f>IF('Données projet'!$A$36&gt;35,N68+M69-V68,IF(A69&lt;'Données projet'!$A$36,$K$205^A69,IF(A69='Données projet'!$A$36,'Données projet'!$B$36,N68+M69-V68)))</f>
        <v>495.57142857142821</v>
      </c>
      <c r="O69" s="14">
        <f>N69*VLOOKUP('Données projet'!$B$9,Paramètres!$A$1:$I$89,3,0)*VLOOKUP('Données projet'!$B$9,Paramètres!$A$1:$I$89,5,0)</f>
        <v>277.02442857142842</v>
      </c>
      <c r="P69" s="14">
        <f t="shared" ref="P69:P132" si="87">EXP(-1.0587+0.8836*LN(O69)+0.284)</f>
        <v>66.337794630329327</v>
      </c>
      <c r="Q69" s="22">
        <f t="shared" si="54"/>
        <v>598.02253874306132</v>
      </c>
      <c r="R69" s="62">
        <f t="shared" si="55"/>
        <v>891.35587207639469</v>
      </c>
      <c r="S69" s="62">
        <f ca="1">AVERAGE(OFFSET($R$3,0,0,'Données projet'!$E$9+1,1))-AVERAGE(OFFSET($H$3,0,0,'Données projet'!$E$9+1,1))</f>
        <v>302.20483575440988</v>
      </c>
      <c r="T69" s="62">
        <f t="shared" ref="T69:T132" si="88">$T$3</f>
        <v>275.32862097158687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8.2077809340412156</v>
      </c>
      <c r="AB69" s="23">
        <f>EXP(-LN(2)/2)*AB68+(1-EXP(-LN(2)/2))/(LN(2)/2)*V69*Y69*VLOOKUP('Données projet'!$B$9,Paramètres!$A$1:$I$89,3,0)*0.475*44/12</f>
        <v>4.1991352240315574E-5</v>
      </c>
      <c r="AC69" s="24">
        <f t="shared" si="57"/>
        <v>8.2078229253934563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243.57216</v>
      </c>
      <c r="AK69" s="14">
        <f t="shared" ref="AK69:AK132" si="89">EXP(-1.0587+0.8836*LN(AJ69)+0.284)</f>
        <v>59.207435995642292</v>
      </c>
      <c r="AL69" s="22">
        <f t="shared" si="58"/>
        <v>527.34112969241028</v>
      </c>
      <c r="AM69" s="62">
        <f t="shared" si="59"/>
        <v>820.67446302574353</v>
      </c>
      <c r="AN69" s="62">
        <f ca="1">AVERAGE(OFFSET($AM$3,0,0,'Données projet'!$E$10+1,1))-AVERAGE(OFFSET($H$3,0,0,'Données projet'!$E$10+1,1))</f>
        <v>384.44848355636935</v>
      </c>
      <c r="AO69" s="62">
        <f t="shared" ref="AO69:AO132" si="90">$AO$3</f>
        <v>203.5274665601915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272.96879999999999</v>
      </c>
      <c r="BF69" s="14">
        <f t="shared" ref="BF69:BF132" si="91">EXP(-1.0587+0.8836*LN(BE69)+0.284)</f>
        <v>65.478922017818945</v>
      </c>
      <c r="BG69" s="22">
        <f t="shared" si="61"/>
        <v>589.46311584770126</v>
      </c>
      <c r="BH69" s="62">
        <f t="shared" si="62"/>
        <v>882.79644918103463</v>
      </c>
      <c r="BI69" s="62">
        <f ca="1">AVERAGE(OFFSET($BH$3,0,0,'Données projet'!$E$11+1,1))-AVERAGE(OFFSET($H$3,0,0,'Données projet'!$E$11+1,1))</f>
        <v>440.60698566758532</v>
      </c>
      <c r="BJ69" s="62">
        <f t="shared" ref="BJ69:BJ132" si="92">$BJ$3</f>
        <v>231.92898690465887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>
        <f>VLOOKUP(A69,'Données projet'!$A$113:$I$133,2,0)</f>
        <v>495</v>
      </c>
      <c r="BW69" s="13">
        <f>VLOOKUP(A69,'Données projet'!$A$113:$I$133,9,0)</f>
        <v>16.625</v>
      </c>
      <c r="BX69" s="13">
        <f t="array" ref="BX69">INDEX(BW:BW,MIN(IF(ISNUMBER(BW69:BW265),ROW(BW69:BW265),"")))</f>
        <v>16.625</v>
      </c>
      <c r="BY69" s="13">
        <f>IF('Données projet'!$A$114&gt;35,BY68+BX69-CG68,IF(A69&lt;'Données projet'!$A$114,$BV$205^A69,IF(A69='Données projet'!$A$114,'Données projet'!$B$114,BY68+BX69-CG68)))</f>
        <v>494.99999999999994</v>
      </c>
      <c r="BZ69" s="14">
        <f>BY69*VLOOKUP('Données projet'!$B$12,Paramètres!$A$1:$I$89,3,0)*VLOOKUP('Données projet'!$B$12,Paramètres!$A$1:$I$89,5,0)</f>
        <v>296.01</v>
      </c>
      <c r="CA69" s="14">
        <f t="shared" ref="CA69:CA132" si="93">EXP(-1.0587+0.8836*LN(BZ69)+0.284)</f>
        <v>70.339355522692159</v>
      </c>
      <c r="CB69" s="22">
        <f t="shared" si="64"/>
        <v>638.05846086868871</v>
      </c>
      <c r="CC69" s="62">
        <f t="shared" si="65"/>
        <v>931.39179420202208</v>
      </c>
      <c r="CD69" s="62">
        <f ca="1">AVERAGE(OFFSET($CC$3,0,0,'Données projet'!$E$12+1,1))-AVERAGE(OFFSET($H$3,0,0,'Données projet'!$E$12+1,1))</f>
        <v>287.29865338866551</v>
      </c>
      <c r="CE69" s="62">
        <f t="shared" ref="CE69:CE132" si="94">$CE$3</f>
        <v>217.57508587672368</v>
      </c>
      <c r="CF69" s="16">
        <f>IF(ISNA(VLOOKUP(A69,'Données projet'!$A$113:$I$133,3,0)),0,VLOOKUP(A69,'Données projet'!$A$113:$I$133,3,0))</f>
        <v>9</v>
      </c>
      <c r="CG69" s="16">
        <f>IF(ISNA(VLOOKUP(A69,'Données projet'!$A$113:$I$133,4,0)),0,VLOOKUP(A69,'Données projet'!$A$113:$I$133,4,0))</f>
        <v>65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4.037498503278659</v>
      </c>
      <c r="CM69" s="23">
        <f>EXP(-LN(2)/2)*CM68+(1-EXP(-LN(2)/2))/(LN(2)/2)*CG69*CJ69*VLOOKUP('Données projet'!$B$12,Paramètres!$A$1:$I$89,3,0)*0.475*44/12</f>
        <v>4.9080600938795041E-5</v>
      </c>
      <c r="CN69" s="24">
        <f t="shared" si="66"/>
        <v>4.037547583879598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>
        <f>CT69*VLOOKUP('Données projet'!$B$13,Paramètres!$A$1:$I$89,3,0)*VLOOKUP('Données projet'!$B$13,Paramètres!$A$1:$I$89,5,0)</f>
        <v>0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175.05987582828078</v>
      </c>
      <c r="CZ69" s="62">
        <f t="shared" ref="CZ69:CZ132" si="96">$CZ$3</f>
        <v>268.54782308462387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3.3468428183857344</v>
      </c>
      <c r="DH69" s="23">
        <f>EXP(-LN(2)/2)*DH68+(1-EXP(-LN(2)/2))/(LN(2)/2)*DB69*DE69*VLOOKUP('Données projet'!$B$13,Paramètres!$A$1:$I$89,3,0)*0.475*44/12</f>
        <v>4.8251962282898583E-5</v>
      </c>
      <c r="DI69" s="24">
        <f t="shared" si="69"/>
        <v>3.3468910703480175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>
        <f>VLOOKUP(A69,'Données projet'!$A$165:$I$185,2,0)</f>
        <v>415</v>
      </c>
      <c r="DM69" s="13">
        <f>VLOOKUP(A69,'Données projet'!$A$165:$I$185,9,0)</f>
        <v>11.375</v>
      </c>
      <c r="DN69" s="13">
        <f t="array" ref="DN69">INDEX(DM:DM,MIN(IF(ISNUMBER(DM69:DM265),ROW(DM69:DM265),"")))</f>
        <v>11.375</v>
      </c>
      <c r="DO69" s="13">
        <f>IF('Données projet'!$A$166&gt;35,DO68+DN69-DW68,IF(A69&lt;'Données projet'!$A$166,$DL$205^A69,IF(A69='Données projet'!$A$166,'Données projet'!$B$166,DO68+DN69-DW68)))</f>
        <v>414.99999999999994</v>
      </c>
      <c r="DP69" s="18">
        <f>DO69*VLOOKUP('Données projet'!$B$14,Paramètres!$A$1:$I$89,3,0)*VLOOKUP('Données projet'!$B$14,Paramètres!$A$1:$I$89,5,0)</f>
        <v>237.37999999999997</v>
      </c>
      <c r="DQ69" s="14">
        <f t="shared" ref="DQ69:DQ132" si="97">EXP(-1.0587+0.8836*LN(DP69)+0.284)</f>
        <v>57.875465105279041</v>
      </c>
      <c r="DR69" s="22">
        <f t="shared" si="70"/>
        <v>514.23660172502764</v>
      </c>
      <c r="DS69" s="62">
        <f t="shared" si="71"/>
        <v>807.5699350583609</v>
      </c>
      <c r="DT69" s="62">
        <f ca="1">AVERAGE(OFFSET($DS$3,0,0,'Données projet'!$E$14+1,1))-AVERAGE(OFFSET($H$3,0,0,'Données projet'!$E$14+1,1))</f>
        <v>228.06050741667258</v>
      </c>
      <c r="DU69" s="62">
        <f t="shared" ref="DU69:DU132" si="98">$DU$3</f>
        <v>191.94885821983536</v>
      </c>
      <c r="DV69" s="16">
        <f>IF(ISNA(VLOOKUP(A69,'Données projet'!$A$165:$I$185,3,0)),0,VLOOKUP(A69,'Données projet'!$A$165:$I$185,3,0))</f>
        <v>8</v>
      </c>
      <c r="DW69" s="16">
        <f>IF(ISNA(VLOOKUP(A69,'Données projet'!$A$165:$I$185,4,0)),0,VLOOKUP(A69,'Données projet'!$A$165:$I$185,4,0))</f>
        <v>50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6.9300911381130801</v>
      </c>
      <c r="EC69" s="23">
        <f>EXP(-LN(2)/2)*EC68+(1-EXP(-LN(2)/2))/(LN(2)/2)*DW69*DZ69*VLOOKUP('Données projet'!$B$14,Paramètres!$A$1:$I$89,3,0)*0.475*44/12</f>
        <v>3.9145458124865631E-4</v>
      </c>
      <c r="ED69" s="24">
        <f t="shared" si="72"/>
        <v>6.9304825926943288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-5.6843418860808015E-14</v>
      </c>
      <c r="EK69" s="18">
        <f>EJ69*VLOOKUP('Données projet'!$B$15,Paramètres!$A$1:$I$89,3,0)*VLOOKUP('Données projet'!$B$15,Paramètres!$A$1:$I$89,5,0)</f>
        <v>-5.1431925385259088E-14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2" t="e">
        <f t="shared" si="74"/>
        <v>#NUM!</v>
      </c>
      <c r="EO69" s="62">
        <f ca="1">AVERAGE(OFFSET($EN$3,0,0,'Données projet'!$E$15+1,1))-AVERAGE(OFFSET($H$3,0,0,'Données projet'!$E$15+1,1))</f>
        <v>315.23521260143986</v>
      </c>
      <c r="EP69" s="62">
        <f t="shared" ref="EP69:EP132" si="100">$EP$3</f>
        <v>439.11021845472641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13.857142857142858</v>
      </c>
      <c r="N70" s="14">
        <f>IF('Données projet'!$A$36&gt;35,N69+M70-V69,IF(A70&lt;'Données projet'!$A$36,$K$205^A70,IF(A70='Données projet'!$A$36,'Données projet'!$B$36,N69+M70-V69)))</f>
        <v>509.42857142857105</v>
      </c>
      <c r="O70" s="14">
        <f>N70*VLOOKUP('Données projet'!$B$9,Paramètres!$A$1:$I$89,3,0)*VLOOKUP('Données projet'!$B$9,Paramètres!$A$1:$I$89,5,0)</f>
        <v>284.77057142857126</v>
      </c>
      <c r="P70" s="14">
        <f t="shared" si="87"/>
        <v>67.974174355789401</v>
      </c>
      <c r="Q70" s="22">
        <f t="shared" si="54"/>
        <v>614.36376557442816</v>
      </c>
      <c r="R70" s="62">
        <f t="shared" si="55"/>
        <v>907.69709890776153</v>
      </c>
      <c r="S70" s="62">
        <f ca="1">AVERAGE(OFFSET($R$3,0,0,'Données projet'!$E$9+1,1))-AVERAGE(OFFSET($H$3,0,0,'Données projet'!$E$9+1,1))</f>
        <v>302.20483575440988</v>
      </c>
      <c r="T70" s="62">
        <f t="shared" si="88"/>
        <v>275.32862097158687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7.9833387327714185</v>
      </c>
      <c r="AB70" s="23">
        <f>EXP(-LN(2)/2)*AB69+(1-EXP(-LN(2)/2))/(LN(2)/2)*V70*Y70*VLOOKUP('Données projet'!$B$9,Paramètres!$A$1:$I$89,3,0)*0.475*44/12</f>
        <v>2.969236992032007E-5</v>
      </c>
      <c r="AC70" s="24">
        <f t="shared" si="57"/>
        <v>7.9833684251413386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250.99151999999995</v>
      </c>
      <c r="AK70" s="14">
        <f t="shared" si="89"/>
        <v>60.798211000769406</v>
      </c>
      <c r="AL70" s="22">
        <f t="shared" si="58"/>
        <v>543.03378149300659</v>
      </c>
      <c r="AM70" s="62">
        <f t="shared" si="59"/>
        <v>836.36711482633996</v>
      </c>
      <c r="AN70" s="62">
        <f ca="1">AVERAGE(OFFSET($AM$3,0,0,'Données projet'!$E$10+1,1))-AVERAGE(OFFSET($H$3,0,0,'Données projet'!$E$10+1,1))</f>
        <v>384.44848355636935</v>
      </c>
      <c r="AO70" s="62">
        <f t="shared" si="90"/>
        <v>203.5274665601915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281.28360000000004</v>
      </c>
      <c r="BF70" s="14">
        <f t="shared" si="91"/>
        <v>67.238198209347928</v>
      </c>
      <c r="BG70" s="22">
        <f t="shared" si="61"/>
        <v>607.00879854794766</v>
      </c>
      <c r="BH70" s="62">
        <f t="shared" si="62"/>
        <v>900.34213188128092</v>
      </c>
      <c r="BI70" s="62">
        <f ca="1">AVERAGE(OFFSET($BH$3,0,0,'Données projet'!$E$11+1,1))-AVERAGE(OFFSET($H$3,0,0,'Données projet'!$E$11+1,1))</f>
        <v>440.60698566758532</v>
      </c>
      <c r="BJ70" s="62">
        <f t="shared" si="92"/>
        <v>231.92898690465887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12.875</v>
      </c>
      <c r="BY70" s="13">
        <f>IF('Données projet'!$A$114&gt;35,BY69+BX70-CG69,IF(A70&lt;'Données projet'!$A$114,$BV$205^A70,IF(A70='Données projet'!$A$114,'Données projet'!$B$114,BY69+BX70-CG69)))</f>
        <v>442.87499999999994</v>
      </c>
      <c r="BZ70" s="14">
        <f>BY70*VLOOKUP('Données projet'!$B$12,Paramètres!$A$1:$I$89,3,0)*VLOOKUP('Données projet'!$B$12,Paramètres!$A$1:$I$89,5,0)</f>
        <v>264.83924999999999</v>
      </c>
      <c r="CA70" s="14">
        <f t="shared" si="93"/>
        <v>63.752800756768096</v>
      </c>
      <c r="CB70" s="22">
        <f t="shared" si="64"/>
        <v>572.29782173470437</v>
      </c>
      <c r="CC70" s="62">
        <f t="shared" si="65"/>
        <v>865.63115506803774</v>
      </c>
      <c r="CD70" s="62">
        <f ca="1">AVERAGE(OFFSET($CC$3,0,0,'Données projet'!$E$12+1,1))-AVERAGE(OFFSET($H$3,0,0,'Données projet'!$E$12+1,1))</f>
        <v>287.29865338866551</v>
      </c>
      <c r="CE70" s="62">
        <f t="shared" si="94"/>
        <v>217.57508587672368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3.9270928943836858</v>
      </c>
      <c r="CM70" s="23">
        <f>EXP(-LN(2)/2)*CM69+(1-EXP(-LN(2)/2))/(LN(2)/2)*CG70*CJ70*VLOOKUP('Données projet'!$B$12,Paramètres!$A$1:$I$89,3,0)*0.475*44/12</f>
        <v>3.4705225748532803E-5</v>
      </c>
      <c r="CN70" s="24">
        <f t="shared" si="66"/>
        <v>3.9271275996094341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>
        <f>CT70*VLOOKUP('Données projet'!$B$13,Paramètres!$A$1:$I$89,3,0)*VLOOKUP('Données projet'!$B$13,Paramètres!$A$1:$I$89,5,0)</f>
        <v>0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175.05987582828078</v>
      </c>
      <c r="CZ70" s="62">
        <f t="shared" si="96"/>
        <v>268.54782308462387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3.2553232255141618</v>
      </c>
      <c r="DH70" s="23">
        <f>EXP(-LN(2)/2)*DH69+(1-EXP(-LN(2)/2))/(LN(2)/2)*DB70*DE70*VLOOKUP('Données projet'!$B$13,Paramètres!$A$1:$I$89,3,0)*0.475*44/12</f>
        <v>3.4119289735795113E-5</v>
      </c>
      <c r="DI70" s="24">
        <f t="shared" si="69"/>
        <v>3.2553573448038975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6.75</v>
      </c>
      <c r="DO70" s="13">
        <f>IF('Données projet'!$A$166&gt;35,DO69+DN70-DW69,IF(A70&lt;'Données projet'!$A$166,$DL$205^A70,IF(A70='Données projet'!$A$166,'Données projet'!$B$166,DO69+DN70-DW69)))</f>
        <v>371.74999999999994</v>
      </c>
      <c r="DP70" s="18">
        <f>DO70*VLOOKUP('Données projet'!$B$14,Paramètres!$A$1:$I$89,3,0)*VLOOKUP('Données projet'!$B$14,Paramètres!$A$1:$I$89,5,0)</f>
        <v>212.64099999999996</v>
      </c>
      <c r="DQ70" s="14">
        <f t="shared" si="97"/>
        <v>52.512290191227322</v>
      </c>
      <c r="DR70" s="22">
        <f t="shared" si="70"/>
        <v>461.80864708305415</v>
      </c>
      <c r="DS70" s="62">
        <f t="shared" si="71"/>
        <v>755.14198041638747</v>
      </c>
      <c r="DT70" s="62">
        <f ca="1">AVERAGE(OFFSET($DS$3,0,0,'Données projet'!$E$14+1,1))-AVERAGE(OFFSET($H$3,0,0,'Données projet'!$E$14+1,1))</f>
        <v>228.06050741667258</v>
      </c>
      <c r="DU70" s="62">
        <f t="shared" si="98"/>
        <v>191.94885821983536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6.740587431503724</v>
      </c>
      <c r="EC70" s="23">
        <f>EXP(-LN(2)/2)*EC69+(1-EXP(-LN(2)/2))/(LN(2)/2)*DW70*DZ70*VLOOKUP('Données projet'!$B$14,Paramètres!$A$1:$I$89,3,0)*0.475*44/12</f>
        <v>2.768001889274652E-4</v>
      </c>
      <c r="ED70" s="24">
        <f t="shared" si="72"/>
        <v>6.740864231692651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-5.6843418860808015E-14</v>
      </c>
      <c r="EK70" s="18">
        <f>EJ70*VLOOKUP('Données projet'!$B$15,Paramètres!$A$1:$I$89,3,0)*VLOOKUP('Données projet'!$B$15,Paramètres!$A$1:$I$89,5,0)</f>
        <v>-5.1431925385259088E-14</v>
      </c>
      <c r="EL70" s="14" t="e">
        <f t="shared" si="99"/>
        <v>#NUM!</v>
      </c>
      <c r="EM70" s="22" t="e">
        <f t="shared" si="73"/>
        <v>#NUM!</v>
      </c>
      <c r="EN70" s="62" t="e">
        <f t="shared" si="74"/>
        <v>#NUM!</v>
      </c>
      <c r="EO70" s="62">
        <f ca="1">AVERAGE(OFFSET($EN$3,0,0,'Données projet'!$E$15+1,1))-AVERAGE(OFFSET($H$3,0,0,'Données projet'!$E$15+1,1))</f>
        <v>315.23521260143986</v>
      </c>
      <c r="EP70" s="62">
        <f t="shared" si="100"/>
        <v>439.11021845472641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13.857142857142858</v>
      </c>
      <c r="N71" s="14">
        <f>IF('Données projet'!$A$36&gt;35,N70+M71-V70,IF(A71&lt;'Données projet'!$A$36,$K$205^A71,IF(A71='Données projet'!$A$36,'Données projet'!$B$36,N70+M71-V70)))</f>
        <v>523.28571428571388</v>
      </c>
      <c r="O71" s="14">
        <f>N71*VLOOKUP('Données projet'!$B$9,Paramètres!$A$1:$I$89,3,0)*VLOOKUP('Données projet'!$B$9,Paramètres!$A$1:$I$89,5,0)</f>
        <v>292.5167142857141</v>
      </c>
      <c r="P71" s="14">
        <f t="shared" si="87"/>
        <v>69.605380435295899</v>
      </c>
      <c r="Q71" s="22">
        <f t="shared" si="54"/>
        <v>630.69598163909245</v>
      </c>
      <c r="R71" s="62">
        <f t="shared" si="55"/>
        <v>924.02931497242571</v>
      </c>
      <c r="S71" s="62">
        <f ca="1">AVERAGE(OFFSET($R$3,0,0,'Données projet'!$E$9+1,1))-AVERAGE(OFFSET($H$3,0,0,'Données projet'!$E$9+1,1))</f>
        <v>302.20483575440988</v>
      </c>
      <c r="T71" s="62">
        <f t="shared" si="88"/>
        <v>275.32862097158687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7.7650339152982459</v>
      </c>
      <c r="AB71" s="23">
        <f>EXP(-LN(2)/2)*AB70+(1-EXP(-LN(2)/2))/(LN(2)/2)*V71*Y71*VLOOKUP('Données projet'!$B$9,Paramètres!$A$1:$I$89,3,0)*0.475*44/12</f>
        <v>2.0995676120157791E-5</v>
      </c>
      <c r="AC71" s="24">
        <f t="shared" si="57"/>
        <v>7.7650549109743663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258.41087999999996</v>
      </c>
      <c r="AK71" s="14">
        <f t="shared" si="89"/>
        <v>62.383521020316756</v>
      </c>
      <c r="AL71" s="22">
        <f t="shared" si="58"/>
        <v>558.71691511038489</v>
      </c>
      <c r="AM71" s="62">
        <f t="shared" si="59"/>
        <v>852.05024844371815</v>
      </c>
      <c r="AN71" s="62">
        <f ca="1">AVERAGE(OFFSET($AM$3,0,0,'Données projet'!$E$10+1,1))-AVERAGE(OFFSET($H$3,0,0,'Données projet'!$E$10+1,1))</f>
        <v>384.44848355636935</v>
      </c>
      <c r="AO71" s="62">
        <f t="shared" si="90"/>
        <v>203.5274665601915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289.59839999999997</v>
      </c>
      <c r="BF71" s="14">
        <f t="shared" si="91"/>
        <v>68.991430542388798</v>
      </c>
      <c r="BG71" s="22">
        <f t="shared" si="61"/>
        <v>624.54395486132705</v>
      </c>
      <c r="BH71" s="62">
        <f t="shared" si="62"/>
        <v>917.87728819466042</v>
      </c>
      <c r="BI71" s="62">
        <f ca="1">AVERAGE(OFFSET($BH$3,0,0,'Données projet'!$E$11+1,1))-AVERAGE(OFFSET($H$3,0,0,'Données projet'!$E$11+1,1))</f>
        <v>440.60698566758532</v>
      </c>
      <c r="BJ71" s="62">
        <f t="shared" si="92"/>
        <v>231.92898690465887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12.875</v>
      </c>
      <c r="BY71" s="13">
        <f>IF('Données projet'!$A$114&gt;35,BY70+BX71-CG70,IF(A71&lt;'Données projet'!$A$114,$BV$205^A71,IF(A71='Données projet'!$A$114,'Données projet'!$B$114,BY70+BX71-CG70)))</f>
        <v>455.74999999999994</v>
      </c>
      <c r="BZ71" s="14">
        <f>BY71*VLOOKUP('Données projet'!$B$12,Paramètres!$A$1:$I$89,3,0)*VLOOKUP('Données projet'!$B$12,Paramètres!$A$1:$I$89,5,0)</f>
        <v>272.5385</v>
      </c>
      <c r="CA71" s="14">
        <f t="shared" si="93"/>
        <v>65.387709293034902</v>
      </c>
      <c r="CB71" s="22">
        <f t="shared" si="64"/>
        <v>588.55481451870241</v>
      </c>
      <c r="CC71" s="62">
        <f t="shared" si="65"/>
        <v>881.88814785203567</v>
      </c>
      <c r="CD71" s="62">
        <f ca="1">AVERAGE(OFFSET($CC$3,0,0,'Données projet'!$E$12+1,1))-AVERAGE(OFFSET($H$3,0,0,'Données projet'!$E$12+1,1))</f>
        <v>287.29865338866551</v>
      </c>
      <c r="CE71" s="62">
        <f t="shared" si="94"/>
        <v>217.57508587672368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3.8197063326699241</v>
      </c>
      <c r="CM71" s="23">
        <f>EXP(-LN(2)/2)*CM70+(1-EXP(-LN(2)/2))/(LN(2)/2)*CG71*CJ71*VLOOKUP('Données projet'!$B$12,Paramètres!$A$1:$I$89,3,0)*0.475*44/12</f>
        <v>2.454030046939752E-5</v>
      </c>
      <c r="CN71" s="24">
        <f t="shared" si="66"/>
        <v>3.8197308729703936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>
        <f>CT71*VLOOKUP('Données projet'!$B$13,Paramètres!$A$1:$I$89,3,0)*VLOOKUP('Données projet'!$B$13,Paramètres!$A$1:$I$89,5,0)</f>
        <v>0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175.05987582828078</v>
      </c>
      <c r="CZ71" s="62">
        <f t="shared" si="96"/>
        <v>268.54782308462387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3.1663062407224687</v>
      </c>
      <c r="DH71" s="23">
        <f>EXP(-LN(2)/2)*DH70+(1-EXP(-LN(2)/2))/(LN(2)/2)*DB71*DE71*VLOOKUP('Données projet'!$B$13,Paramètres!$A$1:$I$89,3,0)*0.475*44/12</f>
        <v>2.4125981141449292E-5</v>
      </c>
      <c r="DI71" s="24">
        <f t="shared" si="69"/>
        <v>3.16633036670361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6.75</v>
      </c>
      <c r="DO71" s="13">
        <f>IF('Données projet'!$A$166&gt;35,DO70+DN71-DW70,IF(A71&lt;'Données projet'!$A$166,$DL$205^A71,IF(A71='Données projet'!$A$166,'Données projet'!$B$166,DO70+DN71-DW70)))</f>
        <v>378.49999999999994</v>
      </c>
      <c r="DP71" s="18">
        <f>DO71*VLOOKUP('Données projet'!$B$14,Paramètres!$A$1:$I$89,3,0)*VLOOKUP('Données projet'!$B$14,Paramètres!$A$1:$I$89,5,0)</f>
        <v>216.50199999999995</v>
      </c>
      <c r="DQ71" s="14">
        <f t="shared" si="97"/>
        <v>53.353904963920556</v>
      </c>
      <c r="DR71" s="22">
        <f t="shared" si="70"/>
        <v>469.99903447882821</v>
      </c>
      <c r="DS71" s="62">
        <f t="shared" si="71"/>
        <v>763.33236781216146</v>
      </c>
      <c r="DT71" s="62">
        <f ca="1">AVERAGE(OFFSET($DS$3,0,0,'Données projet'!$E$14+1,1))-AVERAGE(OFFSET($H$3,0,0,'Données projet'!$E$14+1,1))</f>
        <v>228.06050741667258</v>
      </c>
      <c r="DU71" s="62">
        <f t="shared" si="98"/>
        <v>191.94885821983536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6.5562657137171678</v>
      </c>
      <c r="EC71" s="23">
        <f>EXP(-LN(2)/2)*EC70+(1-EXP(-LN(2)/2))/(LN(2)/2)*DW71*DZ71*VLOOKUP('Données projet'!$B$14,Paramètres!$A$1:$I$89,3,0)*0.475*44/12</f>
        <v>1.9572729062432816E-4</v>
      </c>
      <c r="ED71" s="24">
        <f t="shared" si="72"/>
        <v>6.5564614410077917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-5.6843418860808015E-14</v>
      </c>
      <c r="EK71" s="18">
        <f>EJ71*VLOOKUP('Données projet'!$B$15,Paramètres!$A$1:$I$89,3,0)*VLOOKUP('Données projet'!$B$15,Paramètres!$A$1:$I$89,5,0)</f>
        <v>-5.1431925385259088E-14</v>
      </c>
      <c r="EL71" s="14" t="e">
        <f t="shared" si="99"/>
        <v>#NUM!</v>
      </c>
      <c r="EM71" s="22" t="e">
        <f t="shared" si="73"/>
        <v>#NUM!</v>
      </c>
      <c r="EN71" s="62" t="e">
        <f t="shared" si="74"/>
        <v>#NUM!</v>
      </c>
      <c r="EO71" s="62">
        <f ca="1">AVERAGE(OFFSET($EN$3,0,0,'Données projet'!$E$15+1,1))-AVERAGE(OFFSET($H$3,0,0,'Données projet'!$E$15+1,1))</f>
        <v>315.23521260143986</v>
      </c>
      <c r="EP71" s="62">
        <f t="shared" si="100"/>
        <v>439.11021845472641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13.857142857142858</v>
      </c>
      <c r="N72" s="14">
        <f>IF('Données projet'!$A$36&gt;35,N71+M72-V71,IF(A72&lt;'Données projet'!$A$36,$K$205^A72,IF(A72='Données projet'!$A$36,'Données projet'!$B$36,N71+M72-V71)))</f>
        <v>537.14285714285677</v>
      </c>
      <c r="O72" s="14">
        <f>N72*VLOOKUP('Données projet'!$B$9,Paramètres!$A$1:$I$89,3,0)*VLOOKUP('Données projet'!$B$9,Paramètres!$A$1:$I$89,5,0)</f>
        <v>300.26285714285694</v>
      </c>
      <c r="P72" s="14">
        <f t="shared" si="87"/>
        <v>71.231565620163408</v>
      </c>
      <c r="Q72" s="22">
        <f t="shared" si="54"/>
        <v>647.01945297892712</v>
      </c>
      <c r="R72" s="62">
        <f t="shared" si="55"/>
        <v>940.35278631226038</v>
      </c>
      <c r="S72" s="62">
        <f ca="1">AVERAGE(OFFSET($R$3,0,0,'Données projet'!$E$9+1,1))-AVERAGE(OFFSET($H$3,0,0,'Données projet'!$E$9+1,1))</f>
        <v>302.20483575440988</v>
      </c>
      <c r="T72" s="62">
        <f t="shared" si="88"/>
        <v>275.32862097158687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7.5526986545390287</v>
      </c>
      <c r="AB72" s="23">
        <f>EXP(-LN(2)/2)*AB71+(1-EXP(-LN(2)/2))/(LN(2)/2)*V72*Y72*VLOOKUP('Données projet'!$B$9,Paramètres!$A$1:$I$89,3,0)*0.475*44/12</f>
        <v>1.4846184960160037E-5</v>
      </c>
      <c r="AC72" s="24">
        <f t="shared" si="57"/>
        <v>7.5527135007239892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265.83023999999995</v>
      </c>
      <c r="AK72" s="14">
        <f t="shared" si="89"/>
        <v>63.963540982526439</v>
      </c>
      <c r="AL72" s="22">
        <f t="shared" si="58"/>
        <v>574.39083521123348</v>
      </c>
      <c r="AM72" s="62">
        <f t="shared" si="59"/>
        <v>867.72416854456674</v>
      </c>
      <c r="AN72" s="62">
        <f ca="1">AVERAGE(OFFSET($AM$3,0,0,'Données projet'!$E$10+1,1))-AVERAGE(OFFSET($H$3,0,0,'Données projet'!$E$10+1,1))</f>
        <v>384.44848355636935</v>
      </c>
      <c r="AO72" s="62">
        <f t="shared" si="90"/>
        <v>203.5274665601915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297.91319999999996</v>
      </c>
      <c r="BF72" s="14">
        <f t="shared" si="91"/>
        <v>70.73881247427552</v>
      </c>
      <c r="BG72" s="22">
        <f t="shared" si="61"/>
        <v>642.06892172602977</v>
      </c>
      <c r="BH72" s="62">
        <f t="shared" si="62"/>
        <v>935.40225505936314</v>
      </c>
      <c r="BI72" s="62">
        <f ca="1">AVERAGE(OFFSET($BH$3,0,0,'Données projet'!$E$11+1,1))-AVERAGE(OFFSET($H$3,0,0,'Données projet'!$E$11+1,1))</f>
        <v>440.60698566758532</v>
      </c>
      <c r="BJ72" s="62">
        <f t="shared" si="92"/>
        <v>231.92898690465887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12.875</v>
      </c>
      <c r="BY72" s="13">
        <f>IF('Données projet'!$A$114&gt;35,BY71+BX72-CG71,IF(A72&lt;'Données projet'!$A$114,$BV$205^A72,IF(A72='Données projet'!$A$114,'Données projet'!$B$114,BY71+BX72-CG71)))</f>
        <v>468.62499999999994</v>
      </c>
      <c r="BZ72" s="14">
        <f>BY72*VLOOKUP('Données projet'!$B$12,Paramètres!$A$1:$I$89,3,0)*VLOOKUP('Données projet'!$B$12,Paramètres!$A$1:$I$89,5,0)</f>
        <v>280.23775000000001</v>
      </c>
      <c r="CA72" s="14">
        <f t="shared" si="93"/>
        <v>67.017249808465152</v>
      </c>
      <c r="CB72" s="22">
        <f t="shared" si="64"/>
        <v>604.80245799974352</v>
      </c>
      <c r="CC72" s="62">
        <f t="shared" si="65"/>
        <v>898.1357913330769</v>
      </c>
      <c r="CD72" s="62">
        <f ca="1">AVERAGE(OFFSET($CC$3,0,0,'Données projet'!$E$12+1,1))-AVERAGE(OFFSET($H$3,0,0,'Données projet'!$E$12+1,1))</f>
        <v>287.29865338866551</v>
      </c>
      <c r="CE72" s="62">
        <f t="shared" si="94"/>
        <v>217.57508587672368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3.7152562621334391</v>
      </c>
      <c r="CM72" s="23">
        <f>EXP(-LN(2)/2)*CM71+(1-EXP(-LN(2)/2))/(LN(2)/2)*CG72*CJ72*VLOOKUP('Données projet'!$B$12,Paramètres!$A$1:$I$89,3,0)*0.475*44/12</f>
        <v>1.7352612874266402E-5</v>
      </c>
      <c r="CN72" s="24">
        <f t="shared" si="66"/>
        <v>3.7152736147463132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>
        <f>CT72*VLOOKUP('Données projet'!$B$13,Paramètres!$A$1:$I$89,3,0)*VLOOKUP('Données projet'!$B$13,Paramètres!$A$1:$I$89,5,0)</f>
        <v>0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175.05987582828078</v>
      </c>
      <c r="CZ72" s="62">
        <f t="shared" si="96"/>
        <v>268.54782308462387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3.0797234300611045</v>
      </c>
      <c r="DH72" s="23">
        <f>EXP(-LN(2)/2)*DH71+(1-EXP(-LN(2)/2))/(LN(2)/2)*DB72*DE72*VLOOKUP('Données projet'!$B$13,Paramètres!$A$1:$I$89,3,0)*0.475*44/12</f>
        <v>1.7059644867897556E-5</v>
      </c>
      <c r="DI72" s="24">
        <f t="shared" si="69"/>
        <v>3.0797404897059724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6.75</v>
      </c>
      <c r="DO72" s="13">
        <f>IF('Données projet'!$A$166&gt;35,DO71+DN72-DW71,IF(A72&lt;'Données projet'!$A$166,$DL$205^A72,IF(A72='Données projet'!$A$166,'Données projet'!$B$166,DO71+DN72-DW71)))</f>
        <v>385.24999999999994</v>
      </c>
      <c r="DP72" s="18">
        <f>DO72*VLOOKUP('Données projet'!$B$14,Paramètres!$A$1:$I$89,3,0)*VLOOKUP('Données projet'!$B$14,Paramètres!$A$1:$I$89,5,0)</f>
        <v>220.36299999999997</v>
      </c>
      <c r="DQ72" s="14">
        <f t="shared" si="97"/>
        <v>54.193774405323978</v>
      </c>
      <c r="DR72" s="22">
        <f t="shared" si="70"/>
        <v>478.18638208927251</v>
      </c>
      <c r="DS72" s="62">
        <f t="shared" si="71"/>
        <v>771.51971542260583</v>
      </c>
      <c r="DT72" s="62">
        <f ca="1">AVERAGE(OFFSET($DS$3,0,0,'Données projet'!$E$14+1,1))-AVERAGE(OFFSET($H$3,0,0,'Données projet'!$E$14+1,1))</f>
        <v>228.06050741667258</v>
      </c>
      <c r="DU72" s="62">
        <f t="shared" si="98"/>
        <v>191.94885821983536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6.3769842829965429</v>
      </c>
      <c r="EC72" s="23">
        <f>EXP(-LN(2)/2)*EC71+(1-EXP(-LN(2)/2))/(LN(2)/2)*DW72*DZ72*VLOOKUP('Données projet'!$B$14,Paramètres!$A$1:$I$89,3,0)*0.475*44/12</f>
        <v>1.384000944637326E-4</v>
      </c>
      <c r="ED72" s="24">
        <f t="shared" si="72"/>
        <v>6.3771226830910068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-5.6843418860808015E-14</v>
      </c>
      <c r="EK72" s="18">
        <f>EJ72*VLOOKUP('Données projet'!$B$15,Paramètres!$A$1:$I$89,3,0)*VLOOKUP('Données projet'!$B$15,Paramètres!$A$1:$I$89,5,0)</f>
        <v>-5.1431925385259088E-14</v>
      </c>
      <c r="EL72" s="14" t="e">
        <f t="shared" si="99"/>
        <v>#NUM!</v>
      </c>
      <c r="EM72" s="22" t="e">
        <f t="shared" si="73"/>
        <v>#NUM!</v>
      </c>
      <c r="EN72" s="62" t="e">
        <f t="shared" si="74"/>
        <v>#NUM!</v>
      </c>
      <c r="EO72" s="62">
        <f ca="1">AVERAGE(OFFSET($EN$3,0,0,'Données projet'!$E$15+1,1))-AVERAGE(OFFSET($H$3,0,0,'Données projet'!$E$15+1,1))</f>
        <v>315.23521260143986</v>
      </c>
      <c r="EP72" s="62">
        <f t="shared" si="100"/>
        <v>439.11021845472641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551</v>
      </c>
      <c r="L73" s="13">
        <f>VLOOKUP(A73,'Données projet'!$A$35:$I$55,9,0)</f>
        <v>13.857142857142858</v>
      </c>
      <c r="M73" s="13">
        <f t="array" ref="M73">INDEX(L:L,MIN(IF(ISNUMBER(L73:L269),ROW(L73:L269),"")))</f>
        <v>13.857142857142858</v>
      </c>
      <c r="N73" s="14">
        <f>IF('Données projet'!$A$36&gt;35,N72+M73-V72,IF(A73&lt;'Données projet'!$A$36,$K$205^A73,IF(A73='Données projet'!$A$36,'Données projet'!$B$36,N72+M73-V72)))</f>
        <v>550.99999999999966</v>
      </c>
      <c r="O73" s="14">
        <f>N73*VLOOKUP('Données projet'!$B$9,Paramètres!$A$1:$I$89,3,0)*VLOOKUP('Données projet'!$B$9,Paramètres!$A$1:$I$89,5,0)</f>
        <v>308.00899999999979</v>
      </c>
      <c r="P73" s="14">
        <f t="shared" si="87"/>
        <v>72.852874331417695</v>
      </c>
      <c r="Q73" s="22">
        <f t="shared" si="54"/>
        <v>663.33443112721886</v>
      </c>
      <c r="R73" s="62">
        <f t="shared" si="55"/>
        <v>956.66776446055223</v>
      </c>
      <c r="S73" s="62">
        <f ca="1">AVERAGE(OFFSET($R$3,0,0,'Données projet'!$E$9+1,1))-AVERAGE(OFFSET($H$3,0,0,'Données projet'!$E$9+1,1))</f>
        <v>302.20483575440988</v>
      </c>
      <c r="T73" s="62">
        <f t="shared" si="88"/>
        <v>275.32862097158687</v>
      </c>
      <c r="U73" s="16">
        <f>IF(ISNA(VLOOKUP(A73,'Données projet'!$A$35:$I$55,3,0)),0,VLOOKUP(A73,'Données projet'!$A$35:$I$55,3,0))</f>
        <v>8</v>
      </c>
      <c r="V73" s="16">
        <f>IF(ISNA(VLOOKUP(A73,'Données projet'!$A$35:$I$55,4,0)),0,VLOOKUP(A73,'Données projet'!$A$35:$I$55,4,0))</f>
        <v>551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7.3461697126514984</v>
      </c>
      <c r="AB73" s="23">
        <f>EXP(-LN(2)/2)*AB72+(1-EXP(-LN(2)/2))/(LN(2)/2)*V73*Y73*VLOOKUP('Données projet'!$B$9,Paramètres!$A$1:$I$89,3,0)*0.475*44/12</f>
        <v>1.0497838060078897E-5</v>
      </c>
      <c r="AC73" s="24">
        <f t="shared" si="57"/>
        <v>7.3461802104895586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273.24959999999999</v>
      </c>
      <c r="AK73" s="14">
        <f t="shared" si="89"/>
        <v>65.538435495514321</v>
      </c>
      <c r="AL73" s="22">
        <f t="shared" si="58"/>
        <v>590.05582848802067</v>
      </c>
      <c r="AM73" s="62">
        <f t="shared" si="59"/>
        <v>883.38916182135404</v>
      </c>
      <c r="AN73" s="62">
        <f ca="1">AVERAGE(OFFSET($AM$3,0,0,'Données projet'!$E$10+1,1))-AVERAGE(OFFSET($H$3,0,0,'Données projet'!$E$10+1,1))</f>
        <v>384.44848355636935</v>
      </c>
      <c r="AO73" s="62">
        <f t="shared" si="90"/>
        <v>203.5274665601915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306.22800000000001</v>
      </c>
      <c r="BF73" s="14">
        <f t="shared" si="91"/>
        <v>72.480526049067294</v>
      </c>
      <c r="BG73" s="22">
        <f t="shared" si="61"/>
        <v>659.58401620212555</v>
      </c>
      <c r="BH73" s="62">
        <f t="shared" si="62"/>
        <v>952.91734953545892</v>
      </c>
      <c r="BI73" s="62">
        <f ca="1">AVERAGE(OFFSET($BH$3,0,0,'Données projet'!$E$11+1,1))-AVERAGE(OFFSET($H$3,0,0,'Données projet'!$E$11+1,1))</f>
        <v>440.60698566758532</v>
      </c>
      <c r="BJ73" s="62">
        <f t="shared" si="92"/>
        <v>231.92898690465887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12.875</v>
      </c>
      <c r="BY73" s="13">
        <f>IF('Données projet'!$A$114&gt;35,BY72+BX73-CG72,IF(A73&lt;'Données projet'!$A$114,$BV$205^A73,IF(A73='Données projet'!$A$114,'Données projet'!$B$114,BY72+BX73-CG72)))</f>
        <v>481.49999999999994</v>
      </c>
      <c r="BZ73" s="14">
        <f>BY73*VLOOKUP('Données projet'!$B$12,Paramètres!$A$1:$I$89,3,0)*VLOOKUP('Données projet'!$B$12,Paramètres!$A$1:$I$89,5,0)</f>
        <v>287.93700000000001</v>
      </c>
      <c r="CA73" s="14">
        <f t="shared" si="93"/>
        <v>68.641586729718156</v>
      </c>
      <c r="CB73" s="22">
        <f t="shared" si="64"/>
        <v>621.04103855425899</v>
      </c>
      <c r="CC73" s="62">
        <f t="shared" si="65"/>
        <v>914.37437188759236</v>
      </c>
      <c r="CD73" s="62">
        <f ca="1">AVERAGE(OFFSET($CC$3,0,0,'Données projet'!$E$12+1,1))-AVERAGE(OFFSET($H$3,0,0,'Données projet'!$E$12+1,1))</f>
        <v>287.29865338866551</v>
      </c>
      <c r="CE73" s="62">
        <f t="shared" si="94"/>
        <v>217.57508587672368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3.6136623842685647</v>
      </c>
      <c r="CM73" s="23">
        <f>EXP(-LN(2)/2)*CM72+(1-EXP(-LN(2)/2))/(LN(2)/2)*CG73*CJ73*VLOOKUP('Données projet'!$B$12,Paramètres!$A$1:$I$89,3,0)*0.475*44/12</f>
        <v>1.227015023469876E-5</v>
      </c>
      <c r="CN73" s="24">
        <f t="shared" si="66"/>
        <v>3.6136746544187992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>
        <f>CT73*VLOOKUP('Données projet'!$B$13,Paramètres!$A$1:$I$89,3,0)*VLOOKUP('Données projet'!$B$13,Paramètres!$A$1:$I$89,5,0)</f>
        <v>0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175.05987582828078</v>
      </c>
      <c r="CZ73" s="62">
        <f t="shared" si="96"/>
        <v>268.54782308462387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2.9955082309104673</v>
      </c>
      <c r="DH73" s="23">
        <f>EXP(-LN(2)/2)*DH72+(1-EXP(-LN(2)/2))/(LN(2)/2)*DB73*DE73*VLOOKUP('Données projet'!$B$13,Paramètres!$A$1:$I$89,3,0)*0.475*44/12</f>
        <v>1.2062990570724646E-5</v>
      </c>
      <c r="DI73" s="24">
        <f t="shared" si="69"/>
        <v>2.9955202939010381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6.75</v>
      </c>
      <c r="DO73" s="13">
        <f>IF('Données projet'!$A$166&gt;35,DO72+DN73-DW72,IF(A73&lt;'Données projet'!$A$166,$DL$205^A73,IF(A73='Données projet'!$A$166,'Données projet'!$B$166,DO72+DN73-DW72)))</f>
        <v>391.99999999999994</v>
      </c>
      <c r="DP73" s="18">
        <f>DO73*VLOOKUP('Données projet'!$B$14,Paramètres!$A$1:$I$89,3,0)*VLOOKUP('Données projet'!$B$14,Paramètres!$A$1:$I$89,5,0)</f>
        <v>224.22399999999999</v>
      </c>
      <c r="DQ73" s="14">
        <f t="shared" si="97"/>
        <v>55.031932623797523</v>
      </c>
      <c r="DR73" s="22">
        <f t="shared" si="70"/>
        <v>486.3707493197806</v>
      </c>
      <c r="DS73" s="62">
        <f t="shared" si="71"/>
        <v>779.70408265311391</v>
      </c>
      <c r="DT73" s="62">
        <f ca="1">AVERAGE(OFFSET($DS$3,0,0,'Données projet'!$E$14+1,1))-AVERAGE(OFFSET($H$3,0,0,'Données projet'!$E$14+1,1))</f>
        <v>228.06050741667258</v>
      </c>
      <c r="DU73" s="62">
        <f t="shared" si="98"/>
        <v>191.94885821983536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6.2026053124269733</v>
      </c>
      <c r="EC73" s="23">
        <f>EXP(-LN(2)/2)*EC72+(1-EXP(-LN(2)/2))/(LN(2)/2)*DW73*DZ73*VLOOKUP('Données projet'!$B$14,Paramètres!$A$1:$I$89,3,0)*0.475*44/12</f>
        <v>9.7863645312164078E-5</v>
      </c>
      <c r="ED73" s="24">
        <f t="shared" si="72"/>
        <v>6.2027031760722853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-5.6843418860808015E-14</v>
      </c>
      <c r="EK73" s="18">
        <f>EJ73*VLOOKUP('Données projet'!$B$15,Paramètres!$A$1:$I$89,3,0)*VLOOKUP('Données projet'!$B$15,Paramètres!$A$1:$I$89,5,0)</f>
        <v>-5.1431925385259088E-14</v>
      </c>
      <c r="EL73" s="14" t="e">
        <f t="shared" si="99"/>
        <v>#NUM!</v>
      </c>
      <c r="EM73" s="22" t="e">
        <f t="shared" si="73"/>
        <v>#NUM!</v>
      </c>
      <c r="EN73" s="62" t="e">
        <f t="shared" si="74"/>
        <v>#NUM!</v>
      </c>
      <c r="EO73" s="62">
        <f ca="1">AVERAGE(OFFSET($EN$3,0,0,'Données projet'!$E$15+1,1))-AVERAGE(OFFSET($H$3,0,0,'Données projet'!$E$15+1,1))</f>
        <v>315.23521260143986</v>
      </c>
      <c r="EP73" s="62">
        <f t="shared" si="100"/>
        <v>439.11021845472641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-3.4106051316484809E-13</v>
      </c>
      <c r="O74" s="14">
        <f>N74*VLOOKUP('Données projet'!$B$9,Paramètres!$A$1:$I$89,3,0)*VLOOKUP('Données projet'!$B$9,Paramètres!$A$1:$I$89,5,0)</f>
        <v>-1.9065282685915009E-13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302.20483575440988</v>
      </c>
      <c r="T74" s="62">
        <f t="shared" si="88"/>
        <v>275.32862097158687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7.1452883155407676</v>
      </c>
      <c r="AB74" s="23">
        <f>EXP(-LN(2)/2)*AB73+(1-EXP(-LN(2)/2))/(LN(2)/2)*V74*Y74*VLOOKUP('Données projet'!$B$9,Paramètres!$A$1:$I$89,3,0)*0.475*44/12</f>
        <v>7.42309248008002E-6</v>
      </c>
      <c r="AC74" s="24">
        <f t="shared" si="57"/>
        <v>7.1452957386332479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309.59999999999997</v>
      </c>
      <c r="AJ74" s="14">
        <f>AI74*VLOOKUP('Données projet'!$B$10,Paramètres!$A$1:$I$89,3,0)*VLOOKUP('Données projet'!$B$10,Paramètres!$A$1:$I$89,5,0)</f>
        <v>280.12607999999994</v>
      </c>
      <c r="AK74" s="14">
        <f t="shared" si="89"/>
        <v>66.993652511337999</v>
      </c>
      <c r="AL74" s="22">
        <f t="shared" si="58"/>
        <v>604.56686745724687</v>
      </c>
      <c r="AM74" s="62">
        <f t="shared" si="59"/>
        <v>897.90020079058013</v>
      </c>
      <c r="AN74" s="62">
        <f ca="1">AVERAGE(OFFSET($AM$3,0,0,'Données projet'!$E$10+1,1))-AVERAGE(OFFSET($H$3,0,0,'Données projet'!$E$10+1,1))</f>
        <v>384.44848355636935</v>
      </c>
      <c r="AO74" s="62">
        <f t="shared" si="90"/>
        <v>203.5274665601915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309.59999999999997</v>
      </c>
      <c r="BE74" s="14">
        <f>BD74*VLOOKUP('Données projet'!$B$11,Paramètres!$A$1:$I$89,3,0)*VLOOKUP('Données projet'!$B$11,Paramètres!$A$1:$I$89,5,0)</f>
        <v>313.93439999999998</v>
      </c>
      <c r="BF74" s="14">
        <f t="shared" si="91"/>
        <v>74.089885412393457</v>
      </c>
      <c r="BG74" s="22">
        <f t="shared" si="61"/>
        <v>675.80896375991858</v>
      </c>
      <c r="BH74" s="62">
        <f t="shared" si="62"/>
        <v>969.14229709325195</v>
      </c>
      <c r="BI74" s="62">
        <f ca="1">AVERAGE(OFFSET($BH$3,0,0,'Données projet'!$E$11+1,1))-AVERAGE(OFFSET($H$3,0,0,'Données projet'!$E$11+1,1))</f>
        <v>440.60698566758532</v>
      </c>
      <c r="BJ74" s="62">
        <f t="shared" si="92"/>
        <v>231.92898690465887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12.875</v>
      </c>
      <c r="BY74" s="13">
        <f>IF('Données projet'!$A$114&gt;35,BY73+BX74-CG73,IF(A74&lt;'Données projet'!$A$114,$BV$205^A74,IF(A74='Données projet'!$A$114,'Données projet'!$B$114,BY73+BX74-CG73)))</f>
        <v>494.37499999999994</v>
      </c>
      <c r="BZ74" s="14">
        <f>BY74*VLOOKUP('Données projet'!$B$12,Paramètres!$A$1:$I$89,3,0)*VLOOKUP('Données projet'!$B$12,Paramètres!$A$1:$I$89,5,0)</f>
        <v>295.63625000000002</v>
      </c>
      <c r="CA74" s="14">
        <f t="shared" si="93"/>
        <v>70.260875189476423</v>
      </c>
      <c r="CB74" s="22">
        <f t="shared" si="64"/>
        <v>637.27082637167155</v>
      </c>
      <c r="CC74" s="62">
        <f t="shared" si="65"/>
        <v>930.6041597050048</v>
      </c>
      <c r="CD74" s="62">
        <f ca="1">AVERAGE(OFFSET($CC$3,0,0,'Données projet'!$E$12+1,1))-AVERAGE(OFFSET($H$3,0,0,'Données projet'!$E$12+1,1))</f>
        <v>287.29865338866551</v>
      </c>
      <c r="CE74" s="62">
        <f t="shared" si="94"/>
        <v>217.57508587672368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3.5148465963364952</v>
      </c>
      <c r="CM74" s="23">
        <f>EXP(-LN(2)/2)*CM73+(1-EXP(-LN(2)/2))/(LN(2)/2)*CG74*CJ74*VLOOKUP('Données projet'!$B$12,Paramètres!$A$1:$I$89,3,0)*0.475*44/12</f>
        <v>8.6763064371332008E-6</v>
      </c>
      <c r="CN74" s="24">
        <f t="shared" si="66"/>
        <v>3.5148552726429325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>
        <f>CT74*VLOOKUP('Données projet'!$B$13,Paramètres!$A$1:$I$89,3,0)*VLOOKUP('Données projet'!$B$13,Paramètres!$A$1:$I$89,5,0)</f>
        <v>0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175.05987582828078</v>
      </c>
      <c r="CZ74" s="62">
        <f t="shared" si="96"/>
        <v>268.54782308462387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2.9135959008092889</v>
      </c>
      <c r="DH74" s="23">
        <f>EXP(-LN(2)/2)*DH73+(1-EXP(-LN(2)/2))/(LN(2)/2)*DB74*DE74*VLOOKUP('Données projet'!$B$13,Paramètres!$A$1:$I$89,3,0)*0.475*44/12</f>
        <v>8.5298224339487781E-6</v>
      </c>
      <c r="DI74" s="24">
        <f t="shared" si="69"/>
        <v>2.913604430631723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6.75</v>
      </c>
      <c r="DO74" s="13">
        <f>IF('Données projet'!$A$166&gt;35,DO73+DN74-DW73,IF(A74&lt;'Données projet'!$A$166,$DL$205^A74,IF(A74='Données projet'!$A$166,'Données projet'!$B$166,DO73+DN74-DW73)))</f>
        <v>398.74999999999994</v>
      </c>
      <c r="DP74" s="18">
        <f>DO74*VLOOKUP('Données projet'!$B$14,Paramètres!$A$1:$I$89,3,0)*VLOOKUP('Données projet'!$B$14,Paramètres!$A$1:$I$89,5,0)</f>
        <v>228.08499999999998</v>
      </c>
      <c r="DQ74" s="14">
        <f t="shared" si="97"/>
        <v>55.868412485747712</v>
      </c>
      <c r="DR74" s="22">
        <f t="shared" si="70"/>
        <v>494.55219341267713</v>
      </c>
      <c r="DS74" s="62">
        <f t="shared" si="71"/>
        <v>787.88552674601044</v>
      </c>
      <c r="DT74" s="62">
        <f ca="1">AVERAGE(OFFSET($DS$3,0,0,'Données projet'!$E$14+1,1))-AVERAGE(OFFSET($H$3,0,0,'Données projet'!$E$14+1,1))</f>
        <v>228.06050741667258</v>
      </c>
      <c r="DU74" s="62">
        <f t="shared" si="98"/>
        <v>191.94885821983536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6.0329947439778202</v>
      </c>
      <c r="EC74" s="23">
        <f>EXP(-LN(2)/2)*EC73+(1-EXP(-LN(2)/2))/(LN(2)/2)*DW74*DZ74*VLOOKUP('Données projet'!$B$14,Paramètres!$A$1:$I$89,3,0)*0.475*44/12</f>
        <v>6.9200047231866301E-5</v>
      </c>
      <c r="ED74" s="24">
        <f t="shared" si="72"/>
        <v>6.0330639440250522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-5.6843418860808015E-14</v>
      </c>
      <c r="EK74" s="18">
        <f>EJ74*VLOOKUP('Données projet'!$B$15,Paramètres!$A$1:$I$89,3,0)*VLOOKUP('Données projet'!$B$15,Paramètres!$A$1:$I$89,5,0)</f>
        <v>-5.1431925385259088E-14</v>
      </c>
      <c r="EL74" s="14" t="e">
        <f t="shared" si="99"/>
        <v>#NUM!</v>
      </c>
      <c r="EM74" s="22" t="e">
        <f t="shared" si="73"/>
        <v>#NUM!</v>
      </c>
      <c r="EN74" s="62" t="e">
        <f t="shared" si="74"/>
        <v>#NUM!</v>
      </c>
      <c r="EO74" s="62">
        <f ca="1">AVERAGE(OFFSET($EN$3,0,0,'Données projet'!$E$15+1,1))-AVERAGE(OFFSET($H$3,0,0,'Données projet'!$E$15+1,1))</f>
        <v>315.23521260143986</v>
      </c>
      <c r="EP74" s="62">
        <f t="shared" si="100"/>
        <v>439.11021845472641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-3.4106051316484809E-13</v>
      </c>
      <c r="O75" s="14">
        <f>N75*VLOOKUP('Données projet'!$B$9,Paramètres!$A$1:$I$89,3,0)*VLOOKUP('Données projet'!$B$9,Paramètres!$A$1:$I$89,5,0)</f>
        <v>-1.9065282685915009E-13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302.20483575440988</v>
      </c>
      <c r="T75" s="62">
        <f t="shared" si="88"/>
        <v>275.32862097158687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6.9499000307979237</v>
      </c>
      <c r="AB75" s="23">
        <f>EXP(-LN(2)/2)*AB74+(1-EXP(-LN(2)/2))/(LN(2)/2)*V75*Y75*VLOOKUP('Données projet'!$B$9,Paramètres!$A$1:$I$89,3,0)*0.475*44/12</f>
        <v>5.2489190300394493E-6</v>
      </c>
      <c r="AC75" s="24">
        <f t="shared" si="57"/>
        <v>6.9499052797169538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317.2</v>
      </c>
      <c r="AJ75" s="14">
        <f>AI75*VLOOKUP('Données projet'!$B$10,Paramètres!$A$1:$I$89,3,0)*VLOOKUP('Données projet'!$B$10,Paramètres!$A$1:$I$89,5,0)</f>
        <v>287.00255999999996</v>
      </c>
      <c r="AK75" s="14">
        <f t="shared" si="89"/>
        <v>68.444716936118553</v>
      </c>
      <c r="AL75" s="22">
        <f t="shared" si="58"/>
        <v>619.07067399707296</v>
      </c>
      <c r="AM75" s="62">
        <f t="shared" si="59"/>
        <v>912.40400733040633</v>
      </c>
      <c r="AN75" s="62">
        <f ca="1">AVERAGE(OFFSET($AM$3,0,0,'Données projet'!$E$10+1,1))-AVERAGE(OFFSET($H$3,0,0,'Données projet'!$E$10+1,1))</f>
        <v>384.44848355636935</v>
      </c>
      <c r="AO75" s="62">
        <f t="shared" si="90"/>
        <v>203.5274665601915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317.2</v>
      </c>
      <c r="BE75" s="14">
        <f>BD75*VLOOKUP('Données projet'!$B$11,Paramètres!$A$1:$I$89,3,0)*VLOOKUP('Données projet'!$B$11,Paramètres!$A$1:$I$89,5,0)</f>
        <v>321.64080000000001</v>
      </c>
      <c r="BF75" s="14">
        <f t="shared" si="91"/>
        <v>75.694652325793228</v>
      </c>
      <c r="BG75" s="22">
        <f t="shared" si="61"/>
        <v>692.0259128007566</v>
      </c>
      <c r="BH75" s="62">
        <f t="shared" si="62"/>
        <v>985.35924613408997</v>
      </c>
      <c r="BI75" s="62">
        <f ca="1">AVERAGE(OFFSET($BH$3,0,0,'Données projet'!$E$11+1,1))-AVERAGE(OFFSET($H$3,0,0,'Données projet'!$E$11+1,1))</f>
        <v>440.60698566758532</v>
      </c>
      <c r="BJ75" s="62">
        <f t="shared" si="92"/>
        <v>231.92898690465887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12.875</v>
      </c>
      <c r="BY75" s="13">
        <f>IF('Données projet'!$A$114&gt;35,BY74+BX75-CG74,IF(A75&lt;'Données projet'!$A$114,$BV$205^A75,IF(A75='Données projet'!$A$114,'Données projet'!$B$114,BY74+BX75-CG74)))</f>
        <v>507.24999999999994</v>
      </c>
      <c r="BZ75" s="14">
        <f>BY75*VLOOKUP('Données projet'!$B$12,Paramètres!$A$1:$I$89,3,0)*VLOOKUP('Données projet'!$B$12,Paramètres!$A$1:$I$89,5,0)</f>
        <v>303.33549999999997</v>
      </c>
      <c r="CA75" s="14">
        <f t="shared" si="93"/>
        <v>71.875261779950591</v>
      </c>
      <c r="CB75" s="22">
        <f t="shared" si="64"/>
        <v>653.49207676674712</v>
      </c>
      <c r="CC75" s="62">
        <f t="shared" si="65"/>
        <v>946.82541010008049</v>
      </c>
      <c r="CD75" s="62">
        <f ca="1">AVERAGE(OFFSET($CC$3,0,0,'Données projet'!$E$12+1,1))-AVERAGE(OFFSET($H$3,0,0,'Données projet'!$E$12+1,1))</f>
        <v>287.29865338866551</v>
      </c>
      <c r="CE75" s="62">
        <f t="shared" si="94"/>
        <v>217.57508587672368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3.4187329313219244</v>
      </c>
      <c r="CM75" s="23">
        <f>EXP(-LN(2)/2)*CM74+(1-EXP(-LN(2)/2))/(LN(2)/2)*CG75*CJ75*VLOOKUP('Données projet'!$B$12,Paramètres!$A$1:$I$89,3,0)*0.475*44/12</f>
        <v>6.1350751173493801E-6</v>
      </c>
      <c r="CN75" s="24">
        <f t="shared" si="66"/>
        <v>3.4187390663970416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>
        <f>CT75*VLOOKUP('Données projet'!$B$13,Paramètres!$A$1:$I$89,3,0)*VLOOKUP('Données projet'!$B$13,Paramètres!$A$1:$I$89,5,0)</f>
        <v>0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175.05987582828078</v>
      </c>
      <c r="CZ75" s="62">
        <f t="shared" si="96"/>
        <v>268.54782308462387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2.8339234676823097</v>
      </c>
      <c r="DH75" s="23">
        <f>EXP(-LN(2)/2)*DH74+(1-EXP(-LN(2)/2))/(LN(2)/2)*DB75*DE75*VLOOKUP('Données projet'!$B$13,Paramètres!$A$1:$I$89,3,0)*0.475*44/12</f>
        <v>6.0314952853623229E-6</v>
      </c>
      <c r="DI75" s="24">
        <f t="shared" si="69"/>
        <v>2.8339294991775952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6.75</v>
      </c>
      <c r="DO75" s="13">
        <f>IF('Données projet'!$A$166&gt;35,DO74+DN75-DW74,IF(A75&lt;'Données projet'!$A$166,$DL$205^A75,IF(A75='Données projet'!$A$166,'Données projet'!$B$166,DO74+DN75-DW74)))</f>
        <v>405.49999999999994</v>
      </c>
      <c r="DP75" s="18">
        <f>DO75*VLOOKUP('Données projet'!$B$14,Paramètres!$A$1:$I$89,3,0)*VLOOKUP('Données projet'!$B$14,Paramètres!$A$1:$I$89,5,0)</f>
        <v>231.946</v>
      </c>
      <c r="DQ75" s="14">
        <f t="shared" si="97"/>
        <v>56.703245681093705</v>
      </c>
      <c r="DR75" s="22">
        <f t="shared" si="70"/>
        <v>502.73076956123822</v>
      </c>
      <c r="DS75" s="62">
        <f t="shared" si="71"/>
        <v>796.06410289457153</v>
      </c>
      <c r="DT75" s="62">
        <f ca="1">AVERAGE(OFFSET($DS$3,0,0,'Données projet'!$E$14+1,1))-AVERAGE(OFFSET($H$3,0,0,'Données projet'!$E$14+1,1))</f>
        <v>228.06050741667258</v>
      </c>
      <c r="DU75" s="62">
        <f t="shared" si="98"/>
        <v>191.94885821983536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5.8680221854423413</v>
      </c>
      <c r="EC75" s="23">
        <f>EXP(-LN(2)/2)*EC74+(1-EXP(-LN(2)/2))/(LN(2)/2)*DW75*DZ75*VLOOKUP('Données projet'!$B$14,Paramètres!$A$1:$I$89,3,0)*0.475*44/12</f>
        <v>4.8931822656082039E-5</v>
      </c>
      <c r="ED75" s="24">
        <f t="shared" si="72"/>
        <v>5.8680711172649973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-5.6843418860808015E-14</v>
      </c>
      <c r="EK75" s="18">
        <f>EJ75*VLOOKUP('Données projet'!$B$15,Paramètres!$A$1:$I$89,3,0)*VLOOKUP('Données projet'!$B$15,Paramètres!$A$1:$I$89,5,0)</f>
        <v>-5.1431925385259088E-14</v>
      </c>
      <c r="EL75" s="14" t="e">
        <f t="shared" si="99"/>
        <v>#NUM!</v>
      </c>
      <c r="EM75" s="22" t="e">
        <f t="shared" si="73"/>
        <v>#NUM!</v>
      </c>
      <c r="EN75" s="62" t="e">
        <f t="shared" si="74"/>
        <v>#NUM!</v>
      </c>
      <c r="EO75" s="62">
        <f ca="1">AVERAGE(OFFSET($EN$3,0,0,'Données projet'!$E$15+1,1))-AVERAGE(OFFSET($H$3,0,0,'Données projet'!$E$15+1,1))</f>
        <v>315.23521260143986</v>
      </c>
      <c r="EP75" s="62">
        <f t="shared" si="100"/>
        <v>439.11021845472641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-3.4106051316484809E-13</v>
      </c>
      <c r="O76" s="14">
        <f>N76*VLOOKUP('Données projet'!$B$9,Paramètres!$A$1:$I$89,3,0)*VLOOKUP('Données projet'!$B$9,Paramètres!$A$1:$I$89,5,0)</f>
        <v>-1.9065282685915009E-13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302.20483575440988</v>
      </c>
      <c r="T76" s="62">
        <f t="shared" si="88"/>
        <v>275.32862097158687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6.759854648976396</v>
      </c>
      <c r="AB76" s="23">
        <f>EXP(-LN(2)/2)*AB75+(1-EXP(-LN(2)/2))/(LN(2)/2)*V76*Y76*VLOOKUP('Données projet'!$B$9,Paramètres!$A$1:$I$89,3,0)*0.475*44/12</f>
        <v>3.7115462400400104E-6</v>
      </c>
      <c r="AC76" s="24">
        <f t="shared" si="57"/>
        <v>6.7598583605226361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324.8</v>
      </c>
      <c r="AJ76" s="14">
        <f>AI76*VLOOKUP('Données projet'!$B$10,Paramètres!$A$1:$I$89,3,0)*VLOOKUP('Données projet'!$B$10,Paramètres!$A$1:$I$89,5,0)</f>
        <v>293.87903999999997</v>
      </c>
      <c r="AK76" s="14">
        <f t="shared" si="89"/>
        <v>69.891739712361669</v>
      </c>
      <c r="AL76" s="22">
        <f t="shared" si="58"/>
        <v>633.56744133236327</v>
      </c>
      <c r="AM76" s="62">
        <f t="shared" si="59"/>
        <v>926.90077466569664</v>
      </c>
      <c r="AN76" s="62">
        <f ca="1">AVERAGE(OFFSET($AM$3,0,0,'Données projet'!$E$10+1,1))-AVERAGE(OFFSET($H$3,0,0,'Données projet'!$E$10+1,1))</f>
        <v>384.44848355636935</v>
      </c>
      <c r="AO76" s="62">
        <f t="shared" si="90"/>
        <v>203.5274665601915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324.8</v>
      </c>
      <c r="BE76" s="14">
        <f>BD76*VLOOKUP('Données projet'!$B$11,Paramètres!$A$1:$I$89,3,0)*VLOOKUP('Données projet'!$B$11,Paramètres!$A$1:$I$89,5,0)</f>
        <v>329.34720000000004</v>
      </c>
      <c r="BF76" s="14">
        <f t="shared" si="91"/>
        <v>77.294949483241496</v>
      </c>
      <c r="BG76" s="22">
        <f t="shared" si="61"/>
        <v>708.23507701664573</v>
      </c>
      <c r="BH76" s="62">
        <f t="shared" si="62"/>
        <v>1001.5684103499791</v>
      </c>
      <c r="BI76" s="62">
        <f ca="1">AVERAGE(OFFSET($BH$3,0,0,'Données projet'!$E$11+1,1))-AVERAGE(OFFSET($H$3,0,0,'Données projet'!$E$11+1,1))</f>
        <v>440.60698566758532</v>
      </c>
      <c r="BJ76" s="62">
        <f t="shared" si="92"/>
        <v>231.92898690465887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12.875</v>
      </c>
      <c r="BY76" s="13">
        <f>IF('Données projet'!$A$114&gt;35,BY75+BX76-CG75,IF(A76&lt;'Données projet'!$A$114,$BV$205^A76,IF(A76='Données projet'!$A$114,'Données projet'!$B$114,BY75+BX76-CG75)))</f>
        <v>520.125</v>
      </c>
      <c r="BZ76" s="14">
        <f>BY76*VLOOKUP('Données projet'!$B$12,Paramètres!$A$1:$I$89,3,0)*VLOOKUP('Données projet'!$B$12,Paramètres!$A$1:$I$89,5,0)</f>
        <v>311.03475000000003</v>
      </c>
      <c r="CA76" s="14">
        <f t="shared" si="93"/>
        <v>73.484885227728896</v>
      </c>
      <c r="CB76" s="22">
        <f t="shared" si="64"/>
        <v>669.70503135496119</v>
      </c>
      <c r="CC76" s="62">
        <f t="shared" si="65"/>
        <v>963.03836468829445</v>
      </c>
      <c r="CD76" s="62">
        <f ca="1">AVERAGE(OFFSET($CC$3,0,0,'Données projet'!$E$12+1,1))-AVERAGE(OFFSET($H$3,0,0,'Données projet'!$E$12+1,1))</f>
        <v>287.29865338866551</v>
      </c>
      <c r="CE76" s="62">
        <f t="shared" si="94"/>
        <v>217.57508587672368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3.3252474995315753</v>
      </c>
      <c r="CM76" s="23">
        <f>EXP(-LN(2)/2)*CM75+(1-EXP(-LN(2)/2))/(LN(2)/2)*CG76*CJ76*VLOOKUP('Données projet'!$B$12,Paramètres!$A$1:$I$89,3,0)*0.475*44/12</f>
        <v>4.3381532185666004E-6</v>
      </c>
      <c r="CN76" s="24">
        <f t="shared" si="66"/>
        <v>3.3252518376847937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>
        <f>CT76*VLOOKUP('Données projet'!$B$13,Paramètres!$A$1:$I$89,3,0)*VLOOKUP('Données projet'!$B$13,Paramètres!$A$1:$I$89,5,0)</f>
        <v>0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175.05987582828078</v>
      </c>
      <c r="CZ76" s="62">
        <f t="shared" si="96"/>
        <v>268.54782308462387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2.7564296814289788</v>
      </c>
      <c r="DH76" s="23">
        <f>EXP(-LN(2)/2)*DH75+(1-EXP(-LN(2)/2))/(LN(2)/2)*DB76*DE76*VLOOKUP('Données projet'!$B$13,Paramètres!$A$1:$I$89,3,0)*0.475*44/12</f>
        <v>4.2649112169743891E-6</v>
      </c>
      <c r="DI76" s="24">
        <f t="shared" si="69"/>
        <v>2.7564339463401959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6.75</v>
      </c>
      <c r="DO76" s="13">
        <f>IF('Données projet'!$A$166&gt;35,DO75+DN76-DW75,IF(A76&lt;'Données projet'!$A$166,$DL$205^A76,IF(A76='Données projet'!$A$166,'Données projet'!$B$166,DO75+DN76-DW75)))</f>
        <v>412.24999999999994</v>
      </c>
      <c r="DP76" s="18">
        <f>DO76*VLOOKUP('Données projet'!$B$14,Paramètres!$A$1:$I$89,3,0)*VLOOKUP('Données projet'!$B$14,Paramètres!$A$1:$I$89,5,0)</f>
        <v>235.80699999999999</v>
      </c>
      <c r="DQ76" s="14">
        <f t="shared" si="97"/>
        <v>57.536462784250709</v>
      </c>
      <c r="DR76" s="22">
        <f t="shared" si="70"/>
        <v>510.90653101590328</v>
      </c>
      <c r="DS76" s="62">
        <f t="shared" si="71"/>
        <v>804.23986434923654</v>
      </c>
      <c r="DT76" s="62">
        <f ca="1">AVERAGE(OFFSET($DS$3,0,0,'Données projet'!$E$14+1,1))-AVERAGE(OFFSET($H$3,0,0,'Données projet'!$E$14+1,1))</f>
        <v>228.06050741667258</v>
      </c>
      <c r="DU76" s="62">
        <f t="shared" si="98"/>
        <v>191.94885821983536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5.7075608101955453</v>
      </c>
      <c r="EC76" s="23">
        <f>EXP(-LN(2)/2)*EC75+(1-EXP(-LN(2)/2))/(LN(2)/2)*DW76*DZ76*VLOOKUP('Données projet'!$B$14,Paramètres!$A$1:$I$89,3,0)*0.475*44/12</f>
        <v>3.460002361593315E-5</v>
      </c>
      <c r="ED76" s="24">
        <f t="shared" si="72"/>
        <v>5.7075954102191613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-5.6843418860808015E-14</v>
      </c>
      <c r="EK76" s="18">
        <f>EJ76*VLOOKUP('Données projet'!$B$15,Paramètres!$A$1:$I$89,3,0)*VLOOKUP('Données projet'!$B$15,Paramètres!$A$1:$I$89,5,0)</f>
        <v>-5.1431925385259088E-14</v>
      </c>
      <c r="EL76" s="14" t="e">
        <f t="shared" si="99"/>
        <v>#NUM!</v>
      </c>
      <c r="EM76" s="22" t="e">
        <f t="shared" si="73"/>
        <v>#NUM!</v>
      </c>
      <c r="EN76" s="62" t="e">
        <f t="shared" si="74"/>
        <v>#NUM!</v>
      </c>
      <c r="EO76" s="62">
        <f ca="1">AVERAGE(OFFSET($EN$3,0,0,'Données projet'!$E$15+1,1))-AVERAGE(OFFSET($H$3,0,0,'Données projet'!$E$15+1,1))</f>
        <v>315.23521260143986</v>
      </c>
      <c r="EP76" s="62">
        <f t="shared" si="100"/>
        <v>439.11021845472641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-3.4106051316484809E-13</v>
      </c>
      <c r="O77" s="14">
        <f>N77*VLOOKUP('Données projet'!$B$9,Paramètres!$A$1:$I$89,3,0)*VLOOKUP('Données projet'!$B$9,Paramètres!$A$1:$I$89,5,0)</f>
        <v>-1.9065282685915009E-13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302.20483575440988</v>
      </c>
      <c r="T77" s="62">
        <f t="shared" si="88"/>
        <v>275.32862097158687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6.5750060681148303</v>
      </c>
      <c r="AB77" s="23">
        <f>EXP(-LN(2)/2)*AB76+(1-EXP(-LN(2)/2))/(LN(2)/2)*V77*Y77*VLOOKUP('Données projet'!$B$9,Paramètres!$A$1:$I$89,3,0)*0.475*44/12</f>
        <v>2.6244595150197251E-6</v>
      </c>
      <c r="AC77" s="24">
        <f t="shared" si="57"/>
        <v>6.5750086925743449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332.40000000000003</v>
      </c>
      <c r="AJ77" s="14">
        <f>AI77*VLOOKUP('Données projet'!$B$10,Paramètres!$A$1:$I$89,3,0)*VLOOKUP('Données projet'!$B$10,Paramètres!$A$1:$I$89,5,0)</f>
        <v>300.75551999999999</v>
      </c>
      <c r="AK77" s="14">
        <f t="shared" si="89"/>
        <v>71.334826294482014</v>
      </c>
      <c r="AL77" s="22">
        <f t="shared" si="58"/>
        <v>648.05735312955619</v>
      </c>
      <c r="AM77" s="62">
        <f t="shared" si="59"/>
        <v>941.39068646288956</v>
      </c>
      <c r="AN77" s="62">
        <f ca="1">AVERAGE(OFFSET($AM$3,0,0,'Données projet'!$E$10+1,1))-AVERAGE(OFFSET($H$3,0,0,'Données projet'!$E$10+1,1))</f>
        <v>384.44848355636935</v>
      </c>
      <c r="AO77" s="62">
        <f t="shared" si="90"/>
        <v>203.5274665601915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332.40000000000003</v>
      </c>
      <c r="BE77" s="14">
        <f>BD77*VLOOKUP('Données projet'!$B$11,Paramètres!$A$1:$I$89,3,0)*VLOOKUP('Données projet'!$B$11,Paramètres!$A$1:$I$89,5,0)</f>
        <v>337.05360000000007</v>
      </c>
      <c r="BF77" s="14">
        <f t="shared" si="91"/>
        <v>78.890893509302231</v>
      </c>
      <c r="BG77" s="22">
        <f t="shared" si="61"/>
        <v>724.43665952870151</v>
      </c>
      <c r="BH77" s="62">
        <f t="shared" si="62"/>
        <v>1017.7699928620348</v>
      </c>
      <c r="BI77" s="62">
        <f ca="1">AVERAGE(OFFSET($BH$3,0,0,'Données projet'!$E$11+1,1))-AVERAGE(OFFSET($H$3,0,0,'Données projet'!$E$11+1,1))</f>
        <v>440.60698566758532</v>
      </c>
      <c r="BJ77" s="62">
        <f t="shared" si="92"/>
        <v>231.92898690465887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>
        <f>VLOOKUP(A77,'Données projet'!$A$113:$I$133,2,0)</f>
        <v>533</v>
      </c>
      <c r="BW77" s="13">
        <f>VLOOKUP(A77,'Données projet'!$A$113:$I$133,9,0)</f>
        <v>12.875</v>
      </c>
      <c r="BX77" s="13">
        <f t="array" ref="BX77">INDEX(BW:BW,MIN(IF(ISNUMBER(BW77:BW273),ROW(BW77:BW273),"")))</f>
        <v>12.875</v>
      </c>
      <c r="BY77" s="13">
        <f>IF('Données projet'!$A$114&gt;35,BY76+BX77-CG76,IF(A77&lt;'Données projet'!$A$114,$BV$205^A77,IF(A77='Données projet'!$A$114,'Données projet'!$B$114,BY76+BX77-CG76)))</f>
        <v>533</v>
      </c>
      <c r="BZ77" s="14">
        <f>BY77*VLOOKUP('Données projet'!$B$12,Paramètres!$A$1:$I$89,3,0)*VLOOKUP('Données projet'!$B$12,Paramètres!$A$1:$I$89,5,0)</f>
        <v>318.73400000000004</v>
      </c>
      <c r="CA77" s="14">
        <f t="shared" si="93"/>
        <v>75.089876999925679</v>
      </c>
      <c r="CB77" s="22">
        <f t="shared" si="64"/>
        <v>685.90991910820378</v>
      </c>
      <c r="CC77" s="62">
        <f t="shared" si="65"/>
        <v>979.24325244153715</v>
      </c>
      <c r="CD77" s="62">
        <f ca="1">AVERAGE(OFFSET($CC$3,0,0,'Données projet'!$E$12+1,1))-AVERAGE(OFFSET($H$3,0,0,'Données projet'!$E$12+1,1))</f>
        <v>287.29865338866551</v>
      </c>
      <c r="CE77" s="62">
        <f t="shared" si="94"/>
        <v>217.57508587672368</v>
      </c>
      <c r="CF77" s="16">
        <f>IF(ISNA(VLOOKUP(A77,'Données projet'!$A$113:$I$133,3,0)),0,VLOOKUP(A77,'Données projet'!$A$113:$I$133,3,0))</f>
        <v>10</v>
      </c>
      <c r="CG77" s="16">
        <f>IF(ISNA(VLOOKUP(A77,'Données projet'!$A$113:$I$133,4,0)),0,VLOOKUP(A77,'Données projet'!$A$113:$I$133,4,0))</f>
        <v>37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3.2343184317897182</v>
      </c>
      <c r="CM77" s="23">
        <f>EXP(-LN(2)/2)*CM76+(1-EXP(-LN(2)/2))/(LN(2)/2)*CG77*CJ77*VLOOKUP('Données projet'!$B$12,Paramètres!$A$1:$I$89,3,0)*0.475*44/12</f>
        <v>3.0675375586746901E-6</v>
      </c>
      <c r="CN77" s="24">
        <f t="shared" si="66"/>
        <v>3.2343214993272769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>
        <f>CT77*VLOOKUP('Données projet'!$B$13,Paramètres!$A$1:$I$89,3,0)*VLOOKUP('Données projet'!$B$13,Paramètres!$A$1:$I$89,5,0)</f>
        <v>0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175.05987582828078</v>
      </c>
      <c r="CZ77" s="62">
        <f t="shared" si="96"/>
        <v>268.54782308462387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2.6810549668359664</v>
      </c>
      <c r="DH77" s="23">
        <f>EXP(-LN(2)/2)*DH76+(1-EXP(-LN(2)/2))/(LN(2)/2)*DB77*DE77*VLOOKUP('Données projet'!$B$13,Paramètres!$A$1:$I$89,3,0)*0.475*44/12</f>
        <v>3.0157476426811615E-6</v>
      </c>
      <c r="DI77" s="24">
        <f t="shared" si="69"/>
        <v>2.6810579825836092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>
        <f>VLOOKUP(A77,'Données projet'!$A$165:$I$185,2,0)</f>
        <v>419</v>
      </c>
      <c r="DM77" s="13">
        <f>VLOOKUP(A77,'Données projet'!$A$165:$I$185,9,0)</f>
        <v>6.75</v>
      </c>
      <c r="DN77" s="13">
        <f t="array" ref="DN77">INDEX(DM:DM,MIN(IF(ISNUMBER(DM77:DM273),ROW(DM77:DM273),"")))</f>
        <v>6.75</v>
      </c>
      <c r="DO77" s="13">
        <f>IF('Données projet'!$A$166&gt;35,DO76+DN77-DW76,IF(A77&lt;'Données projet'!$A$166,$DL$205^A77,IF(A77='Données projet'!$A$166,'Données projet'!$B$166,DO76+DN77-DW76)))</f>
        <v>418.99999999999994</v>
      </c>
      <c r="DP77" s="18">
        <f>DO77*VLOOKUP('Données projet'!$B$14,Paramètres!$A$1:$I$89,3,0)*VLOOKUP('Données projet'!$B$14,Paramètres!$A$1:$I$89,5,0)</f>
        <v>239.66799999999998</v>
      </c>
      <c r="DQ77" s="14">
        <f t="shared" si="97"/>
        <v>58.368093311006277</v>
      </c>
      <c r="DR77" s="22">
        <f t="shared" si="70"/>
        <v>519.07952918333581</v>
      </c>
      <c r="DS77" s="62">
        <f t="shared" si="71"/>
        <v>812.41286251666907</v>
      </c>
      <c r="DT77" s="62">
        <f ca="1">AVERAGE(OFFSET($DS$3,0,0,'Données projet'!$E$14+1,1))-AVERAGE(OFFSET($H$3,0,0,'Données projet'!$E$14+1,1))</f>
        <v>228.06050741667258</v>
      </c>
      <c r="DU77" s="62">
        <f t="shared" si="98"/>
        <v>191.94885821983536</v>
      </c>
      <c r="DV77" s="16">
        <f>IF(ISNA(VLOOKUP(A77,'Données projet'!$A$165:$I$185,3,0)),0,VLOOKUP(A77,'Données projet'!$A$165:$I$185,3,0))</f>
        <v>9</v>
      </c>
      <c r="DW77" s="16">
        <f>IF(ISNA(VLOOKUP(A77,'Données projet'!$A$165:$I$185,4,0)),0,VLOOKUP(A77,'Données projet'!$A$165:$I$185,4,0))</f>
        <v>20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5.5514872596931699</v>
      </c>
      <c r="EC77" s="23">
        <f>EXP(-LN(2)/2)*EC76+(1-EXP(-LN(2)/2))/(LN(2)/2)*DW77*DZ77*VLOOKUP('Données projet'!$B$14,Paramètres!$A$1:$I$89,3,0)*0.475*44/12</f>
        <v>2.446591132804102E-5</v>
      </c>
      <c r="ED77" s="24">
        <f t="shared" si="72"/>
        <v>5.5515117256044979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-5.6843418860808015E-14</v>
      </c>
      <c r="EK77" s="18">
        <f>EJ77*VLOOKUP('Données projet'!$B$15,Paramètres!$A$1:$I$89,3,0)*VLOOKUP('Données projet'!$B$15,Paramètres!$A$1:$I$89,5,0)</f>
        <v>-5.1431925385259088E-14</v>
      </c>
      <c r="EL77" s="14" t="e">
        <f t="shared" si="99"/>
        <v>#NUM!</v>
      </c>
      <c r="EM77" s="22" t="e">
        <f t="shared" si="73"/>
        <v>#NUM!</v>
      </c>
      <c r="EN77" s="62" t="e">
        <f t="shared" si="74"/>
        <v>#NUM!</v>
      </c>
      <c r="EO77" s="62">
        <f ca="1">AVERAGE(OFFSET($EN$3,0,0,'Données projet'!$E$15+1,1))-AVERAGE(OFFSET($H$3,0,0,'Données projet'!$E$15+1,1))</f>
        <v>315.23521260143986</v>
      </c>
      <c r="EP77" s="62">
        <f t="shared" si="100"/>
        <v>439.11021845472641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-3.4106051316484809E-13</v>
      </c>
      <c r="O78" s="14">
        <f>N78*VLOOKUP('Données projet'!$B$9,Paramètres!$A$1:$I$89,3,0)*VLOOKUP('Données projet'!$B$9,Paramètres!$A$1:$I$89,5,0)</f>
        <v>-1.9065282685915009E-13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302.20483575440988</v>
      </c>
      <c r="T78" s="62">
        <f t="shared" si="88"/>
        <v>275.32862097158687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6.3952121814176888</v>
      </c>
      <c r="AB78" s="23">
        <f>EXP(-LN(2)/2)*AB77+(1-EXP(-LN(2)/2))/(LN(2)/2)*V78*Y78*VLOOKUP('Données projet'!$B$9,Paramètres!$A$1:$I$89,3,0)*0.475*44/12</f>
        <v>1.8557731200200054E-6</v>
      </c>
      <c r="AC78" s="24">
        <f t="shared" si="57"/>
        <v>6.3952140371908088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340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340.00000000000006</v>
      </c>
      <c r="AJ78" s="14">
        <f>AI78*VLOOKUP('Données projet'!$B$10,Paramètres!$A$1:$I$89,3,0)*VLOOKUP('Données projet'!$B$10,Paramètres!$A$1:$I$89,5,0)</f>
        <v>307.63200000000006</v>
      </c>
      <c r="AK78" s="14">
        <f t="shared" si="89"/>
        <v>72.774077039465567</v>
      </c>
      <c r="AL78" s="22">
        <f t="shared" si="58"/>
        <v>662.54058417706926</v>
      </c>
      <c r="AM78" s="62">
        <f t="shared" si="59"/>
        <v>955.87391751040263</v>
      </c>
      <c r="AN78" s="62">
        <f ca="1">AVERAGE(OFFSET($AM$3,0,0,'Données projet'!$E$10+1,1))-AVERAGE(OFFSET($H$3,0,0,'Données projet'!$E$10+1,1))</f>
        <v>384.44848355636935</v>
      </c>
      <c r="AO78" s="62">
        <f t="shared" si="90"/>
        <v>203.5274665601915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56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340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340.00000000000006</v>
      </c>
      <c r="BE78" s="14">
        <f>BD78*VLOOKUP('Données projet'!$B$11,Paramètres!$A$1:$I$89,3,0)*VLOOKUP('Données projet'!$B$11,Paramètres!$A$1:$I$89,5,0)</f>
        <v>344.7600000000001</v>
      </c>
      <c r="BF78" s="14">
        <f t="shared" si="91"/>
        <v>80.482595391170619</v>
      </c>
      <c r="BG78" s="22">
        <f t="shared" si="61"/>
        <v>740.63085363962227</v>
      </c>
      <c r="BH78" s="62">
        <f t="shared" si="62"/>
        <v>1033.9641869729555</v>
      </c>
      <c r="BI78" s="62">
        <f ca="1">AVERAGE(OFFSET($BH$3,0,0,'Données projet'!$E$11+1,1))-AVERAGE(OFFSET($H$3,0,0,'Données projet'!$E$11+1,1))</f>
        <v>440.60698566758532</v>
      </c>
      <c r="BJ78" s="62">
        <f t="shared" si="92"/>
        <v>231.92898690465887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56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5.625</v>
      </c>
      <c r="BY78" s="13">
        <f>IF('Données projet'!$A$114&gt;35,BY77+BX78-CG77,IF(A78&lt;'Données projet'!$A$114,$BV$205^A78,IF(A78='Données projet'!$A$114,'Données projet'!$B$114,BY77+BX78-CG77)))</f>
        <v>501.625</v>
      </c>
      <c r="BZ78" s="14">
        <f>BY78*VLOOKUP('Données projet'!$B$12,Paramètres!$A$1:$I$89,3,0)*VLOOKUP('Données projet'!$B$12,Paramètres!$A$1:$I$89,5,0)</f>
        <v>299.97174999999999</v>
      </c>
      <c r="CA78" s="14">
        <f t="shared" si="93"/>
        <v>71.170541158135549</v>
      </c>
      <c r="CB78" s="22">
        <f t="shared" si="64"/>
        <v>646.40615710041936</v>
      </c>
      <c r="CC78" s="62">
        <f t="shared" si="65"/>
        <v>939.73949043375274</v>
      </c>
      <c r="CD78" s="62">
        <f ca="1">AVERAGE(OFFSET($CC$3,0,0,'Données projet'!$E$12+1,1))-AVERAGE(OFFSET($H$3,0,0,'Données projet'!$E$12+1,1))</f>
        <v>287.29865338866551</v>
      </c>
      <c r="CE78" s="62">
        <f t="shared" si="94"/>
        <v>217.57508587672368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3.1458758241870144</v>
      </c>
      <c r="CM78" s="23">
        <f>EXP(-LN(2)/2)*CM77+(1-EXP(-LN(2)/2))/(LN(2)/2)*CG78*CJ78*VLOOKUP('Données projet'!$B$12,Paramètres!$A$1:$I$89,3,0)*0.475*44/12</f>
        <v>2.1690766092833002E-6</v>
      </c>
      <c r="CN78" s="24">
        <f t="shared" si="66"/>
        <v>3.1458779932636238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>
        <f>CT78*VLOOKUP('Données projet'!$B$13,Paramètres!$A$1:$I$89,3,0)*VLOOKUP('Données projet'!$B$13,Paramètres!$A$1:$I$89,5,0)</f>
        <v>0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175.05987582828078</v>
      </c>
      <c r="CZ78" s="62">
        <f t="shared" si="96"/>
        <v>268.54782308462387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2.607741377777284</v>
      </c>
      <c r="DH78" s="23">
        <f>EXP(-LN(2)/2)*DH77+(1-EXP(-LN(2)/2))/(LN(2)/2)*DB78*DE78*VLOOKUP('Données projet'!$B$13,Paramètres!$A$1:$I$89,3,0)*0.475*44/12</f>
        <v>2.1324556084871945E-6</v>
      </c>
      <c r="DI78" s="24">
        <f t="shared" si="69"/>
        <v>2.6077435102328925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5.625</v>
      </c>
      <c r="DO78" s="13">
        <f>IF('Données projet'!$A$166&gt;35,DO77+DN78-DW77,IF(A78&lt;'Données projet'!$A$166,$DL$205^A78,IF(A78='Données projet'!$A$166,'Données projet'!$B$166,DO77+DN78-DW77)))</f>
        <v>404.62499999999994</v>
      </c>
      <c r="DP78" s="18">
        <f>DO78*VLOOKUP('Données projet'!$B$14,Paramètres!$A$1:$I$89,3,0)*VLOOKUP('Données projet'!$B$14,Paramètres!$A$1:$I$89,5,0)</f>
        <v>231.44549999999995</v>
      </c>
      <c r="DQ78" s="14">
        <f t="shared" si="97"/>
        <v>56.595118370327334</v>
      </c>
      <c r="DR78" s="22">
        <f t="shared" si="70"/>
        <v>501.67074366165338</v>
      </c>
      <c r="DS78" s="62">
        <f t="shared" si="71"/>
        <v>795.00407699498669</v>
      </c>
      <c r="DT78" s="62">
        <f ca="1">AVERAGE(OFFSET($DS$3,0,0,'Données projet'!$E$14+1,1))-AVERAGE(OFFSET($H$3,0,0,'Données projet'!$E$14+1,1))</f>
        <v>228.06050741667258</v>
      </c>
      <c r="DU78" s="62">
        <f t="shared" si="98"/>
        <v>191.94885821983536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5.399681548636833</v>
      </c>
      <c r="EC78" s="23">
        <f>EXP(-LN(2)/2)*EC77+(1-EXP(-LN(2)/2))/(LN(2)/2)*DW78*DZ78*VLOOKUP('Données projet'!$B$14,Paramètres!$A$1:$I$89,3,0)*0.475*44/12</f>
        <v>1.7300011807966575E-5</v>
      </c>
      <c r="ED78" s="24">
        <f t="shared" si="72"/>
        <v>5.399698848648641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-5.6843418860808015E-14</v>
      </c>
      <c r="EK78" s="18">
        <f>EJ78*VLOOKUP('Données projet'!$B$15,Paramètres!$A$1:$I$89,3,0)*VLOOKUP('Données projet'!$B$15,Paramètres!$A$1:$I$89,5,0)</f>
        <v>-5.1431925385259088E-14</v>
      </c>
      <c r="EL78" s="14" t="e">
        <f t="shared" si="99"/>
        <v>#NUM!</v>
      </c>
      <c r="EM78" s="22" t="e">
        <f t="shared" si="73"/>
        <v>#NUM!</v>
      </c>
      <c r="EN78" s="62" t="e">
        <f t="shared" si="74"/>
        <v>#NUM!</v>
      </c>
      <c r="EO78" s="62">
        <f ca="1">AVERAGE(OFFSET($EN$3,0,0,'Données projet'!$E$15+1,1))-AVERAGE(OFFSET($H$3,0,0,'Données projet'!$E$15+1,1))</f>
        <v>315.23521260143986</v>
      </c>
      <c r="EP78" s="62">
        <f t="shared" si="100"/>
        <v>439.11021845472641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-3.4106051316484809E-13</v>
      </c>
      <c r="O79" s="14">
        <f>N79*VLOOKUP('Données projet'!$B$9,Paramètres!$A$1:$I$89,3,0)*VLOOKUP('Données projet'!$B$9,Paramètres!$A$1:$I$89,5,0)</f>
        <v>-1.9065282685915009E-13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302.20483575440988</v>
      </c>
      <c r="T79" s="62">
        <f t="shared" si="88"/>
        <v>275.32862097158687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6.2203347680072296</v>
      </c>
      <c r="AB79" s="23">
        <f>EXP(-LN(2)/2)*AB78+(1-EXP(-LN(2)/2))/(LN(2)/2)*V79*Y79*VLOOKUP('Données projet'!$B$9,Paramètres!$A$1:$I$89,3,0)*0.475*44/12</f>
        <v>1.3122297575098628E-6</v>
      </c>
      <c r="AC79" s="24">
        <f t="shared" si="57"/>
        <v>6.2203360802369874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263.47776000000005</v>
      </c>
      <c r="AK79" s="14">
        <f t="shared" si="89"/>
        <v>63.46312159763346</v>
      </c>
      <c r="AL79" s="22">
        <f t="shared" si="58"/>
        <v>569.42203544921165</v>
      </c>
      <c r="AM79" s="62">
        <f t="shared" si="59"/>
        <v>862.75536878254502</v>
      </c>
      <c r="AN79" s="62">
        <f ca="1">AVERAGE(OFFSET($AM$3,0,0,'Données projet'!$E$10+1,1))-AVERAGE(OFFSET($H$3,0,0,'Données projet'!$E$10+1,1))</f>
        <v>384.44848355636935</v>
      </c>
      <c r="AO79" s="62">
        <f t="shared" si="90"/>
        <v>203.5274665601915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295.27680000000004</v>
      </c>
      <c r="BF79" s="14">
        <f t="shared" si="91"/>
        <v>70.185386686980493</v>
      </c>
      <c r="BG79" s="22">
        <f t="shared" si="61"/>
        <v>636.51330847982445</v>
      </c>
      <c r="BH79" s="62">
        <f t="shared" si="62"/>
        <v>929.8466418131577</v>
      </c>
      <c r="BI79" s="62">
        <f ca="1">AVERAGE(OFFSET($BH$3,0,0,'Données projet'!$E$11+1,1))-AVERAGE(OFFSET($H$3,0,0,'Données projet'!$E$11+1,1))</f>
        <v>440.60698566758532</v>
      </c>
      <c r="BJ79" s="62">
        <f t="shared" si="92"/>
        <v>231.92898690465887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5.625</v>
      </c>
      <c r="BY79" s="13">
        <f>IF('Données projet'!$A$114&gt;35,BY78+BX79-CG78,IF(A79&lt;'Données projet'!$A$114,$BV$205^A79,IF(A79='Données projet'!$A$114,'Données projet'!$B$114,BY78+BX79-CG78)))</f>
        <v>507.25</v>
      </c>
      <c r="BZ79" s="14">
        <f>BY79*VLOOKUP('Données projet'!$B$12,Paramètres!$A$1:$I$89,3,0)*VLOOKUP('Données projet'!$B$12,Paramètres!$A$1:$I$89,5,0)</f>
        <v>303.33550000000002</v>
      </c>
      <c r="CA79" s="14">
        <f t="shared" si="93"/>
        <v>71.875261779950591</v>
      </c>
      <c r="CB79" s="22">
        <f t="shared" si="64"/>
        <v>653.49207676674735</v>
      </c>
      <c r="CC79" s="62">
        <f t="shared" si="65"/>
        <v>946.82541010008072</v>
      </c>
      <c r="CD79" s="62">
        <f ca="1">AVERAGE(OFFSET($CC$3,0,0,'Données projet'!$E$12+1,1))-AVERAGE(OFFSET($H$3,0,0,'Données projet'!$E$12+1,1))</f>
        <v>287.29865338866551</v>
      </c>
      <c r="CE79" s="62">
        <f t="shared" si="94"/>
        <v>217.57508587672368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3.0598516843402011</v>
      </c>
      <c r="CM79" s="23">
        <f>EXP(-LN(2)/2)*CM78+(1-EXP(-LN(2)/2))/(LN(2)/2)*CG79*CJ79*VLOOKUP('Données projet'!$B$12,Paramètres!$A$1:$I$89,3,0)*0.475*44/12</f>
        <v>1.533768779337345E-6</v>
      </c>
      <c r="CN79" s="24">
        <f t="shared" si="66"/>
        <v>3.0598532181089806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>
        <f>CT79*VLOOKUP('Données projet'!$B$13,Paramètres!$A$1:$I$89,3,0)*VLOOKUP('Données projet'!$B$13,Paramètres!$A$1:$I$89,5,0)</f>
        <v>0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175.05987582828078</v>
      </c>
      <c r="CZ79" s="62">
        <f t="shared" si="96"/>
        <v>268.54782308462387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2.5364325526668052</v>
      </c>
      <c r="DH79" s="23">
        <f>EXP(-LN(2)/2)*DH78+(1-EXP(-LN(2)/2))/(LN(2)/2)*DB79*DE79*VLOOKUP('Données projet'!$B$13,Paramètres!$A$1:$I$89,3,0)*0.475*44/12</f>
        <v>1.5078738213405807E-6</v>
      </c>
      <c r="DI79" s="24">
        <f t="shared" si="69"/>
        <v>2.5364340605406266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5.625</v>
      </c>
      <c r="DO79" s="13">
        <f>IF('Données projet'!$A$166&gt;35,DO78+DN79-DW78,IF(A79&lt;'Données projet'!$A$166,$DL$205^A79,IF(A79='Données projet'!$A$166,'Données projet'!$B$166,DO78+DN79-DW78)))</f>
        <v>410.24999999999994</v>
      </c>
      <c r="DP79" s="18">
        <f>DO79*VLOOKUP('Données projet'!$B$14,Paramètres!$A$1:$I$89,3,0)*VLOOKUP('Données projet'!$B$14,Paramètres!$A$1:$I$89,5,0)</f>
        <v>234.66299999999995</v>
      </c>
      <c r="DQ79" s="14">
        <f t="shared" si="97"/>
        <v>57.289750356834169</v>
      </c>
      <c r="DR79" s="22">
        <f t="shared" si="70"/>
        <v>508.48437353815274</v>
      </c>
      <c r="DS79" s="62">
        <f t="shared" si="71"/>
        <v>801.81770687148605</v>
      </c>
      <c r="DT79" s="62">
        <f ca="1">AVERAGE(OFFSET($DS$3,0,0,'Données projet'!$E$14+1,1))-AVERAGE(OFFSET($H$3,0,0,'Données projet'!$E$14+1,1))</f>
        <v>228.06050741667258</v>
      </c>
      <c r="DU79" s="62">
        <f t="shared" si="98"/>
        <v>191.94885821983536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5.2520269727324473</v>
      </c>
      <c r="EC79" s="23">
        <f>EXP(-LN(2)/2)*EC78+(1-EXP(-LN(2)/2))/(LN(2)/2)*DW79*DZ79*VLOOKUP('Données projet'!$B$14,Paramètres!$A$1:$I$89,3,0)*0.475*44/12</f>
        <v>1.223295566402051E-5</v>
      </c>
      <c r="ED79" s="24">
        <f t="shared" si="72"/>
        <v>5.2520392056881118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-5.6843418860808015E-14</v>
      </c>
      <c r="EK79" s="18">
        <f>EJ79*VLOOKUP('Données projet'!$B$15,Paramètres!$A$1:$I$89,3,0)*VLOOKUP('Données projet'!$B$15,Paramètres!$A$1:$I$89,5,0)</f>
        <v>-5.1431925385259088E-14</v>
      </c>
      <c r="EL79" s="14" t="e">
        <f t="shared" si="99"/>
        <v>#NUM!</v>
      </c>
      <c r="EM79" s="22" t="e">
        <f t="shared" si="73"/>
        <v>#NUM!</v>
      </c>
      <c r="EN79" s="62" t="e">
        <f t="shared" si="74"/>
        <v>#NUM!</v>
      </c>
      <c r="EO79" s="62">
        <f ca="1">AVERAGE(OFFSET($EN$3,0,0,'Données projet'!$E$15+1,1))-AVERAGE(OFFSET($H$3,0,0,'Données projet'!$E$15+1,1))</f>
        <v>315.23521260143986</v>
      </c>
      <c r="EP79" s="62">
        <f t="shared" si="100"/>
        <v>439.11021845472641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-3.4106051316484809E-13</v>
      </c>
      <c r="O80" s="14">
        <f>N80*VLOOKUP('Données projet'!$B$9,Paramètres!$A$1:$I$89,3,0)*VLOOKUP('Données projet'!$B$9,Paramètres!$A$1:$I$89,5,0)</f>
        <v>-1.9065282685915009E-13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302.20483575440988</v>
      </c>
      <c r="T80" s="62">
        <f t="shared" si="88"/>
        <v>275.32862097158687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6.0502393866628834</v>
      </c>
      <c r="AB80" s="23">
        <f>EXP(-LN(2)/2)*AB79+(1-EXP(-LN(2)/2))/(LN(2)/2)*V80*Y80*VLOOKUP('Données projet'!$B$9,Paramètres!$A$1:$I$89,3,0)*0.475*44/12</f>
        <v>9.2788656001000292E-7</v>
      </c>
      <c r="AC80" s="24">
        <f t="shared" si="57"/>
        <v>6.050240314549443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269.99232000000001</v>
      </c>
      <c r="AK80" s="14">
        <f t="shared" si="89"/>
        <v>64.847639395310296</v>
      </c>
      <c r="AL80" s="22">
        <f t="shared" si="58"/>
        <v>583.17959594683214</v>
      </c>
      <c r="AM80" s="62">
        <f t="shared" si="59"/>
        <v>876.51292928016551</v>
      </c>
      <c r="AN80" s="62">
        <f ca="1">AVERAGE(OFFSET($AM$3,0,0,'Données projet'!$E$10+1,1))-AVERAGE(OFFSET($H$3,0,0,'Données projet'!$E$10+1,1))</f>
        <v>384.44848355636935</v>
      </c>
      <c r="AO80" s="62">
        <f t="shared" si="90"/>
        <v>203.5274665601915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302.57760000000007</v>
      </c>
      <c r="BF80" s="14">
        <f t="shared" si="91"/>
        <v>71.716558091076294</v>
      </c>
      <c r="BG80" s="22">
        <f t="shared" si="61"/>
        <v>651.89565867529132</v>
      </c>
      <c r="BH80" s="62">
        <f t="shared" si="62"/>
        <v>945.22899200862457</v>
      </c>
      <c r="BI80" s="62">
        <f ca="1">AVERAGE(OFFSET($BH$3,0,0,'Données projet'!$E$11+1,1))-AVERAGE(OFFSET($H$3,0,0,'Données projet'!$E$11+1,1))</f>
        <v>440.60698566758532</v>
      </c>
      <c r="BJ80" s="62">
        <f t="shared" si="92"/>
        <v>231.92898690465887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5.625</v>
      </c>
      <c r="BY80" s="13">
        <f>IF('Données projet'!$A$114&gt;35,BY79+BX80-CG79,IF(A80&lt;'Données projet'!$A$114,$BV$205^A80,IF(A80='Données projet'!$A$114,'Données projet'!$B$114,BY79+BX80-CG79)))</f>
        <v>512.875</v>
      </c>
      <c r="BZ80" s="14">
        <f>BY80*VLOOKUP('Données projet'!$B$12,Paramètres!$A$1:$I$89,3,0)*VLOOKUP('Données projet'!$B$12,Paramètres!$A$1:$I$89,5,0)</f>
        <v>306.69925000000001</v>
      </c>
      <c r="CA80" s="14">
        <f t="shared" si="93"/>
        <v>72.579073327037307</v>
      </c>
      <c r="CB80" s="22">
        <f t="shared" si="64"/>
        <v>660.57641312792327</v>
      </c>
      <c r="CC80" s="62">
        <f t="shared" si="65"/>
        <v>953.90974646125665</v>
      </c>
      <c r="CD80" s="62">
        <f ca="1">AVERAGE(OFFSET($CC$3,0,0,'Données projet'!$E$12+1,1))-AVERAGE(OFFSET($H$3,0,0,'Données projet'!$E$12+1,1))</f>
        <v>287.29865338866551</v>
      </c>
      <c r="CE80" s="62">
        <f t="shared" si="94"/>
        <v>217.57508587672368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2.9761798791213114</v>
      </c>
      <c r="CM80" s="23">
        <f>EXP(-LN(2)/2)*CM79+(1-EXP(-LN(2)/2))/(LN(2)/2)*CG80*CJ80*VLOOKUP('Données projet'!$B$12,Paramètres!$A$1:$I$89,3,0)*0.475*44/12</f>
        <v>1.0845383046416501E-6</v>
      </c>
      <c r="CN80" s="24">
        <f t="shared" si="66"/>
        <v>2.9761809636596159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>
        <f>CT80*VLOOKUP('Données projet'!$B$13,Paramètres!$A$1:$I$89,3,0)*VLOOKUP('Données projet'!$B$13,Paramètres!$A$1:$I$89,5,0)</f>
        <v>0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175.05987582828078</v>
      </c>
      <c r="CZ80" s="62">
        <f t="shared" si="96"/>
        <v>268.54782308462387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2.4670736711289405</v>
      </c>
      <c r="DH80" s="23">
        <f>EXP(-LN(2)/2)*DH79+(1-EXP(-LN(2)/2))/(LN(2)/2)*DB80*DE80*VLOOKUP('Données projet'!$B$13,Paramètres!$A$1:$I$89,3,0)*0.475*44/12</f>
        <v>1.0662278042435973E-6</v>
      </c>
      <c r="DI80" s="24">
        <f t="shared" si="69"/>
        <v>2.4670747373567448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5.625</v>
      </c>
      <c r="DO80" s="13">
        <f>IF('Données projet'!$A$166&gt;35,DO79+DN80-DW79,IF(A80&lt;'Données projet'!$A$166,$DL$205^A80,IF(A80='Données projet'!$A$166,'Données projet'!$B$166,DO79+DN80-DW79)))</f>
        <v>415.87499999999994</v>
      </c>
      <c r="DP80" s="18">
        <f>DO80*VLOOKUP('Données projet'!$B$14,Paramètres!$A$1:$I$89,3,0)*VLOOKUP('Données projet'!$B$14,Paramètres!$A$1:$I$89,5,0)</f>
        <v>237.88049999999998</v>
      </c>
      <c r="DQ80" s="14">
        <f t="shared" si="97"/>
        <v>57.983274573421546</v>
      </c>
      <c r="DR80" s="22">
        <f t="shared" si="70"/>
        <v>515.2960740487091</v>
      </c>
      <c r="DS80" s="62">
        <f t="shared" si="71"/>
        <v>808.62940738204247</v>
      </c>
      <c r="DT80" s="62">
        <f ca="1">AVERAGE(OFFSET($DS$3,0,0,'Données projet'!$E$14+1,1))-AVERAGE(OFFSET($H$3,0,0,'Données projet'!$E$14+1,1))</f>
        <v>228.06050741667258</v>
      </c>
      <c r="DU80" s="62">
        <f t="shared" si="98"/>
        <v>191.94885821983536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5.108410018970984</v>
      </c>
      <c r="EC80" s="23">
        <f>EXP(-LN(2)/2)*EC79+(1-EXP(-LN(2)/2))/(LN(2)/2)*DW80*DZ80*VLOOKUP('Données projet'!$B$14,Paramètres!$A$1:$I$89,3,0)*0.475*44/12</f>
        <v>8.6500059039832876E-6</v>
      </c>
      <c r="ED80" s="24">
        <f t="shared" si="72"/>
        <v>5.1084186689768876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-5.6843418860808015E-14</v>
      </c>
      <c r="EK80" s="18">
        <f>EJ80*VLOOKUP('Données projet'!$B$15,Paramètres!$A$1:$I$89,3,0)*VLOOKUP('Données projet'!$B$15,Paramètres!$A$1:$I$89,5,0)</f>
        <v>-5.1431925385259088E-14</v>
      </c>
      <c r="EL80" s="14" t="e">
        <f t="shared" si="99"/>
        <v>#NUM!</v>
      </c>
      <c r="EM80" s="22" t="e">
        <f t="shared" si="73"/>
        <v>#NUM!</v>
      </c>
      <c r="EN80" s="62" t="e">
        <f t="shared" si="74"/>
        <v>#NUM!</v>
      </c>
      <c r="EO80" s="62">
        <f ca="1">AVERAGE(OFFSET($EN$3,0,0,'Données projet'!$E$15+1,1))-AVERAGE(OFFSET($H$3,0,0,'Données projet'!$E$15+1,1))</f>
        <v>315.23521260143986</v>
      </c>
      <c r="EP80" s="62">
        <f t="shared" si="100"/>
        <v>439.11021845472641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-3.4106051316484809E-13</v>
      </c>
      <c r="O81" s="14">
        <f>N81*VLOOKUP('Données projet'!$B$9,Paramètres!$A$1:$I$89,3,0)*VLOOKUP('Données projet'!$B$9,Paramètres!$A$1:$I$89,5,0)</f>
        <v>-1.9065282685915009E-13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302.20483575440988</v>
      </c>
      <c r="T81" s="62">
        <f t="shared" si="88"/>
        <v>275.32862097158687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5.8847952724663255</v>
      </c>
      <c r="AB81" s="23">
        <f>EXP(-LN(2)/2)*AB80+(1-EXP(-LN(2)/2))/(LN(2)/2)*V81*Y81*VLOOKUP('Données projet'!$B$9,Paramètres!$A$1:$I$89,3,0)*0.475*44/12</f>
        <v>6.5611487875493148E-7</v>
      </c>
      <c r="AC81" s="24">
        <f t="shared" si="57"/>
        <v>5.8847959285812044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276.50687999999997</v>
      </c>
      <c r="AK81" s="14">
        <f t="shared" si="89"/>
        <v>66.228273722513677</v>
      </c>
      <c r="AL81" s="22">
        <f t="shared" si="58"/>
        <v>596.93039273337797</v>
      </c>
      <c r="AM81" s="62">
        <f t="shared" si="59"/>
        <v>890.26372606671134</v>
      </c>
      <c r="AN81" s="62">
        <f ca="1">AVERAGE(OFFSET($AM$3,0,0,'Données projet'!$E$10+1,1))-AVERAGE(OFFSET($H$3,0,0,'Données projet'!$E$10+1,1))</f>
        <v>384.44848355636935</v>
      </c>
      <c r="AO81" s="62">
        <f t="shared" si="90"/>
        <v>203.5274665601915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309.87840000000006</v>
      </c>
      <c r="BF81" s="14">
        <f t="shared" si="91"/>
        <v>73.243434672131556</v>
      </c>
      <c r="BG81" s="22">
        <f t="shared" si="61"/>
        <v>667.27052872062916</v>
      </c>
      <c r="BH81" s="62">
        <f t="shared" si="62"/>
        <v>960.60386205396253</v>
      </c>
      <c r="BI81" s="62">
        <f ca="1">AVERAGE(OFFSET($BH$3,0,0,'Données projet'!$E$11+1,1))-AVERAGE(OFFSET($H$3,0,0,'Données projet'!$E$11+1,1))</f>
        <v>440.60698566758532</v>
      </c>
      <c r="BJ81" s="62">
        <f t="shared" si="92"/>
        <v>231.92898690465887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5.625</v>
      </c>
      <c r="BY81" s="13">
        <f>IF('Données projet'!$A$114&gt;35,BY80+BX81-CG80,IF(A81&lt;'Données projet'!$A$114,$BV$205^A81,IF(A81='Données projet'!$A$114,'Données projet'!$B$114,BY80+BX81-CG80)))</f>
        <v>518.5</v>
      </c>
      <c r="BZ81" s="14">
        <f>BY81*VLOOKUP('Données projet'!$B$12,Paramètres!$A$1:$I$89,3,0)*VLOOKUP('Données projet'!$B$12,Paramètres!$A$1:$I$89,5,0)</f>
        <v>310.06300000000005</v>
      </c>
      <c r="CA81" s="14">
        <f t="shared" si="93"/>
        <v>73.281986923645121</v>
      </c>
      <c r="CB81" s="22">
        <f t="shared" si="64"/>
        <v>667.659185558682</v>
      </c>
      <c r="CC81" s="62">
        <f t="shared" si="65"/>
        <v>960.99251889201537</v>
      </c>
      <c r="CD81" s="62">
        <f ca="1">AVERAGE(OFFSET($CC$3,0,0,'Données projet'!$E$12+1,1))-AVERAGE(OFFSET($H$3,0,0,'Données projet'!$E$12+1,1))</f>
        <v>287.29865338866551</v>
      </c>
      <c r="CE81" s="62">
        <f t="shared" si="94"/>
        <v>217.57508587672368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2.8947960838162414</v>
      </c>
      <c r="CM81" s="23">
        <f>EXP(-LN(2)/2)*CM80+(1-EXP(-LN(2)/2))/(LN(2)/2)*CG81*CJ81*VLOOKUP('Données projet'!$B$12,Paramètres!$A$1:$I$89,3,0)*0.475*44/12</f>
        <v>7.6688438966867251E-7</v>
      </c>
      <c r="CN81" s="24">
        <f t="shared" si="66"/>
        <v>2.8947968507006312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>
        <f>CT81*VLOOKUP('Données projet'!$B$13,Paramètres!$A$1:$I$89,3,0)*VLOOKUP('Données projet'!$B$13,Paramètres!$A$1:$I$89,5,0)</f>
        <v>0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175.05987582828078</v>
      </c>
      <c r="CZ81" s="62">
        <f t="shared" si="96"/>
        <v>268.54782308462387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2.3996114118541536</v>
      </c>
      <c r="DH81" s="23">
        <f>EXP(-LN(2)/2)*DH80+(1-EXP(-LN(2)/2))/(LN(2)/2)*DB81*DE81*VLOOKUP('Données projet'!$B$13,Paramètres!$A$1:$I$89,3,0)*0.475*44/12</f>
        <v>7.5393691067029037E-7</v>
      </c>
      <c r="DI81" s="24">
        <f t="shared" si="69"/>
        <v>2.3996121657910643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5.625</v>
      </c>
      <c r="DO81" s="13">
        <f>IF('Données projet'!$A$166&gt;35,DO80+DN81-DW80,IF(A81&lt;'Données projet'!$A$166,$DL$205^A81,IF(A81='Données projet'!$A$166,'Données projet'!$B$166,DO80+DN81-DW80)))</f>
        <v>421.49999999999994</v>
      </c>
      <c r="DP81" s="18">
        <f>DO81*VLOOKUP('Données projet'!$B$14,Paramètres!$A$1:$I$89,3,0)*VLOOKUP('Données projet'!$B$14,Paramètres!$A$1:$I$89,5,0)</f>
        <v>241.09799999999998</v>
      </c>
      <c r="DQ81" s="14">
        <f t="shared" si="97"/>
        <v>58.675707735379945</v>
      </c>
      <c r="DR81" s="22">
        <f t="shared" si="70"/>
        <v>522.10587430578664</v>
      </c>
      <c r="DS81" s="62">
        <f t="shared" si="71"/>
        <v>815.43920763912001</v>
      </c>
      <c r="DT81" s="62">
        <f ca="1">AVERAGE(OFFSET($DS$3,0,0,'Données projet'!$E$14+1,1))-AVERAGE(OFFSET($H$3,0,0,'Données projet'!$E$14+1,1))</f>
        <v>228.06050741667258</v>
      </c>
      <c r="DU81" s="62">
        <f t="shared" si="98"/>
        <v>191.94885821983536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4.968720278362615</v>
      </c>
      <c r="EC81" s="23">
        <f>EXP(-LN(2)/2)*EC80+(1-EXP(-LN(2)/2))/(LN(2)/2)*DW81*DZ81*VLOOKUP('Données projet'!$B$14,Paramètres!$A$1:$I$89,3,0)*0.475*44/12</f>
        <v>6.1164778320102549E-6</v>
      </c>
      <c r="ED81" s="24">
        <f t="shared" si="72"/>
        <v>4.9687263948404468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-5.6843418860808015E-14</v>
      </c>
      <c r="EK81" s="18">
        <f>EJ81*VLOOKUP('Données projet'!$B$15,Paramètres!$A$1:$I$89,3,0)*VLOOKUP('Données projet'!$B$15,Paramètres!$A$1:$I$89,5,0)</f>
        <v>-5.1431925385259088E-14</v>
      </c>
      <c r="EL81" s="14" t="e">
        <f t="shared" si="99"/>
        <v>#NUM!</v>
      </c>
      <c r="EM81" s="22" t="e">
        <f t="shared" si="73"/>
        <v>#NUM!</v>
      </c>
      <c r="EN81" s="62" t="e">
        <f t="shared" si="74"/>
        <v>#NUM!</v>
      </c>
      <c r="EO81" s="62">
        <f ca="1">AVERAGE(OFFSET($EN$3,0,0,'Données projet'!$E$15+1,1))-AVERAGE(OFFSET($H$3,0,0,'Données projet'!$E$15+1,1))</f>
        <v>315.23521260143986</v>
      </c>
      <c r="EP81" s="62">
        <f t="shared" si="100"/>
        <v>439.11021845472641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-3.4106051316484809E-13</v>
      </c>
      <c r="O82" s="14">
        <f>N82*VLOOKUP('Données projet'!$B$9,Paramètres!$A$1:$I$89,3,0)*VLOOKUP('Données projet'!$B$9,Paramètres!$A$1:$I$89,5,0)</f>
        <v>-1.9065282685915009E-13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302.20483575440988</v>
      </c>
      <c r="T82" s="62">
        <f t="shared" si="88"/>
        <v>275.32862097158687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5.7238752362728</v>
      </c>
      <c r="AB82" s="23">
        <f>EXP(-LN(2)/2)*AB81+(1-EXP(-LN(2)/2))/(LN(2)/2)*V82*Y82*VLOOKUP('Données projet'!$B$9,Paramètres!$A$1:$I$89,3,0)*0.475*44/12</f>
        <v>4.6394328000500152E-7</v>
      </c>
      <c r="AC82" s="24">
        <f t="shared" si="57"/>
        <v>5.7238757002160803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283.02144000000004</v>
      </c>
      <c r="AK82" s="14">
        <f t="shared" si="89"/>
        <v>67.605126603830598</v>
      </c>
      <c r="AL82" s="22">
        <f t="shared" si="58"/>
        <v>610.67460350167164</v>
      </c>
      <c r="AM82" s="62">
        <f t="shared" si="59"/>
        <v>904.00793683500501</v>
      </c>
      <c r="AN82" s="62">
        <f ca="1">AVERAGE(OFFSET($AM$3,0,0,'Données projet'!$E$10+1,1))-AVERAGE(OFFSET($H$3,0,0,'Données projet'!$E$10+1,1))</f>
        <v>384.44848355636935</v>
      </c>
      <c r="AO82" s="62">
        <f t="shared" si="90"/>
        <v>203.5274665601915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317.17920000000004</v>
      </c>
      <c r="BF82" s="14">
        <f t="shared" si="91"/>
        <v>74.766129261581426</v>
      </c>
      <c r="BG82" s="22">
        <f t="shared" si="61"/>
        <v>682.63811513058772</v>
      </c>
      <c r="BH82" s="62">
        <f t="shared" si="62"/>
        <v>975.97144846392098</v>
      </c>
      <c r="BI82" s="62">
        <f ca="1">AVERAGE(OFFSET($BH$3,0,0,'Données projet'!$E$11+1,1))-AVERAGE(OFFSET($H$3,0,0,'Données projet'!$E$11+1,1))</f>
        <v>440.60698566758532</v>
      </c>
      <c r="BJ82" s="62">
        <f t="shared" si="92"/>
        <v>231.92898690465887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5.625</v>
      </c>
      <c r="BY82" s="13">
        <f>IF('Données projet'!$A$114&gt;35,BY81+BX82-CG81,IF(A82&lt;'Données projet'!$A$114,$BV$205^A82,IF(A82='Données projet'!$A$114,'Données projet'!$B$114,BY81+BX82-CG81)))</f>
        <v>524.125</v>
      </c>
      <c r="BZ82" s="14">
        <f>BY82*VLOOKUP('Données projet'!$B$12,Paramètres!$A$1:$I$89,3,0)*VLOOKUP('Données projet'!$B$12,Paramètres!$A$1:$I$89,5,0)</f>
        <v>313.42675000000003</v>
      </c>
      <c r="CA82" s="14">
        <f t="shared" si="93"/>
        <v>73.98401343875733</v>
      </c>
      <c r="CB82" s="22">
        <f t="shared" si="64"/>
        <v>674.74041298916916</v>
      </c>
      <c r="CC82" s="62">
        <f t="shared" si="65"/>
        <v>968.07374632250253</v>
      </c>
      <c r="CD82" s="62">
        <f ca="1">AVERAGE(OFFSET($CC$3,0,0,'Données projet'!$E$12+1,1))-AVERAGE(OFFSET($H$3,0,0,'Données projet'!$E$12+1,1))</f>
        <v>287.29865338866551</v>
      </c>
      <c r="CE82" s="62">
        <f t="shared" si="94"/>
        <v>217.57508587672368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2.8156377326735762</v>
      </c>
      <c r="CM82" s="23">
        <f>EXP(-LN(2)/2)*CM81+(1-EXP(-LN(2)/2))/(LN(2)/2)*CG82*CJ82*VLOOKUP('Données projet'!$B$12,Paramètres!$A$1:$I$89,3,0)*0.475*44/12</f>
        <v>5.4226915232082505E-7</v>
      </c>
      <c r="CN82" s="24">
        <f t="shared" si="66"/>
        <v>2.8156382749427284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>
        <f>CT82*VLOOKUP('Données projet'!$B$13,Paramètres!$A$1:$I$89,3,0)*VLOOKUP('Données projet'!$B$13,Paramètres!$A$1:$I$89,5,0)</f>
        <v>0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175.05987582828078</v>
      </c>
      <c r="CZ82" s="62">
        <f t="shared" si="96"/>
        <v>268.54782308462387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2.3339939116069219</v>
      </c>
      <c r="DH82" s="23">
        <f>EXP(-LN(2)/2)*DH81+(1-EXP(-LN(2)/2))/(LN(2)/2)*DB82*DE82*VLOOKUP('Données projet'!$B$13,Paramètres!$A$1:$I$89,3,0)*0.475*44/12</f>
        <v>5.3311390212179863E-7</v>
      </c>
      <c r="DI82" s="24">
        <f t="shared" si="69"/>
        <v>2.3339944447208238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5.625</v>
      </c>
      <c r="DO82" s="13">
        <f>IF('Données projet'!$A$166&gt;35,DO81+DN82-DW81,IF(A82&lt;'Données projet'!$A$166,$DL$205^A82,IF(A82='Données projet'!$A$166,'Données projet'!$B$166,DO81+DN82-DW81)))</f>
        <v>427.12499999999994</v>
      </c>
      <c r="DP82" s="18">
        <f>DO82*VLOOKUP('Données projet'!$B$14,Paramètres!$A$1:$I$89,3,0)*VLOOKUP('Données projet'!$B$14,Paramètres!$A$1:$I$89,5,0)</f>
        <v>244.31549999999999</v>
      </c>
      <c r="DQ82" s="14">
        <f t="shared" si="97"/>
        <v>59.36706608622147</v>
      </c>
      <c r="DR82" s="22">
        <f t="shared" si="70"/>
        <v>528.91380260016911</v>
      </c>
      <c r="DS82" s="62">
        <f t="shared" si="71"/>
        <v>822.24713593350248</v>
      </c>
      <c r="DT82" s="62">
        <f ca="1">AVERAGE(OFFSET($DS$3,0,0,'Données projet'!$E$14+1,1))-AVERAGE(OFFSET($H$3,0,0,'Données projet'!$E$14+1,1))</f>
        <v>228.06050741667258</v>
      </c>
      <c r="DU82" s="62">
        <f t="shared" si="98"/>
        <v>191.94885821983536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4.8328503610571456</v>
      </c>
      <c r="EC82" s="23">
        <f>EXP(-LN(2)/2)*EC81+(1-EXP(-LN(2)/2))/(LN(2)/2)*DW82*DZ82*VLOOKUP('Données projet'!$B$14,Paramètres!$A$1:$I$89,3,0)*0.475*44/12</f>
        <v>4.3250029519916438E-6</v>
      </c>
      <c r="ED82" s="24">
        <f t="shared" si="72"/>
        <v>4.8328546860600978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-5.6843418860808015E-14</v>
      </c>
      <c r="EK82" s="18">
        <f>EJ82*VLOOKUP('Données projet'!$B$15,Paramètres!$A$1:$I$89,3,0)*VLOOKUP('Données projet'!$B$15,Paramètres!$A$1:$I$89,5,0)</f>
        <v>-5.1431925385259088E-14</v>
      </c>
      <c r="EL82" s="14" t="e">
        <f t="shared" si="99"/>
        <v>#NUM!</v>
      </c>
      <c r="EM82" s="22" t="e">
        <f t="shared" si="73"/>
        <v>#NUM!</v>
      </c>
      <c r="EN82" s="62" t="e">
        <f t="shared" si="74"/>
        <v>#NUM!</v>
      </c>
      <c r="EO82" s="62">
        <f ca="1">AVERAGE(OFFSET($EN$3,0,0,'Données projet'!$E$15+1,1))-AVERAGE(OFFSET($H$3,0,0,'Données projet'!$E$15+1,1))</f>
        <v>315.23521260143986</v>
      </c>
      <c r="EP82" s="62">
        <f t="shared" si="100"/>
        <v>439.11021845472641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-3.4106051316484809E-13</v>
      </c>
      <c r="O83" s="14">
        <f>N83*VLOOKUP('Données projet'!$B$9,Paramètres!$A$1:$I$89,3,0)*VLOOKUP('Données projet'!$B$9,Paramètres!$A$1:$I$89,5,0)</f>
        <v>-1.9065282685915009E-13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302.20483575440988</v>
      </c>
      <c r="T83" s="62">
        <f t="shared" si="88"/>
        <v>275.32862097158687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5.5673555669314041</v>
      </c>
      <c r="AB83" s="23">
        <f>EXP(-LN(2)/2)*AB82+(1-EXP(-LN(2)/2))/(LN(2)/2)*V83*Y83*VLOOKUP('Données projet'!$B$9,Paramètres!$A$1:$I$89,3,0)*0.475*44/12</f>
        <v>3.280574393774658E-7</v>
      </c>
      <c r="AC83" s="24">
        <f t="shared" si="57"/>
        <v>5.5673558949888431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289.536</v>
      </c>
      <c r="AK83" s="14">
        <f t="shared" si="89"/>
        <v>68.97829509904436</v>
      </c>
      <c r="AL83" s="22">
        <f t="shared" si="58"/>
        <v>624.41239729750225</v>
      </c>
      <c r="AM83" s="62">
        <f t="shared" si="59"/>
        <v>917.74573063083562</v>
      </c>
      <c r="AN83" s="62">
        <f ca="1">AVERAGE(OFFSET($AM$3,0,0,'Données projet'!$E$10+1,1))-AVERAGE(OFFSET($H$3,0,0,'Données projet'!$E$10+1,1))</f>
        <v>384.44848355636935</v>
      </c>
      <c r="AO83" s="62">
        <f t="shared" si="90"/>
        <v>203.5274665601915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324.48</v>
      </c>
      <c r="BF83" s="14">
        <f t="shared" si="91"/>
        <v>76.284749200165578</v>
      </c>
      <c r="BG83" s="22">
        <f t="shared" si="61"/>
        <v>697.99860485695501</v>
      </c>
      <c r="BH83" s="62">
        <f t="shared" si="62"/>
        <v>991.33193819028838</v>
      </c>
      <c r="BI83" s="62">
        <f ca="1">AVERAGE(OFFSET($BH$3,0,0,'Données projet'!$E$11+1,1))-AVERAGE(OFFSET($H$3,0,0,'Données projet'!$E$11+1,1))</f>
        <v>440.60698566758532</v>
      </c>
      <c r="BJ83" s="62">
        <f t="shared" si="92"/>
        <v>231.92898690465887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5.625</v>
      </c>
      <c r="BY83" s="13">
        <f>IF('Données projet'!$A$114&gt;35,BY82+BX83-CG82,IF(A83&lt;'Données projet'!$A$114,$BV$205^A83,IF(A83='Données projet'!$A$114,'Données projet'!$B$114,BY82+BX83-CG82)))</f>
        <v>529.75</v>
      </c>
      <c r="BZ83" s="14">
        <f>BY83*VLOOKUP('Données projet'!$B$12,Paramètres!$A$1:$I$89,3,0)*VLOOKUP('Données projet'!$B$12,Paramètres!$A$1:$I$89,5,0)</f>
        <v>316.79050000000001</v>
      </c>
      <c r="CA83" s="14">
        <f t="shared" si="93"/>
        <v>74.685163494624121</v>
      </c>
      <c r="CB83" s="22">
        <f t="shared" si="64"/>
        <v>681.8201139198037</v>
      </c>
      <c r="CC83" s="62">
        <f t="shared" si="65"/>
        <v>975.15344725313707</v>
      </c>
      <c r="CD83" s="62">
        <f ca="1">AVERAGE(OFFSET($CC$3,0,0,'Données projet'!$E$12+1,1))-AVERAGE(OFFSET($H$3,0,0,'Données projet'!$E$12+1,1))</f>
        <v>287.29865338866551</v>
      </c>
      <c r="CE83" s="62">
        <f t="shared" si="94"/>
        <v>217.57508587672368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2.738643970805664</v>
      </c>
      <c r="CM83" s="23">
        <f>EXP(-LN(2)/2)*CM82+(1-EXP(-LN(2)/2))/(LN(2)/2)*CG83*CJ83*VLOOKUP('Données projet'!$B$12,Paramètres!$A$1:$I$89,3,0)*0.475*44/12</f>
        <v>3.8344219483433626E-7</v>
      </c>
      <c r="CN83" s="24">
        <f t="shared" si="66"/>
        <v>2.7386443542478589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>
        <f>CT83*VLOOKUP('Données projet'!$B$13,Paramètres!$A$1:$I$89,3,0)*VLOOKUP('Données projet'!$B$13,Paramètres!$A$1:$I$89,5,0)</f>
        <v>0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175.05987582828078</v>
      </c>
      <c r="CZ83" s="62">
        <f t="shared" si="96"/>
        <v>268.54782308462387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2.2701707253546251</v>
      </c>
      <c r="DH83" s="23">
        <f>EXP(-LN(2)/2)*DH82+(1-EXP(-LN(2)/2))/(LN(2)/2)*DB83*DE83*VLOOKUP('Données projet'!$B$13,Paramètres!$A$1:$I$89,3,0)*0.475*44/12</f>
        <v>3.7696845533514518E-7</v>
      </c>
      <c r="DI83" s="24">
        <f t="shared" si="69"/>
        <v>2.2701711023230802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5.625</v>
      </c>
      <c r="DO83" s="13">
        <f>IF('Données projet'!$A$166&gt;35,DO82+DN83-DW82,IF(A83&lt;'Données projet'!$A$166,$DL$205^A83,IF(A83='Données projet'!$A$166,'Données projet'!$B$166,DO82+DN83-DW82)))</f>
        <v>432.74999999999994</v>
      </c>
      <c r="DP83" s="18">
        <f>DO83*VLOOKUP('Données projet'!$B$14,Paramètres!$A$1:$I$89,3,0)*VLOOKUP('Données projet'!$B$14,Paramètres!$A$1:$I$89,5,0)</f>
        <v>247.53299999999996</v>
      </c>
      <c r="DQ83" s="14">
        <f t="shared" si="97"/>
        <v>60.057365417030148</v>
      </c>
      <c r="DR83" s="22">
        <f t="shared" si="70"/>
        <v>535.71988643466068</v>
      </c>
      <c r="DS83" s="62">
        <f t="shared" si="71"/>
        <v>829.05321976799405</v>
      </c>
      <c r="DT83" s="62">
        <f ca="1">AVERAGE(OFFSET($DS$3,0,0,'Données projet'!$E$14+1,1))-AVERAGE(OFFSET($H$3,0,0,'Données projet'!$E$14+1,1))</f>
        <v>228.06050741667258</v>
      </c>
      <c r="DU83" s="62">
        <f t="shared" si="98"/>
        <v>191.94885821983536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4.7006958137854831</v>
      </c>
      <c r="EC83" s="23">
        <f>EXP(-LN(2)/2)*EC82+(1-EXP(-LN(2)/2))/(LN(2)/2)*DW83*DZ83*VLOOKUP('Données projet'!$B$14,Paramètres!$A$1:$I$89,3,0)*0.475*44/12</f>
        <v>3.0582389160051274E-6</v>
      </c>
      <c r="ED83" s="24">
        <f t="shared" si="72"/>
        <v>4.7006988720243994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-5.6843418860808015E-14</v>
      </c>
      <c r="EK83" s="18">
        <f>EJ83*VLOOKUP('Données projet'!$B$15,Paramètres!$A$1:$I$89,3,0)*VLOOKUP('Données projet'!$B$15,Paramètres!$A$1:$I$89,5,0)</f>
        <v>-5.1431925385259088E-14</v>
      </c>
      <c r="EL83" s="14" t="e">
        <f t="shared" si="99"/>
        <v>#NUM!</v>
      </c>
      <c r="EM83" s="22" t="e">
        <f t="shared" si="73"/>
        <v>#NUM!</v>
      </c>
      <c r="EN83" s="62" t="e">
        <f t="shared" si="74"/>
        <v>#NUM!</v>
      </c>
      <c r="EO83" s="62">
        <f ca="1">AVERAGE(OFFSET($EN$3,0,0,'Données projet'!$E$15+1,1))-AVERAGE(OFFSET($H$3,0,0,'Données projet'!$E$15+1,1))</f>
        <v>315.23521260143986</v>
      </c>
      <c r="EP83" s="62">
        <f t="shared" si="100"/>
        <v>439.11021845472641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-3.4106051316484809E-13</v>
      </c>
      <c r="O84" s="14">
        <f>N84*VLOOKUP('Données projet'!$B$9,Paramètres!$A$1:$I$89,3,0)*VLOOKUP('Données projet'!$B$9,Paramètres!$A$1:$I$89,5,0)</f>
        <v>-1.9065282685915009E-13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302.20483575440988</v>
      </c>
      <c r="T84" s="62">
        <f t="shared" si="88"/>
        <v>275.32862097158687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5.4151159361791601</v>
      </c>
      <c r="AB84" s="23">
        <f>EXP(-LN(2)/2)*AB83+(1-EXP(-LN(2)/2))/(LN(2)/2)*V84*Y84*VLOOKUP('Données projet'!$B$9,Paramètres!$A$1:$I$89,3,0)*0.475*44/12</f>
        <v>2.3197164000250081E-7</v>
      </c>
      <c r="AC84" s="24">
        <f t="shared" si="57"/>
        <v>5.4151161681508002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3.8</v>
      </c>
      <c r="AI84" s="14">
        <f>IF('Données projet'!$A$62&gt;35,AI83+AH84-AQ83,IF(A84&lt;'Données projet'!$A$62,$AF$205^A84,IF(A84='Données projet'!$A$62,'Données projet'!$B$62,AI83+AH84-AQ83)))</f>
        <v>323.8</v>
      </c>
      <c r="AJ84" s="14">
        <f>AI84*VLOOKUP('Données projet'!$B$10,Paramètres!$A$1:$I$89,3,0)*VLOOKUP('Données projet'!$B$10,Paramètres!$A$1:$I$89,5,0)</f>
        <v>292.97424000000001</v>
      </c>
      <c r="AK84" s="14">
        <f t="shared" si="89"/>
        <v>69.701569084730806</v>
      </c>
      <c r="AL84" s="22">
        <f t="shared" si="58"/>
        <v>631.66036748923955</v>
      </c>
      <c r="AM84" s="62">
        <f t="shared" si="59"/>
        <v>924.99370082257292</v>
      </c>
      <c r="AN84" s="62">
        <f ca="1">AVERAGE(OFFSET($AM$3,0,0,'Données projet'!$E$10+1,1))-AVERAGE(OFFSET($H$3,0,0,'Données projet'!$E$10+1,1))</f>
        <v>384.44848355636935</v>
      </c>
      <c r="AO84" s="62">
        <f t="shared" si="90"/>
        <v>203.5274665601915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3.8</v>
      </c>
      <c r="BD84" s="13">
        <f>IF('Données projet'!$A$88&gt;35,BD83+BC84-BL83,IF(A84&lt;'Données projet'!$A$88,$BA$205^A84,IF(A84='Données projet'!$A$88,'Données projet'!$B$88,BD83+BC84-BL83)))</f>
        <v>323.8</v>
      </c>
      <c r="BE84" s="14">
        <f>BD84*VLOOKUP('Données projet'!$B$11,Paramètres!$A$1:$I$89,3,0)*VLOOKUP('Données projet'!$B$11,Paramètres!$A$1:$I$89,5,0)</f>
        <v>328.33320000000003</v>
      </c>
      <c r="BF84" s="14">
        <f t="shared" si="91"/>
        <v>77.084635229848772</v>
      </c>
      <c r="BG84" s="22">
        <f t="shared" si="61"/>
        <v>706.10272969198661</v>
      </c>
      <c r="BH84" s="62">
        <f t="shared" si="62"/>
        <v>999.43606302531998</v>
      </c>
      <c r="BI84" s="62">
        <f ca="1">AVERAGE(OFFSET($BH$3,0,0,'Données projet'!$E$11+1,1))-AVERAGE(OFFSET($H$3,0,0,'Données projet'!$E$11+1,1))</f>
        <v>440.60698566758532</v>
      </c>
      <c r="BJ84" s="62">
        <f t="shared" si="92"/>
        <v>231.92898690465887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5.625</v>
      </c>
      <c r="BY84" s="13">
        <f>IF('Données projet'!$A$114&gt;35,BY83+BX84-CG83,IF(A84&lt;'Données projet'!$A$114,$BV$205^A84,IF(A84='Données projet'!$A$114,'Données projet'!$B$114,BY83+BX84-CG83)))</f>
        <v>535.375</v>
      </c>
      <c r="BZ84" s="14">
        <f>BY84*VLOOKUP('Données projet'!$B$12,Paramètres!$A$1:$I$89,3,0)*VLOOKUP('Données projet'!$B$12,Paramètres!$A$1:$I$89,5,0)</f>
        <v>320.15425000000005</v>
      </c>
      <c r="CA84" s="14">
        <f t="shared" si="93"/>
        <v>75.385447474921904</v>
      </c>
      <c r="CB84" s="22">
        <f t="shared" si="64"/>
        <v>688.89830643548896</v>
      </c>
      <c r="CC84" s="62">
        <f t="shared" si="65"/>
        <v>982.23163976882233</v>
      </c>
      <c r="CD84" s="62">
        <f ca="1">AVERAGE(OFFSET($CC$3,0,0,'Données projet'!$E$12+1,1))-AVERAGE(OFFSET($H$3,0,0,'Données projet'!$E$12+1,1))</f>
        <v>287.29865338866551</v>
      </c>
      <c r="CE84" s="62">
        <f t="shared" si="94"/>
        <v>217.57508587672368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2.6637556074049558</v>
      </c>
      <c r="CM84" s="23">
        <f>EXP(-LN(2)/2)*CM83+(1-EXP(-LN(2)/2))/(LN(2)/2)*CG84*CJ84*VLOOKUP('Données projet'!$B$12,Paramètres!$A$1:$I$89,3,0)*0.475*44/12</f>
        <v>2.7113457616041253E-7</v>
      </c>
      <c r="CN84" s="24">
        <f t="shared" si="66"/>
        <v>2.6637558785395319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projet'!$B$13,Paramètres!$A$1:$I$89,3,0)*VLOOKUP('Données projet'!$B$13,Paramètres!$A$1:$I$89,5,0)</f>
        <v>0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175.05987582828078</v>
      </c>
      <c r="CZ84" s="62">
        <f t="shared" si="96"/>
        <v>268.54782308462387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2.2080927874867129</v>
      </c>
      <c r="DH84" s="23">
        <f>EXP(-LN(2)/2)*DH83+(1-EXP(-LN(2)/2))/(LN(2)/2)*DB84*DE84*VLOOKUP('Données projet'!$B$13,Paramètres!$A$1:$I$89,3,0)*0.475*44/12</f>
        <v>2.6655695106089932E-7</v>
      </c>
      <c r="DI84" s="24">
        <f t="shared" si="69"/>
        <v>2.2080930540436641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5.625</v>
      </c>
      <c r="DO84" s="13">
        <f>IF('Données projet'!$A$166&gt;35,DO83+DN84-DW83,IF(A84&lt;'Données projet'!$A$166,$DL$205^A84,IF(A84='Données projet'!$A$166,'Données projet'!$B$166,DO83+DN84-DW83)))</f>
        <v>438.37499999999994</v>
      </c>
      <c r="DP84" s="18">
        <f>DO84*VLOOKUP('Données projet'!$B$14,Paramètres!$A$1:$I$89,3,0)*VLOOKUP('Données projet'!$B$14,Paramètres!$A$1:$I$89,5,0)</f>
        <v>250.75049999999996</v>
      </c>
      <c r="DQ84" s="14">
        <f t="shared" si="97"/>
        <v>60.746621084776628</v>
      </c>
      <c r="DR84" s="22">
        <f t="shared" si="70"/>
        <v>542.52415255598589</v>
      </c>
      <c r="DS84" s="62">
        <f t="shared" si="71"/>
        <v>835.85748588931915</v>
      </c>
      <c r="DT84" s="62">
        <f ca="1">AVERAGE(OFFSET($DS$3,0,0,'Données projet'!$E$14+1,1))-AVERAGE(OFFSET($H$3,0,0,'Données projet'!$E$14+1,1))</f>
        <v>228.06050741667258</v>
      </c>
      <c r="DU84" s="62">
        <f t="shared" si="98"/>
        <v>191.94885821983536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4.5721550395586696</v>
      </c>
      <c r="EC84" s="23">
        <f>EXP(-LN(2)/2)*EC83+(1-EXP(-LN(2)/2))/(LN(2)/2)*DW84*DZ84*VLOOKUP('Données projet'!$B$14,Paramètres!$A$1:$I$89,3,0)*0.475*44/12</f>
        <v>2.1625014759958219E-6</v>
      </c>
      <c r="ED84" s="24">
        <f t="shared" si="72"/>
        <v>4.5721572020601453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-5.6843418860808015E-14</v>
      </c>
      <c r="EK84" s="18">
        <f>EJ84*VLOOKUP('Données projet'!$B$15,Paramètres!$A$1:$I$89,3,0)*VLOOKUP('Données projet'!$B$15,Paramètres!$A$1:$I$89,5,0)</f>
        <v>-5.1431925385259088E-14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315.23521260143986</v>
      </c>
      <c r="EP84" s="62">
        <f t="shared" si="100"/>
        <v>439.11021845472641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-3.4106051316484809E-13</v>
      </c>
      <c r="O85" s="14">
        <f>N85*VLOOKUP('Données projet'!$B$9,Paramètres!$A$1:$I$89,3,0)*VLOOKUP('Données projet'!$B$9,Paramètres!$A$1:$I$89,5,0)</f>
        <v>-1.9065282685915009E-13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302.20483575440988</v>
      </c>
      <c r="T85" s="62">
        <f t="shared" si="88"/>
        <v>275.32862097158687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5.2670393061357705</v>
      </c>
      <c r="AB85" s="23">
        <f>EXP(-LN(2)/2)*AB84+(1-EXP(-LN(2)/2))/(LN(2)/2)*V85*Y85*VLOOKUP('Données projet'!$B$9,Paramètres!$A$1:$I$89,3,0)*0.475*44/12</f>
        <v>1.6402871968873292E-7</v>
      </c>
      <c r="AC85" s="24">
        <f t="shared" si="57"/>
        <v>5.26703947016449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3.8</v>
      </c>
      <c r="AI85" s="14">
        <f>IF('Données projet'!$A$62&gt;35,AI84+AH85-AQ84,IF(A85&lt;'Données projet'!$A$62,$AF$205^A85,IF(A85='Données projet'!$A$62,'Données projet'!$B$62,AI84+AH85-AQ84)))</f>
        <v>327.60000000000002</v>
      </c>
      <c r="AJ85" s="14">
        <f>AI85*VLOOKUP('Données projet'!$B$10,Paramètres!$A$1:$I$89,3,0)*VLOOKUP('Données projet'!$B$10,Paramètres!$A$1:$I$89,5,0)</f>
        <v>296.41248000000002</v>
      </c>
      <c r="AK85" s="14">
        <f t="shared" si="89"/>
        <v>70.423855708154761</v>
      </c>
      <c r="AL85" s="22">
        <f t="shared" si="58"/>
        <v>638.90661802503621</v>
      </c>
      <c r="AM85" s="62">
        <f t="shared" si="59"/>
        <v>932.23995135836958</v>
      </c>
      <c r="AN85" s="62">
        <f ca="1">AVERAGE(OFFSET($AM$3,0,0,'Données projet'!$E$10+1,1))-AVERAGE(OFFSET($H$3,0,0,'Données projet'!$E$10+1,1))</f>
        <v>384.44848355636935</v>
      </c>
      <c r="AO85" s="62">
        <f t="shared" si="90"/>
        <v>203.5274665601915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3.8</v>
      </c>
      <c r="BD85" s="13">
        <f>IF('Données projet'!$A$88&gt;35,BD84+BC85-BL84,IF(A85&lt;'Données projet'!$A$88,$BA$205^A85,IF(A85='Données projet'!$A$88,'Données projet'!$B$88,BD84+BC85-BL84)))</f>
        <v>327.60000000000002</v>
      </c>
      <c r="BE85" s="14">
        <f>BD85*VLOOKUP('Données projet'!$B$11,Paramètres!$A$1:$I$89,3,0)*VLOOKUP('Données projet'!$B$11,Paramètres!$A$1:$I$89,5,0)</f>
        <v>332.18640000000005</v>
      </c>
      <c r="BF85" s="14">
        <f t="shared" si="91"/>
        <v>77.88342931194974</v>
      </c>
      <c r="BG85" s="22">
        <f t="shared" si="61"/>
        <v>714.20495271831248</v>
      </c>
      <c r="BH85" s="62">
        <f t="shared" si="62"/>
        <v>1007.5382860516459</v>
      </c>
      <c r="BI85" s="62">
        <f ca="1">AVERAGE(OFFSET($BH$3,0,0,'Données projet'!$E$11+1,1))-AVERAGE(OFFSET($H$3,0,0,'Données projet'!$E$11+1,1))</f>
        <v>440.60698566758532</v>
      </c>
      <c r="BJ85" s="62">
        <f t="shared" si="92"/>
        <v>231.92898690465887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>
        <f>VLOOKUP(A85,'Données projet'!$A$113:$I$133,2,0)</f>
        <v>541</v>
      </c>
      <c r="BW85" s="13">
        <f>VLOOKUP(A85,'Données projet'!$A$113:$I$133,9,0)</f>
        <v>5.625</v>
      </c>
      <c r="BX85" s="13">
        <f t="array" ref="BX85">INDEX(BW:BW,MIN(IF(ISNUMBER(BW85:BW281),ROW(BW85:BW281),"")))</f>
        <v>5.625</v>
      </c>
      <c r="BY85" s="13">
        <f>IF('Données projet'!$A$114&gt;35,BY84+BX85-CG84,IF(A85&lt;'Données projet'!$A$114,$BV$205^A85,IF(A85='Données projet'!$A$114,'Données projet'!$B$114,BY84+BX85-CG84)))</f>
        <v>541</v>
      </c>
      <c r="BZ85" s="14">
        <f>BY85*VLOOKUP('Données projet'!$B$12,Paramètres!$A$1:$I$89,3,0)*VLOOKUP('Données projet'!$B$12,Paramètres!$A$1:$I$89,5,0)</f>
        <v>323.51800000000003</v>
      </c>
      <c r="CA85" s="14">
        <f t="shared" si="93"/>
        <v>76.084875532561725</v>
      </c>
      <c r="CB85" s="22">
        <f t="shared" si="64"/>
        <v>695.97500821921176</v>
      </c>
      <c r="CC85" s="62">
        <f t="shared" si="65"/>
        <v>989.30834155254502</v>
      </c>
      <c r="CD85" s="62">
        <f ca="1">AVERAGE(OFFSET($CC$3,0,0,'Données projet'!$E$12+1,1))-AVERAGE(OFFSET($H$3,0,0,'Données projet'!$E$12+1,1))</f>
        <v>287.29865338866551</v>
      </c>
      <c r="CE85" s="62">
        <f t="shared" si="94"/>
        <v>217.57508587672368</v>
      </c>
      <c r="CF85" s="16">
        <f>IF(ISNA(VLOOKUP(A85,'Données projet'!$A$113:$I$133,3,0)),0,VLOOKUP(A85,'Données projet'!$A$113:$I$133,3,0))</f>
        <v>11</v>
      </c>
      <c r="CG85" s="16">
        <f>IF(ISNA(VLOOKUP(A85,'Données projet'!$A$113:$I$133,4,0)),0,VLOOKUP(A85,'Données projet'!$A$113:$I$133,4,0))</f>
        <v>541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2.5909150702396477</v>
      </c>
      <c r="CM85" s="23">
        <f>EXP(-LN(2)/2)*CM84+(1-EXP(-LN(2)/2))/(LN(2)/2)*CG85*CJ85*VLOOKUP('Données projet'!$B$12,Paramètres!$A$1:$I$89,3,0)*0.475*44/12</f>
        <v>1.9172109741716813E-7</v>
      </c>
      <c r="CN85" s="24">
        <f t="shared" si="66"/>
        <v>2.590915261960745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projet'!$B$13,Paramètres!$A$1:$I$89,3,0)*VLOOKUP('Données projet'!$B$13,Paramètres!$A$1:$I$89,5,0)</f>
        <v>0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175.05987582828078</v>
      </c>
      <c r="CZ85" s="62">
        <f t="shared" si="96"/>
        <v>268.54782308462387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2.1477123740943358</v>
      </c>
      <c r="DH85" s="23">
        <f>EXP(-LN(2)/2)*DH84+(1-EXP(-LN(2)/2))/(LN(2)/2)*DB85*DE85*VLOOKUP('Données projet'!$B$13,Paramètres!$A$1:$I$89,3,0)*0.475*44/12</f>
        <v>1.8848422766757259E-7</v>
      </c>
      <c r="DI85" s="24">
        <f t="shared" si="69"/>
        <v>2.1477125625785636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>
        <f>VLOOKUP(A85,'Données projet'!$A$165:$I$185,2,0)</f>
        <v>444</v>
      </c>
      <c r="DM85" s="13">
        <f>VLOOKUP(A85,'Données projet'!$A$165:$I$185,9,0)</f>
        <v>5.625</v>
      </c>
      <c r="DN85" s="13">
        <f t="array" ref="DN85">INDEX(DM:DM,MIN(IF(ISNUMBER(DM85:DM281),ROW(DM85:DM281),"")))</f>
        <v>5.625</v>
      </c>
      <c r="DO85" s="13">
        <f>IF('Données projet'!$A$166&gt;35,DO84+DN85-DW84,IF(A85&lt;'Données projet'!$A$166,$DL$205^A85,IF(A85='Données projet'!$A$166,'Données projet'!$B$166,DO84+DN85-DW84)))</f>
        <v>443.99999999999994</v>
      </c>
      <c r="DP85" s="18">
        <f>DO85*VLOOKUP('Données projet'!$B$14,Paramètres!$A$1:$I$89,3,0)*VLOOKUP('Données projet'!$B$14,Paramètres!$A$1:$I$89,5,0)</f>
        <v>253.96799999999999</v>
      </c>
      <c r="DQ85" s="14">
        <f t="shared" si="97"/>
        <v>61.434848029666512</v>
      </c>
      <c r="DR85" s="22">
        <f t="shared" si="70"/>
        <v>549.32662698500246</v>
      </c>
      <c r="DS85" s="62">
        <f t="shared" si="71"/>
        <v>842.65996031833583</v>
      </c>
      <c r="DT85" s="62">
        <f ca="1">AVERAGE(OFFSET($DS$3,0,0,'Données projet'!$E$14+1,1))-AVERAGE(OFFSET($H$3,0,0,'Données projet'!$E$14+1,1))</f>
        <v>228.06050741667258</v>
      </c>
      <c r="DU85" s="62">
        <f t="shared" si="98"/>
        <v>191.94885821983536</v>
      </c>
      <c r="DV85" s="16">
        <f>IF(ISNA(VLOOKUP(A85,'Données projet'!$A$165:$I$185,3,0)),0,VLOOKUP(A85,'Données projet'!$A$165:$I$185,3,0))</f>
        <v>10</v>
      </c>
      <c r="DW85" s="16">
        <f>IF(ISNA(VLOOKUP(A85,'Données projet'!$A$165:$I$185,4,0)),0,VLOOKUP(A85,'Données projet'!$A$165:$I$185,4,0))</f>
        <v>444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4.4471292195627541</v>
      </c>
      <c r="EC85" s="23">
        <f>EXP(-LN(2)/2)*EC84+(1-EXP(-LN(2)/2))/(LN(2)/2)*DW85*DZ85*VLOOKUP('Données projet'!$B$14,Paramètres!$A$1:$I$89,3,0)*0.475*44/12</f>
        <v>1.5291194580025637E-6</v>
      </c>
      <c r="ED85" s="24">
        <f t="shared" si="72"/>
        <v>4.4471307486822118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-5.6843418860808015E-14</v>
      </c>
      <c r="EK85" s="18">
        <f>EJ85*VLOOKUP('Données projet'!$B$15,Paramètres!$A$1:$I$89,3,0)*VLOOKUP('Données projet'!$B$15,Paramètres!$A$1:$I$89,5,0)</f>
        <v>-5.1431925385259088E-14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315.23521260143986</v>
      </c>
      <c r="EP85" s="62">
        <f t="shared" si="100"/>
        <v>439.11021845472641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-3.4106051316484809E-13</v>
      </c>
      <c r="O86" s="14">
        <f>N86*VLOOKUP('Données projet'!$B$9,Paramètres!$A$1:$I$89,3,0)*VLOOKUP('Données projet'!$B$9,Paramètres!$A$1:$I$89,5,0)</f>
        <v>-1.9065282685915009E-13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302.20483575440988</v>
      </c>
      <c r="T86" s="62">
        <f t="shared" si="88"/>
        <v>275.32862097158687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5.1230118393279289</v>
      </c>
      <c r="AB86" s="23">
        <f>EXP(-LN(2)/2)*AB85+(1-EXP(-LN(2)/2))/(LN(2)/2)*V86*Y86*VLOOKUP('Données projet'!$B$9,Paramètres!$A$1:$I$89,3,0)*0.475*44/12</f>
        <v>1.1598582000125042E-7</v>
      </c>
      <c r="AC86" s="24">
        <f t="shared" si="57"/>
        <v>5.123011955313749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3.8</v>
      </c>
      <c r="AI86" s="14">
        <f>IF('Données projet'!$A$62&gt;35,AI85+AH86-AQ85,IF(A86&lt;'Données projet'!$A$62,$AF$205^A86,IF(A86='Données projet'!$A$62,'Données projet'!$B$62,AI85+AH86-AQ85)))</f>
        <v>331.40000000000003</v>
      </c>
      <c r="AJ86" s="14">
        <f>AI86*VLOOKUP('Données projet'!$B$10,Paramètres!$A$1:$I$89,3,0)*VLOOKUP('Données projet'!$B$10,Paramètres!$A$1:$I$89,5,0)</f>
        <v>299.85072000000002</v>
      </c>
      <c r="AK86" s="14">
        <f t="shared" si="89"/>
        <v>71.145167747304328</v>
      </c>
      <c r="AL86" s="22">
        <f t="shared" si="58"/>
        <v>646.15117115988835</v>
      </c>
      <c r="AM86" s="62">
        <f t="shared" si="59"/>
        <v>939.48450449322172</v>
      </c>
      <c r="AN86" s="62">
        <f ca="1">AVERAGE(OFFSET($AM$3,0,0,'Données projet'!$E$10+1,1))-AVERAGE(OFFSET($H$3,0,0,'Données projet'!$E$10+1,1))</f>
        <v>384.44848355636935</v>
      </c>
      <c r="AO86" s="62">
        <f t="shared" si="90"/>
        <v>203.5274665601915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3.8</v>
      </c>
      <c r="BD86" s="13">
        <f>IF('Données projet'!$A$88&gt;35,BD85+BC86-BL85,IF(A86&lt;'Données projet'!$A$88,$BA$205^A86,IF(A86='Données projet'!$A$88,'Données projet'!$B$88,BD85+BC86-BL85)))</f>
        <v>331.40000000000003</v>
      </c>
      <c r="BE86" s="14">
        <f>BD86*VLOOKUP('Données projet'!$B$11,Paramètres!$A$1:$I$89,3,0)*VLOOKUP('Données projet'!$B$11,Paramètres!$A$1:$I$89,5,0)</f>
        <v>336.03960000000006</v>
      </c>
      <c r="BF86" s="14">
        <f t="shared" si="91"/>
        <v>78.681145577951611</v>
      </c>
      <c r="BG86" s="22">
        <f t="shared" si="61"/>
        <v>722.3052985482658</v>
      </c>
      <c r="BH86" s="62">
        <f t="shared" si="62"/>
        <v>1015.6386318815992</v>
      </c>
      <c r="BI86" s="62">
        <f ca="1">AVERAGE(OFFSET($BH$3,0,0,'Données projet'!$E$11+1,1))-AVERAGE(OFFSET($H$3,0,0,'Données projet'!$E$11+1,1))</f>
        <v>440.60698566758532</v>
      </c>
      <c r="BJ86" s="62">
        <f t="shared" si="92"/>
        <v>231.92898690465887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287.29865338866551</v>
      </c>
      <c r="CE86" s="62">
        <f t="shared" si="94"/>
        <v>217.57508587672368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2.5200663613936425</v>
      </c>
      <c r="CM86" s="23">
        <f>EXP(-LN(2)/2)*CM85+(1-EXP(-LN(2)/2))/(LN(2)/2)*CG86*CJ86*VLOOKUP('Données projet'!$B$12,Paramètres!$A$1:$I$89,3,0)*0.475*44/12</f>
        <v>1.3556728808020626E-7</v>
      </c>
      <c r="CN86" s="24">
        <f t="shared" si="66"/>
        <v>2.5200664969609305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175.05987582828078</v>
      </c>
      <c r="CZ86" s="62">
        <f t="shared" si="96"/>
        <v>268.54782308462387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2.088983066281441</v>
      </c>
      <c r="DH86" s="23">
        <f>EXP(-LN(2)/2)*DH85+(1-EXP(-LN(2)/2))/(LN(2)/2)*DB86*DE86*VLOOKUP('Données projet'!$B$13,Paramètres!$A$1:$I$89,3,0)*0.475*44/12</f>
        <v>1.3327847553044966E-7</v>
      </c>
      <c r="DI86" s="24">
        <f t="shared" si="69"/>
        <v>2.0889831995599164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-5.6843418860808015E-14</v>
      </c>
      <c r="DP86" s="18">
        <f>DO86*VLOOKUP('Données projet'!$B$14,Paramètres!$A$1:$I$89,3,0)*VLOOKUP('Données projet'!$B$14,Paramètres!$A$1:$I$89,5,0)</f>
        <v>-3.2514435588382188E-14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228.06050741667258</v>
      </c>
      <c r="DU86" s="62">
        <f t="shared" si="98"/>
        <v>191.94885821983536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4.3255222371894488</v>
      </c>
      <c r="EC86" s="23">
        <f>EXP(-LN(2)/2)*EC85+(1-EXP(-LN(2)/2))/(LN(2)/2)*DW86*DZ86*VLOOKUP('Données projet'!$B$14,Paramètres!$A$1:$I$89,3,0)*0.475*44/12</f>
        <v>1.081250737997911E-6</v>
      </c>
      <c r="ED86" s="24">
        <f t="shared" si="72"/>
        <v>4.3255233184401867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-5.6843418860808015E-14</v>
      </c>
      <c r="EK86" s="18">
        <f>EJ86*VLOOKUP('Données projet'!$B$15,Paramètres!$A$1:$I$89,3,0)*VLOOKUP('Données projet'!$B$15,Paramètres!$A$1:$I$89,5,0)</f>
        <v>-5.1431925385259088E-14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315.23521260143986</v>
      </c>
      <c r="EP86" s="62">
        <f t="shared" si="100"/>
        <v>439.11021845472641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-3.4106051316484809E-13</v>
      </c>
      <c r="O87" s="14">
        <f>N87*VLOOKUP('Données projet'!$B$9,Paramètres!$A$1:$I$89,3,0)*VLOOKUP('Données projet'!$B$9,Paramètres!$A$1:$I$89,5,0)</f>
        <v>-1.9065282685915009E-13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302.20483575440988</v>
      </c>
      <c r="T87" s="62">
        <f t="shared" si="88"/>
        <v>275.32862097158687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4.9829228111740225</v>
      </c>
      <c r="AB87" s="23">
        <f>EXP(-LN(2)/2)*AB86+(1-EXP(-LN(2)/2))/(LN(2)/2)*V87*Y87*VLOOKUP('Données projet'!$B$9,Paramètres!$A$1:$I$89,3,0)*0.475*44/12</f>
        <v>8.2014359844366475E-8</v>
      </c>
      <c r="AC87" s="24">
        <f t="shared" si="57"/>
        <v>4.9829228931883822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3.8</v>
      </c>
      <c r="AI87" s="14">
        <f>IF('Données projet'!$A$62&gt;35,AI86+AH87-AQ86,IF(A87&lt;'Données projet'!$A$62,$AF$205^A87,IF(A87='Données projet'!$A$62,'Données projet'!$B$62,AI86+AH87-AQ86)))</f>
        <v>335.20000000000005</v>
      </c>
      <c r="AJ87" s="14">
        <f>AI87*VLOOKUP('Données projet'!$B$10,Paramètres!$A$1:$I$89,3,0)*VLOOKUP('Données projet'!$B$10,Paramètres!$A$1:$I$89,5,0)</f>
        <v>303.28896000000003</v>
      </c>
      <c r="AK87" s="14">
        <f t="shared" si="89"/>
        <v>71.865517670261696</v>
      </c>
      <c r="AL87" s="22">
        <f t="shared" si="58"/>
        <v>653.39404860903915</v>
      </c>
      <c r="AM87" s="62">
        <f t="shared" si="59"/>
        <v>946.7273819423724</v>
      </c>
      <c r="AN87" s="62">
        <f ca="1">AVERAGE(OFFSET($AM$3,0,0,'Données projet'!$E$10+1,1))-AVERAGE(OFFSET($H$3,0,0,'Données projet'!$E$10+1,1))</f>
        <v>384.44848355636935</v>
      </c>
      <c r="AO87" s="62">
        <f t="shared" si="90"/>
        <v>203.5274665601915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3.8</v>
      </c>
      <c r="BD87" s="13">
        <f>IF('Données projet'!$A$88&gt;35,BD86+BC87-BL86,IF(A87&lt;'Données projet'!$A$88,$BA$205^A87,IF(A87='Données projet'!$A$88,'Données projet'!$B$88,BD86+BC87-BL86)))</f>
        <v>335.20000000000005</v>
      </c>
      <c r="BE87" s="14">
        <f>BD87*VLOOKUP('Données projet'!$B$11,Paramètres!$A$1:$I$89,3,0)*VLOOKUP('Données projet'!$B$11,Paramètres!$A$1:$I$89,5,0)</f>
        <v>339.89280000000002</v>
      </c>
      <c r="BF87" s="14">
        <f t="shared" si="91"/>
        <v>79.477797816605189</v>
      </c>
      <c r="BG87" s="22">
        <f t="shared" si="61"/>
        <v>730.40379119725401</v>
      </c>
      <c r="BH87" s="62">
        <f t="shared" si="62"/>
        <v>1023.7371245305874</v>
      </c>
      <c r="BI87" s="62">
        <f ca="1">AVERAGE(OFFSET($BH$3,0,0,'Données projet'!$E$11+1,1))-AVERAGE(OFFSET($H$3,0,0,'Données projet'!$E$11+1,1))</f>
        <v>440.60698566758532</v>
      </c>
      <c r="BJ87" s="62">
        <f t="shared" si="92"/>
        <v>231.92898690465887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287.29865338866551</v>
      </c>
      <c r="CE87" s="62">
        <f t="shared" si="94"/>
        <v>217.57508587672368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2.4511550142168033</v>
      </c>
      <c r="CM87" s="23">
        <f>EXP(-LN(2)/2)*CM86+(1-EXP(-LN(2)/2))/(LN(2)/2)*CG87*CJ87*VLOOKUP('Données projet'!$B$12,Paramètres!$A$1:$I$89,3,0)*0.475*44/12</f>
        <v>9.5860548708584064E-8</v>
      </c>
      <c r="CN87" s="24">
        <f t="shared" si="66"/>
        <v>2.4511551100773521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175.05987582828078</v>
      </c>
      <c r="CZ87" s="62">
        <f t="shared" si="96"/>
        <v>268.54782308462387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2.0318597144791299</v>
      </c>
      <c r="DH87" s="23">
        <f>EXP(-LN(2)/2)*DH86+(1-EXP(-LN(2)/2))/(LN(2)/2)*DB87*DE87*VLOOKUP('Données projet'!$B$13,Paramètres!$A$1:$I$89,3,0)*0.475*44/12</f>
        <v>9.4242113833786296E-8</v>
      </c>
      <c r="DI87" s="24">
        <f t="shared" si="69"/>
        <v>2.0318598087212436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-5.6843418860808015E-14</v>
      </c>
      <c r="DP87" s="18">
        <f>DO87*VLOOKUP('Données projet'!$B$14,Paramètres!$A$1:$I$89,3,0)*VLOOKUP('Données projet'!$B$14,Paramètres!$A$1:$I$89,5,0)</f>
        <v>-3.2514435588382188E-14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228.06050741667258</v>
      </c>
      <c r="DU87" s="62">
        <f t="shared" si="98"/>
        <v>191.94885821983536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4.2072406041441752</v>
      </c>
      <c r="EC87" s="23">
        <f>EXP(-LN(2)/2)*EC86+(1-EXP(-LN(2)/2))/(LN(2)/2)*DW87*DZ87*VLOOKUP('Données projet'!$B$14,Paramètres!$A$1:$I$89,3,0)*0.475*44/12</f>
        <v>7.6455972900128186E-7</v>
      </c>
      <c r="ED87" s="24">
        <f t="shared" si="72"/>
        <v>4.2072413687039045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-5.6843418860808015E-14</v>
      </c>
      <c r="EK87" s="18">
        <f>EJ87*VLOOKUP('Données projet'!$B$15,Paramètres!$A$1:$I$89,3,0)*VLOOKUP('Données projet'!$B$15,Paramètres!$A$1:$I$89,5,0)</f>
        <v>-5.1431925385259088E-14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315.23521260143986</v>
      </c>
      <c r="EP87" s="62">
        <f t="shared" si="100"/>
        <v>439.11021845472641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-3.4106051316484809E-13</v>
      </c>
      <c r="O88" s="14">
        <f>N88*VLOOKUP('Données projet'!$B$9,Paramètres!$A$1:$I$89,3,0)*VLOOKUP('Données projet'!$B$9,Paramètres!$A$1:$I$89,5,0)</f>
        <v>-1.9065282685915009E-13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302.20483575440988</v>
      </c>
      <c r="T88" s="62">
        <f t="shared" si="88"/>
        <v>275.32862097158687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4.8466645248619464</v>
      </c>
      <c r="AB88" s="23">
        <f>EXP(-LN(2)/2)*AB87+(1-EXP(-LN(2)/2))/(LN(2)/2)*V88*Y88*VLOOKUP('Données projet'!$B$9,Paramètres!$A$1:$I$89,3,0)*0.475*44/12</f>
        <v>5.7992910000625216E-8</v>
      </c>
      <c r="AC88" s="24">
        <f t="shared" si="57"/>
        <v>4.8466645828548565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3.8</v>
      </c>
      <c r="AI88" s="14">
        <f>IF('Données projet'!$A$62&gt;35,AI87+AH88-AQ87,IF(A88&lt;'Données projet'!$A$62,$AF$205^A88,IF(A88='Données projet'!$A$62,'Données projet'!$B$62,AI87+AH88-AQ87)))</f>
        <v>339.00000000000006</v>
      </c>
      <c r="AJ88" s="14">
        <f>AI88*VLOOKUP('Données projet'!$B$10,Paramètres!$A$1:$I$89,3,0)*VLOOKUP('Données projet'!$B$10,Paramètres!$A$1:$I$89,5,0)</f>
        <v>306.72720000000004</v>
      </c>
      <c r="AK88" s="14">
        <f t="shared" si="89"/>
        <v>72.584917646145641</v>
      </c>
      <c r="AL88" s="22">
        <f t="shared" si="58"/>
        <v>660.63527156703708</v>
      </c>
      <c r="AM88" s="62">
        <f t="shared" si="59"/>
        <v>953.96860490037034</v>
      </c>
      <c r="AN88" s="62">
        <f ca="1">AVERAGE(OFFSET($AM$3,0,0,'Données projet'!$E$10+1,1))-AVERAGE(OFFSET($H$3,0,0,'Données projet'!$E$10+1,1))</f>
        <v>384.44848355636935</v>
      </c>
      <c r="AO88" s="62">
        <f t="shared" si="90"/>
        <v>203.5274665601915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3.8</v>
      </c>
      <c r="BD88" s="13">
        <f>IF('Données projet'!$A$88&gt;35,BD87+BC88-BL87,IF(A88&lt;'Données projet'!$A$88,$BA$205^A88,IF(A88='Données projet'!$A$88,'Données projet'!$B$88,BD87+BC88-BL87)))</f>
        <v>339.00000000000006</v>
      </c>
      <c r="BE88" s="14">
        <f>BD88*VLOOKUP('Données projet'!$B$11,Paramètres!$A$1:$I$89,3,0)*VLOOKUP('Données projet'!$B$11,Paramètres!$A$1:$I$89,5,0)</f>
        <v>343.74600000000009</v>
      </c>
      <c r="BF88" s="14">
        <f t="shared" si="91"/>
        <v>80.273399486030513</v>
      </c>
      <c r="BG88" s="22">
        <f t="shared" si="61"/>
        <v>738.50045410483654</v>
      </c>
      <c r="BH88" s="62">
        <f t="shared" si="62"/>
        <v>1031.8337874381698</v>
      </c>
      <c r="BI88" s="62">
        <f ca="1">AVERAGE(OFFSET($BH$3,0,0,'Données projet'!$E$11+1,1))-AVERAGE(OFFSET($H$3,0,0,'Données projet'!$E$11+1,1))</f>
        <v>440.60698566758532</v>
      </c>
      <c r="BJ88" s="62">
        <f t="shared" si="92"/>
        <v>231.92898690465887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287.29865338866551</v>
      </c>
      <c r="CE88" s="62">
        <f t="shared" si="94"/>
        <v>217.57508587672368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2.3841280514524046</v>
      </c>
      <c r="CM88" s="23">
        <f>EXP(-LN(2)/2)*CM87+(1-EXP(-LN(2)/2))/(LN(2)/2)*CG88*CJ88*VLOOKUP('Données projet'!$B$12,Paramètres!$A$1:$I$89,3,0)*0.475*44/12</f>
        <v>6.7783644040103131E-8</v>
      </c>
      <c r="CN88" s="24">
        <f t="shared" si="66"/>
        <v>2.3841281192360486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175.05987582828078</v>
      </c>
      <c r="CZ88" s="62">
        <f t="shared" si="96"/>
        <v>268.54782308462387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1.9762984037358395</v>
      </c>
      <c r="DH88" s="23">
        <f>EXP(-LN(2)/2)*DH87+(1-EXP(-LN(2)/2))/(LN(2)/2)*DB88*DE88*VLOOKUP('Données projet'!$B$13,Paramètres!$A$1:$I$89,3,0)*0.475*44/12</f>
        <v>6.6639237765224829E-8</v>
      </c>
      <c r="DI88" s="24">
        <f t="shared" si="69"/>
        <v>1.9762984703750772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-5.6843418860808015E-14</v>
      </c>
      <c r="DP88" s="18">
        <f>DO88*VLOOKUP('Données projet'!$B$14,Paramètres!$A$1:$I$89,3,0)*VLOOKUP('Données projet'!$B$14,Paramètres!$A$1:$I$89,5,0)</f>
        <v>-3.2514435588382188E-14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228.06050741667258</v>
      </c>
      <c r="DU88" s="62">
        <f t="shared" si="98"/>
        <v>191.94885821983536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4.0921933885746853</v>
      </c>
      <c r="EC88" s="23">
        <f>EXP(-LN(2)/2)*EC87+(1-EXP(-LN(2)/2))/(LN(2)/2)*DW88*DZ88*VLOOKUP('Données projet'!$B$14,Paramètres!$A$1:$I$89,3,0)*0.475*44/12</f>
        <v>5.4062536899895548E-7</v>
      </c>
      <c r="ED88" s="24">
        <f t="shared" si="72"/>
        <v>4.0921939292000546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-5.6843418860808015E-14</v>
      </c>
      <c r="EK88" s="18">
        <f>EJ88*VLOOKUP('Données projet'!$B$15,Paramètres!$A$1:$I$89,3,0)*VLOOKUP('Données projet'!$B$15,Paramètres!$A$1:$I$89,5,0)</f>
        <v>-5.1431925385259088E-14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315.23521260143986</v>
      </c>
      <c r="EP88" s="62">
        <f t="shared" si="100"/>
        <v>439.11021845472641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-3.4106051316484809E-13</v>
      </c>
      <c r="O89" s="14">
        <f>N89*VLOOKUP('Données projet'!$B$9,Paramètres!$A$1:$I$89,3,0)*VLOOKUP('Données projet'!$B$9,Paramètres!$A$1:$I$89,5,0)</f>
        <v>-1.9065282685915009E-13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302.20483575440988</v>
      </c>
      <c r="T89" s="62">
        <f t="shared" si="88"/>
        <v>275.32862097158687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4.7141322285545861</v>
      </c>
      <c r="AB89" s="23">
        <f>EXP(-LN(2)/2)*AB88+(1-EXP(-LN(2)/2))/(LN(2)/2)*V89*Y89*VLOOKUP('Données projet'!$B$9,Paramètres!$A$1:$I$89,3,0)*0.475*44/12</f>
        <v>4.1007179922183244E-8</v>
      </c>
      <c r="AC89" s="24">
        <f t="shared" si="57"/>
        <v>4.714132269561766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3.8</v>
      </c>
      <c r="AI89" s="14">
        <f>IF('Données projet'!$A$62&gt;35,AI88+AH89-AQ88,IF(A89&lt;'Données projet'!$A$62,$AF$205^A89,IF(A89='Données projet'!$A$62,'Données projet'!$B$62,AI88+AH89-AQ88)))</f>
        <v>342.80000000000007</v>
      </c>
      <c r="AJ89" s="14">
        <f>AI89*VLOOKUP('Données projet'!$B$10,Paramètres!$A$1:$I$89,3,0)*VLOOKUP('Données projet'!$B$10,Paramètres!$A$1:$I$89,5,0)</f>
        <v>310.16544000000005</v>
      </c>
      <c r="AK89" s="14">
        <f t="shared" si="89"/>
        <v>73.303379555549114</v>
      </c>
      <c r="AL89" s="22">
        <f t="shared" si="58"/>
        <v>667.87486072591469</v>
      </c>
      <c r="AM89" s="62">
        <f t="shared" si="59"/>
        <v>961.20819405924794</v>
      </c>
      <c r="AN89" s="62">
        <f ca="1">AVERAGE(OFFSET($AM$3,0,0,'Données projet'!$E$10+1,1))-AVERAGE(OFFSET($H$3,0,0,'Données projet'!$E$10+1,1))</f>
        <v>384.44848355636935</v>
      </c>
      <c r="AO89" s="62">
        <f t="shared" si="90"/>
        <v>203.5274665601915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3.8</v>
      </c>
      <c r="BD89" s="13">
        <f>IF('Données projet'!$A$88&gt;35,BD88+BC89-BL88,IF(A89&lt;'Données projet'!$A$88,$BA$205^A89,IF(A89='Données projet'!$A$88,'Données projet'!$B$88,BD88+BC89-BL88)))</f>
        <v>342.80000000000007</v>
      </c>
      <c r="BE89" s="14">
        <f>BD89*VLOOKUP('Données projet'!$B$11,Paramètres!$A$1:$I$89,3,0)*VLOOKUP('Données projet'!$B$11,Paramètres!$A$1:$I$89,5,0)</f>
        <v>347.59920000000011</v>
      </c>
      <c r="BF89" s="14">
        <f t="shared" si="91"/>
        <v>81.067963725259943</v>
      </c>
      <c r="BG89" s="22">
        <f t="shared" si="61"/>
        <v>746.59531015482787</v>
      </c>
      <c r="BH89" s="62">
        <f t="shared" si="62"/>
        <v>1039.9286434881612</v>
      </c>
      <c r="BI89" s="62">
        <f ca="1">AVERAGE(OFFSET($BH$3,0,0,'Données projet'!$E$11+1,1))-AVERAGE(OFFSET($H$3,0,0,'Données projet'!$E$11+1,1))</f>
        <v>440.60698566758532</v>
      </c>
      <c r="BJ89" s="62">
        <f t="shared" si="92"/>
        <v>231.92898690465887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287.29865338866551</v>
      </c>
      <c r="CE89" s="62">
        <f t="shared" si="94"/>
        <v>217.57508587672368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2.3189339445095936</v>
      </c>
      <c r="CM89" s="23">
        <f>EXP(-LN(2)/2)*CM88+(1-EXP(-LN(2)/2))/(LN(2)/2)*CG89*CJ89*VLOOKUP('Données projet'!$B$12,Paramètres!$A$1:$I$89,3,0)*0.475*44/12</f>
        <v>4.7930274354292032E-8</v>
      </c>
      <c r="CN89" s="24">
        <f t="shared" si="66"/>
        <v>2.318933992439868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175.05987582828078</v>
      </c>
      <c r="CZ89" s="62">
        <f t="shared" si="96"/>
        <v>268.54782308462387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1.9222564199566667</v>
      </c>
      <c r="DH89" s="23">
        <f>EXP(-LN(2)/2)*DH88+(1-EXP(-LN(2)/2))/(LN(2)/2)*DB89*DE89*VLOOKUP('Données projet'!$B$13,Paramètres!$A$1:$I$89,3,0)*0.475*44/12</f>
        <v>4.7121056916893148E-8</v>
      </c>
      <c r="DI89" s="24">
        <f t="shared" si="69"/>
        <v>1.9222564670777236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-5.6843418860808015E-14</v>
      </c>
      <c r="DP89" s="18">
        <f>DO89*VLOOKUP('Données projet'!$B$14,Paramètres!$A$1:$I$89,3,0)*VLOOKUP('Données projet'!$B$14,Paramètres!$A$1:$I$89,5,0)</f>
        <v>-3.2514435588382188E-14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228.06050741667258</v>
      </c>
      <c r="DU89" s="62">
        <f t="shared" si="98"/>
        <v>191.94885821983536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3.9802921451650128</v>
      </c>
      <c r="EC89" s="23">
        <f>EXP(-LN(2)/2)*EC88+(1-EXP(-LN(2)/2))/(LN(2)/2)*DW89*DZ89*VLOOKUP('Données projet'!$B$14,Paramètres!$A$1:$I$89,3,0)*0.475*44/12</f>
        <v>3.8227986450064093E-7</v>
      </c>
      <c r="ED89" s="24">
        <f t="shared" si="72"/>
        <v>3.9802925274448775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-5.6843418860808015E-14</v>
      </c>
      <c r="EK89" s="18">
        <f>EJ89*VLOOKUP('Données projet'!$B$15,Paramètres!$A$1:$I$89,3,0)*VLOOKUP('Données projet'!$B$15,Paramètres!$A$1:$I$89,5,0)</f>
        <v>-5.1431925385259088E-14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315.23521260143986</v>
      </c>
      <c r="EP89" s="62">
        <f t="shared" si="100"/>
        <v>439.11021845472641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-3.4106051316484809E-13</v>
      </c>
      <c r="O90" s="14">
        <f>N90*VLOOKUP('Données projet'!$B$9,Paramètres!$A$1:$I$89,3,0)*VLOOKUP('Données projet'!$B$9,Paramètres!$A$1:$I$89,5,0)</f>
        <v>-1.9065282685915009E-13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302.20483575440988</v>
      </c>
      <c r="T90" s="62">
        <f t="shared" si="88"/>
        <v>275.32862097158687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4.585224034859321</v>
      </c>
      <c r="AB90" s="23">
        <f>EXP(-LN(2)/2)*AB89+(1-EXP(-LN(2)/2))/(LN(2)/2)*V90*Y90*VLOOKUP('Données projet'!$B$9,Paramètres!$A$1:$I$89,3,0)*0.475*44/12</f>
        <v>2.8996455000312615E-8</v>
      </c>
      <c r="AC90" s="24">
        <f t="shared" si="57"/>
        <v>4.585224063855776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3.8</v>
      </c>
      <c r="AI90" s="14">
        <f>IF('Données projet'!$A$62&gt;35,AI89+AH90-AQ89,IF(A90&lt;'Données projet'!$A$62,$AF$205^A90,IF(A90='Données projet'!$A$62,'Données projet'!$B$62,AI89+AH90-AQ89)))</f>
        <v>346.60000000000008</v>
      </c>
      <c r="AJ90" s="14">
        <f>AI90*VLOOKUP('Données projet'!$B$10,Paramètres!$A$1:$I$89,3,0)*VLOOKUP('Données projet'!$B$10,Paramètres!$A$1:$I$89,5,0)</f>
        <v>313.60368000000005</v>
      </c>
      <c r="AK90" s="14">
        <f t="shared" si="89"/>
        <v>74.020915000501219</v>
      </c>
      <c r="AL90" s="22">
        <f t="shared" si="58"/>
        <v>675.11283629253967</v>
      </c>
      <c r="AM90" s="62">
        <f t="shared" si="59"/>
        <v>968.44616962587293</v>
      </c>
      <c r="AN90" s="62">
        <f ca="1">AVERAGE(OFFSET($AM$3,0,0,'Données projet'!$E$10+1,1))-AVERAGE(OFFSET($H$3,0,0,'Données projet'!$E$10+1,1))</f>
        <v>384.44848355636935</v>
      </c>
      <c r="AO90" s="62">
        <f t="shared" si="90"/>
        <v>203.5274665601915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3.8</v>
      </c>
      <c r="BD90" s="13">
        <f>IF('Données projet'!$A$88&gt;35,BD89+BC90-BL89,IF(A90&lt;'Données projet'!$A$88,$BA$205^A90,IF(A90='Données projet'!$A$88,'Données projet'!$B$88,BD89+BC90-BL89)))</f>
        <v>346.60000000000008</v>
      </c>
      <c r="BE90" s="14">
        <f>BD90*VLOOKUP('Données projet'!$B$11,Paramètres!$A$1:$I$89,3,0)*VLOOKUP('Données projet'!$B$11,Paramètres!$A$1:$I$89,5,0)</f>
        <v>351.45240000000007</v>
      </c>
      <c r="BF90" s="14">
        <f t="shared" si="91"/>
        <v>81.861503365255544</v>
      </c>
      <c r="BG90" s="22">
        <f t="shared" si="61"/>
        <v>754.68838169448679</v>
      </c>
      <c r="BH90" s="62">
        <f t="shared" si="62"/>
        <v>1048.0217150278202</v>
      </c>
      <c r="BI90" s="62">
        <f ca="1">AVERAGE(OFFSET($BH$3,0,0,'Données projet'!$E$11+1,1))-AVERAGE(OFFSET($H$3,0,0,'Données projet'!$E$11+1,1))</f>
        <v>440.60698566758532</v>
      </c>
      <c r="BJ90" s="62">
        <f t="shared" si="92"/>
        <v>231.92898690465887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287.29865338866551</v>
      </c>
      <c r="CE90" s="62">
        <f t="shared" si="94"/>
        <v>217.57508587672368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2.2555225738495426</v>
      </c>
      <c r="CM90" s="23">
        <f>EXP(-LN(2)/2)*CM89+(1-EXP(-LN(2)/2))/(LN(2)/2)*CG90*CJ90*VLOOKUP('Données projet'!$B$12,Paramètres!$A$1:$I$89,3,0)*0.475*44/12</f>
        <v>3.3891822020051566E-8</v>
      </c>
      <c r="CN90" s="24">
        <f t="shared" si="66"/>
        <v>2.2555226077413648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175.05987582828078</v>
      </c>
      <c r="CZ90" s="62">
        <f t="shared" si="96"/>
        <v>268.54782308462387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1.8696922170658798</v>
      </c>
      <c r="DH90" s="23">
        <f>EXP(-LN(2)/2)*DH89+(1-EXP(-LN(2)/2))/(LN(2)/2)*DB90*DE90*VLOOKUP('Données projet'!$B$13,Paramètres!$A$1:$I$89,3,0)*0.475*44/12</f>
        <v>3.3319618882612415E-8</v>
      </c>
      <c r="DI90" s="24">
        <f t="shared" si="69"/>
        <v>1.8696922503854987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-5.6843418860808015E-14</v>
      </c>
      <c r="DP90" s="18">
        <f>DO90*VLOOKUP('Données projet'!$B$14,Paramètres!$A$1:$I$89,3,0)*VLOOKUP('Données projet'!$B$14,Paramètres!$A$1:$I$89,5,0)</f>
        <v>-3.2514435588382188E-14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228.06050741667258</v>
      </c>
      <c r="DU90" s="62">
        <f t="shared" si="98"/>
        <v>191.94885821983536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3.8714508471410087</v>
      </c>
      <c r="EC90" s="23">
        <f>EXP(-LN(2)/2)*EC89+(1-EXP(-LN(2)/2))/(LN(2)/2)*DW90*DZ90*VLOOKUP('Données projet'!$B$14,Paramètres!$A$1:$I$89,3,0)*0.475*44/12</f>
        <v>2.7031268449947774E-7</v>
      </c>
      <c r="ED90" s="24">
        <f t="shared" si="72"/>
        <v>3.8714511174536934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-5.6843418860808015E-14</v>
      </c>
      <c r="EK90" s="18">
        <f>EJ90*VLOOKUP('Données projet'!$B$15,Paramètres!$A$1:$I$89,3,0)*VLOOKUP('Données projet'!$B$15,Paramètres!$A$1:$I$89,5,0)</f>
        <v>-5.1431925385259088E-14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315.23521260143986</v>
      </c>
      <c r="EP90" s="62">
        <f t="shared" si="100"/>
        <v>439.11021845472641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-3.4106051316484809E-13</v>
      </c>
      <c r="O91" s="14">
        <f>N91*VLOOKUP('Données projet'!$B$9,Paramètres!$A$1:$I$89,3,0)*VLOOKUP('Données projet'!$B$9,Paramètres!$A$1:$I$89,5,0)</f>
        <v>-1.9065282685915009E-13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302.20483575440988</v>
      </c>
      <c r="T91" s="62">
        <f t="shared" si="88"/>
        <v>275.32862097158687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4.4598408424996405</v>
      </c>
      <c r="AB91" s="23">
        <f>EXP(-LN(2)/2)*AB90+(1-EXP(-LN(2)/2))/(LN(2)/2)*V91*Y91*VLOOKUP('Données projet'!$B$9,Paramètres!$A$1:$I$89,3,0)*0.475*44/12</f>
        <v>2.0503589961091625E-8</v>
      </c>
      <c r="AC91" s="24">
        <f t="shared" si="57"/>
        <v>4.4598408630032305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3.8</v>
      </c>
      <c r="AI91" s="14">
        <f>IF('Données projet'!$A$62&gt;35,AI90+AH91-AQ90,IF(A91&lt;'Données projet'!$A$62,$AF$205^A91,IF(A91='Données projet'!$A$62,'Données projet'!$B$62,AI90+AH91-AQ90)))</f>
        <v>350.40000000000009</v>
      </c>
      <c r="AJ91" s="14">
        <f>AI91*VLOOKUP('Données projet'!$B$10,Paramètres!$A$1:$I$89,3,0)*VLOOKUP('Données projet'!$B$10,Paramètres!$A$1:$I$89,5,0)</f>
        <v>317.04192000000006</v>
      </c>
      <c r="AK91" s="14">
        <f t="shared" si="89"/>
        <v>74.73753531397945</v>
      </c>
      <c r="AL91" s="22">
        <f t="shared" si="58"/>
        <v>682.34921800518089</v>
      </c>
      <c r="AM91" s="62">
        <f t="shared" si="59"/>
        <v>975.68255133851426</v>
      </c>
      <c r="AN91" s="62">
        <f ca="1">AVERAGE(OFFSET($AM$3,0,0,'Données projet'!$E$10+1,1))-AVERAGE(OFFSET($H$3,0,0,'Données projet'!$E$10+1,1))</f>
        <v>384.44848355636935</v>
      </c>
      <c r="AO91" s="62">
        <f t="shared" si="90"/>
        <v>203.5274665601915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3.8</v>
      </c>
      <c r="BD91" s="13">
        <f>IF('Données projet'!$A$88&gt;35,BD90+BC91-BL90,IF(A91&lt;'Données projet'!$A$88,$BA$205^A91,IF(A91='Données projet'!$A$88,'Données projet'!$B$88,BD90+BC91-BL90)))</f>
        <v>350.40000000000009</v>
      </c>
      <c r="BE91" s="14">
        <f>BD91*VLOOKUP('Données projet'!$B$11,Paramètres!$A$1:$I$89,3,0)*VLOOKUP('Données projet'!$B$11,Paramètres!$A$1:$I$89,5,0)</f>
        <v>355.30560000000014</v>
      </c>
      <c r="BF91" s="14">
        <f t="shared" si="91"/>
        <v>82.654030939428409</v>
      </c>
      <c r="BG91" s="22">
        <f t="shared" si="61"/>
        <v>762.77969055283802</v>
      </c>
      <c r="BH91" s="62">
        <f t="shared" si="62"/>
        <v>1056.1130238861713</v>
      </c>
      <c r="BI91" s="62">
        <f ca="1">AVERAGE(OFFSET($BH$3,0,0,'Données projet'!$E$11+1,1))-AVERAGE(OFFSET($H$3,0,0,'Données projet'!$E$11+1,1))</f>
        <v>440.60698566758532</v>
      </c>
      <c r="BJ91" s="62">
        <f t="shared" si="92"/>
        <v>231.92898690465887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287.29865338866551</v>
      </c>
      <c r="CE91" s="62">
        <f t="shared" si="94"/>
        <v>217.57508587672368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2.1938451904548497</v>
      </c>
      <c r="CM91" s="23">
        <f>EXP(-LN(2)/2)*CM90+(1-EXP(-LN(2)/2))/(LN(2)/2)*CG91*CJ91*VLOOKUP('Données projet'!$B$12,Paramètres!$A$1:$I$89,3,0)*0.475*44/12</f>
        <v>2.3965137177146016E-8</v>
      </c>
      <c r="CN91" s="24">
        <f t="shared" si="66"/>
        <v>2.1938452144199867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175.05987582828078</v>
      </c>
      <c r="CZ91" s="62">
        <f t="shared" si="96"/>
        <v>268.54782308462387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1.8185653850673729</v>
      </c>
      <c r="DH91" s="23">
        <f>EXP(-LN(2)/2)*DH90+(1-EXP(-LN(2)/2))/(LN(2)/2)*DB91*DE91*VLOOKUP('Données projet'!$B$13,Paramètres!$A$1:$I$89,3,0)*0.475*44/12</f>
        <v>2.3560528458446574E-8</v>
      </c>
      <c r="DI91" s="24">
        <f t="shared" si="69"/>
        <v>1.8185654086279013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-5.6843418860808015E-14</v>
      </c>
      <c r="DP91" s="18">
        <f>DO91*VLOOKUP('Données projet'!$B$14,Paramètres!$A$1:$I$89,3,0)*VLOOKUP('Données projet'!$B$14,Paramètres!$A$1:$I$89,5,0)</f>
        <v>-3.2514435588382188E-14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228.06050741667258</v>
      </c>
      <c r="DU91" s="62">
        <f t="shared" si="98"/>
        <v>191.94885821983536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3.7655858201351862</v>
      </c>
      <c r="EC91" s="23">
        <f>EXP(-LN(2)/2)*EC90+(1-EXP(-LN(2)/2))/(LN(2)/2)*DW91*DZ91*VLOOKUP('Données projet'!$B$14,Paramètres!$A$1:$I$89,3,0)*0.475*44/12</f>
        <v>1.9113993225032047E-7</v>
      </c>
      <c r="ED91" s="24">
        <f t="shared" si="72"/>
        <v>3.7655860112751185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-5.6843418860808015E-14</v>
      </c>
      <c r="EK91" s="18">
        <f>EJ91*VLOOKUP('Données projet'!$B$15,Paramètres!$A$1:$I$89,3,0)*VLOOKUP('Données projet'!$B$15,Paramètres!$A$1:$I$89,5,0)</f>
        <v>-5.1431925385259088E-14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315.23521260143986</v>
      </c>
      <c r="EP91" s="62">
        <f t="shared" si="100"/>
        <v>439.11021845472641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-3.4106051316484809E-13</v>
      </c>
      <c r="O92" s="14">
        <f>N92*VLOOKUP('Données projet'!$B$9,Paramètres!$A$1:$I$89,3,0)*VLOOKUP('Données projet'!$B$9,Paramètres!$A$1:$I$89,5,0)</f>
        <v>-1.9065282685915009E-13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302.20483575440988</v>
      </c>
      <c r="T92" s="62">
        <f t="shared" si="88"/>
        <v>275.32862097158687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4.3378862601286512</v>
      </c>
      <c r="AB92" s="23">
        <f>EXP(-LN(2)/2)*AB91+(1-EXP(-LN(2)/2))/(LN(2)/2)*V92*Y92*VLOOKUP('Données projet'!$B$9,Paramètres!$A$1:$I$89,3,0)*0.475*44/12</f>
        <v>1.4498227500156309E-8</v>
      </c>
      <c r="AC92" s="24">
        <f t="shared" si="57"/>
        <v>4.3378862746268787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3.8</v>
      </c>
      <c r="AI92" s="14">
        <f>IF('Données projet'!$A$62&gt;35,AI91+AH92-AQ91,IF(A92&lt;'Données projet'!$A$62,$AF$205^A92,IF(A92='Données projet'!$A$62,'Données projet'!$B$62,AI91+AH92-AQ91)))</f>
        <v>354.2000000000001</v>
      </c>
      <c r="AJ92" s="14">
        <f>AI92*VLOOKUP('Données projet'!$B$10,Paramètres!$A$1:$I$89,3,0)*VLOOKUP('Données projet'!$B$10,Paramètres!$A$1:$I$89,5,0)</f>
        <v>320.48016000000007</v>
      </c>
      <c r="AK92" s="14">
        <f t="shared" si="89"/>
        <v>75.453251568997672</v>
      </c>
      <c r="AL92" s="22">
        <f t="shared" si="58"/>
        <v>689.58402514933766</v>
      </c>
      <c r="AM92" s="62">
        <f t="shared" si="59"/>
        <v>982.91735848267103</v>
      </c>
      <c r="AN92" s="62">
        <f ca="1">AVERAGE(OFFSET($AM$3,0,0,'Données projet'!$E$10+1,1))-AVERAGE(OFFSET($H$3,0,0,'Données projet'!$E$10+1,1))</f>
        <v>384.44848355636935</v>
      </c>
      <c r="AO92" s="62">
        <f t="shared" si="90"/>
        <v>203.5274665601915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3.8</v>
      </c>
      <c r="BD92" s="13">
        <f>IF('Données projet'!$A$88&gt;35,BD91+BC92-BL91,IF(A92&lt;'Données projet'!$A$88,$BA$205^A92,IF(A92='Données projet'!$A$88,'Données projet'!$B$88,BD91+BC92-BL91)))</f>
        <v>354.2000000000001</v>
      </c>
      <c r="BE92" s="14">
        <f>BD92*VLOOKUP('Données projet'!$B$11,Paramètres!$A$1:$I$89,3,0)*VLOOKUP('Données projet'!$B$11,Paramètres!$A$1:$I$89,5,0)</f>
        <v>359.15880000000016</v>
      </c>
      <c r="BF92" s="14">
        <f t="shared" si="91"/>
        <v>83.445558693690174</v>
      </c>
      <c r="BG92" s="22">
        <f t="shared" si="61"/>
        <v>770.86925805817725</v>
      </c>
      <c r="BH92" s="62">
        <f t="shared" si="62"/>
        <v>1064.2025913915106</v>
      </c>
      <c r="BI92" s="62">
        <f ca="1">AVERAGE(OFFSET($BH$3,0,0,'Données projet'!$E$11+1,1))-AVERAGE(OFFSET($H$3,0,0,'Données projet'!$E$11+1,1))</f>
        <v>440.60698566758532</v>
      </c>
      <c r="BJ92" s="62">
        <f t="shared" si="92"/>
        <v>231.92898690465887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287.29865338866551</v>
      </c>
      <c r="CE92" s="62">
        <f t="shared" si="94"/>
        <v>217.57508587672368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2.1338543783525572</v>
      </c>
      <c r="CM92" s="23">
        <f>EXP(-LN(2)/2)*CM91+(1-EXP(-LN(2)/2))/(LN(2)/2)*CG92*CJ92*VLOOKUP('Données projet'!$B$12,Paramètres!$A$1:$I$89,3,0)*0.475*44/12</f>
        <v>1.6945911010025783E-8</v>
      </c>
      <c r="CN92" s="24">
        <f t="shared" si="66"/>
        <v>2.1338543952984681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175.05987582828078</v>
      </c>
      <c r="CZ92" s="62">
        <f t="shared" si="96"/>
        <v>268.54782308462387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1.7688366189785083</v>
      </c>
      <c r="DH92" s="23">
        <f>EXP(-LN(2)/2)*DH91+(1-EXP(-LN(2)/2))/(LN(2)/2)*DB92*DE92*VLOOKUP('Données projet'!$B$13,Paramètres!$A$1:$I$89,3,0)*0.475*44/12</f>
        <v>1.6659809441306207E-8</v>
      </c>
      <c r="DI92" s="24">
        <f t="shared" si="69"/>
        <v>1.7688366356383178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-5.6843418860808015E-14</v>
      </c>
      <c r="DP92" s="18">
        <f>DO92*VLOOKUP('Données projet'!$B$14,Paramètres!$A$1:$I$89,3,0)*VLOOKUP('Données projet'!$B$14,Paramètres!$A$1:$I$89,5,0)</f>
        <v>-3.2514435588382188E-14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228.06050741667258</v>
      </c>
      <c r="DU92" s="62">
        <f t="shared" si="98"/>
        <v>191.94885821983536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3.6626156778600376</v>
      </c>
      <c r="EC92" s="23">
        <f>EXP(-LN(2)/2)*EC91+(1-EXP(-LN(2)/2))/(LN(2)/2)*DW92*DZ92*VLOOKUP('Données projet'!$B$14,Paramètres!$A$1:$I$89,3,0)*0.475*44/12</f>
        <v>1.3515634224973887E-7</v>
      </c>
      <c r="ED92" s="24">
        <f t="shared" si="72"/>
        <v>3.6626158130163797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-5.6843418860808015E-14</v>
      </c>
      <c r="EK92" s="18">
        <f>EJ92*VLOOKUP('Données projet'!$B$15,Paramètres!$A$1:$I$89,3,0)*VLOOKUP('Données projet'!$B$15,Paramètres!$A$1:$I$89,5,0)</f>
        <v>-5.1431925385259088E-14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315.23521260143986</v>
      </c>
      <c r="EP92" s="62">
        <f t="shared" si="100"/>
        <v>439.11021845472641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-3.4106051316484809E-13</v>
      </c>
      <c r="O93" s="14">
        <f>N93*VLOOKUP('Données projet'!$B$9,Paramètres!$A$1:$I$89,3,0)*VLOOKUP('Données projet'!$B$9,Paramètres!$A$1:$I$89,5,0)</f>
        <v>-1.9065282685915009E-13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302.20483575440988</v>
      </c>
      <c r="T93" s="62">
        <f t="shared" si="88"/>
        <v>275.32862097158687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4.2192665322259089</v>
      </c>
      <c r="AB93" s="23">
        <f>EXP(-LN(2)/2)*AB92+(1-EXP(-LN(2)/2))/(LN(2)/2)*V93*Y93*VLOOKUP('Données projet'!$B$9,Paramètres!$A$1:$I$89,3,0)*0.475*44/12</f>
        <v>1.0251794980545814E-8</v>
      </c>
      <c r="AC93" s="24">
        <f t="shared" si="57"/>
        <v>4.2192665424777038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358</v>
      </c>
      <c r="AG93" s="13">
        <f>VLOOKUP(A93,'Données projet'!$A$61:$I$81,9,0)</f>
        <v>3.8</v>
      </c>
      <c r="AH93" s="13">
        <f t="array" ref="AH93">INDEX(AG:AG,MIN(IF(ISNUMBER(AG93:AG289),ROW(AG93:AG289),"")))</f>
        <v>3.8</v>
      </c>
      <c r="AI93" s="14">
        <f>IF('Données projet'!$A$62&gt;35,AI92+AH93-AQ92,IF(A93&lt;'Données projet'!$A$62,$AF$205^A93,IF(A93='Données projet'!$A$62,'Données projet'!$B$62,AI92+AH93-AQ92)))</f>
        <v>358.00000000000011</v>
      </c>
      <c r="AJ93" s="14">
        <f>AI93*VLOOKUP('Données projet'!$B$10,Paramètres!$A$1:$I$89,3,0)*VLOOKUP('Données projet'!$B$10,Paramètres!$A$1:$I$89,5,0)</f>
        <v>323.91840000000008</v>
      </c>
      <c r="AK93" s="14">
        <f t="shared" si="89"/>
        <v>76.168074587293091</v>
      </c>
      <c r="AL93" s="22">
        <f t="shared" si="58"/>
        <v>696.81727657286899</v>
      </c>
      <c r="AM93" s="62">
        <f t="shared" si="59"/>
        <v>990.15060990620236</v>
      </c>
      <c r="AN93" s="62">
        <f ca="1">AVERAGE(OFFSET($AM$3,0,0,'Données projet'!$E$10+1,1))-AVERAGE(OFFSET($H$3,0,0,'Données projet'!$E$10+1,1))</f>
        <v>384.44848355636935</v>
      </c>
      <c r="AO93" s="62">
        <f t="shared" si="90"/>
        <v>203.5274665601915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56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358</v>
      </c>
      <c r="BB93" s="13">
        <f>VLOOKUP(A93,'Données projet'!$A$87:$I$107,9,0)</f>
        <v>3.8</v>
      </c>
      <c r="BC93" s="13">
        <f t="array" ref="BC93">INDEX(BB:BB,MIN(IF(ISNUMBER(BB93:BB289),ROW(BB93:BB289),"")))</f>
        <v>3.8</v>
      </c>
      <c r="BD93" s="13">
        <f>IF('Données projet'!$A$88&gt;35,BD92+BC93-BL92,IF(A93&lt;'Données projet'!$A$88,$BA$205^A93,IF(A93='Données projet'!$A$88,'Données projet'!$B$88,BD92+BC93-BL92)))</f>
        <v>358.00000000000011</v>
      </c>
      <c r="BE93" s="14">
        <f>BD93*VLOOKUP('Données projet'!$B$11,Paramètres!$A$1:$I$89,3,0)*VLOOKUP('Données projet'!$B$11,Paramètres!$A$1:$I$89,5,0)</f>
        <v>363.01200000000011</v>
      </c>
      <c r="BF93" s="14">
        <f t="shared" si="91"/>
        <v>84.23609859605908</v>
      </c>
      <c r="BG93" s="22">
        <f t="shared" si="61"/>
        <v>778.95710505480304</v>
      </c>
      <c r="BH93" s="62">
        <f t="shared" si="62"/>
        <v>1072.2904383881364</v>
      </c>
      <c r="BI93" s="62">
        <f ca="1">AVERAGE(OFFSET($BH$3,0,0,'Données projet'!$E$11+1,1))-AVERAGE(OFFSET($H$3,0,0,'Données projet'!$E$11+1,1))</f>
        <v>440.60698566758532</v>
      </c>
      <c r="BJ93" s="62">
        <f t="shared" si="92"/>
        <v>231.92898690465887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56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287.29865338866551</v>
      </c>
      <c r="CE93" s="62">
        <f t="shared" si="94"/>
        <v>217.57508587672368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2.0755040181619817</v>
      </c>
      <c r="CM93" s="23">
        <f>EXP(-LN(2)/2)*CM92+(1-EXP(-LN(2)/2))/(LN(2)/2)*CG93*CJ93*VLOOKUP('Données projet'!$B$12,Paramètres!$A$1:$I$89,3,0)*0.475*44/12</f>
        <v>1.1982568588573008E-8</v>
      </c>
      <c r="CN93" s="24">
        <f t="shared" si="66"/>
        <v>2.0755040301445504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175.05987582828078</v>
      </c>
      <c r="CZ93" s="62">
        <f t="shared" si="96"/>
        <v>268.54782308462387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1.720467688613466</v>
      </c>
      <c r="DH93" s="23">
        <f>EXP(-LN(2)/2)*DH92+(1-EXP(-LN(2)/2))/(LN(2)/2)*DB93*DE93*VLOOKUP('Données projet'!$B$13,Paramètres!$A$1:$I$89,3,0)*0.475*44/12</f>
        <v>1.1780264229223287E-8</v>
      </c>
      <c r="DI93" s="24">
        <f t="shared" si="69"/>
        <v>1.7204677003937303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-5.6843418860808015E-14</v>
      </c>
      <c r="DP93" s="18">
        <f>DO93*VLOOKUP('Données projet'!$B$14,Paramètres!$A$1:$I$89,3,0)*VLOOKUP('Données projet'!$B$14,Paramètres!$A$1:$I$89,5,0)</f>
        <v>-3.2514435588382188E-14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228.06050741667258</v>
      </c>
      <c r="DU93" s="62">
        <f t="shared" si="98"/>
        <v>191.94885821983536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3.5624612595403673</v>
      </c>
      <c r="EC93" s="23">
        <f>EXP(-LN(2)/2)*EC92+(1-EXP(-LN(2)/2))/(LN(2)/2)*DW93*DZ93*VLOOKUP('Données projet'!$B$14,Paramètres!$A$1:$I$89,3,0)*0.475*44/12</f>
        <v>9.5569966125160233E-8</v>
      </c>
      <c r="ED93" s="24">
        <f t="shared" si="72"/>
        <v>3.5624613551103335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-5.6843418860808015E-14</v>
      </c>
      <c r="EK93" s="18">
        <f>EJ93*VLOOKUP('Données projet'!$B$15,Paramètres!$A$1:$I$89,3,0)*VLOOKUP('Données projet'!$B$15,Paramètres!$A$1:$I$89,5,0)</f>
        <v>-5.1431925385259088E-14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315.23521260143986</v>
      </c>
      <c r="EP93" s="62">
        <f t="shared" si="100"/>
        <v>439.11021845472641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-3.4106051316484809E-13</v>
      </c>
      <c r="O94" s="14">
        <f>N94*VLOOKUP('Données projet'!$B$9,Paramètres!$A$1:$I$89,3,0)*VLOOKUP('Données projet'!$B$9,Paramètres!$A$1:$I$89,5,0)</f>
        <v>-1.9065282685915009E-13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302.20483575440988</v>
      </c>
      <c r="T94" s="62">
        <f t="shared" si="88"/>
        <v>275.32862097158687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4.1038904670206078</v>
      </c>
      <c r="AB94" s="23">
        <f>EXP(-LN(2)/2)*AB93+(1-EXP(-LN(2)/2))/(LN(2)/2)*V94*Y94*VLOOKUP('Données projet'!$B$9,Paramètres!$A$1:$I$89,3,0)*0.475*44/12</f>
        <v>7.2491137500781561E-9</v>
      </c>
      <c r="AC94" s="24">
        <f t="shared" si="57"/>
        <v>4.1038904742697211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5.9</v>
      </c>
      <c r="AI94" s="14">
        <f>IF('Données projet'!$A$62&gt;35,AI93+AH94-AQ93,IF(A94&lt;'Données projet'!$A$62,$AF$205^A94,IF(A94='Données projet'!$A$62,'Données projet'!$B$62,AI93+AH94-AQ93)))</f>
        <v>307.90000000000009</v>
      </c>
      <c r="AJ94" s="14">
        <f>AI94*VLOOKUP('Données projet'!$B$10,Paramètres!$A$1:$I$89,3,0)*VLOOKUP('Données projet'!$B$10,Paramètres!$A$1:$I$89,5,0)</f>
        <v>278.58792000000011</v>
      </c>
      <c r="AK94" s="14">
        <f t="shared" si="89"/>
        <v>66.668508032294213</v>
      </c>
      <c r="AL94" s="22">
        <f t="shared" si="58"/>
        <v>601.32161215624581</v>
      </c>
      <c r="AM94" s="62">
        <f t="shared" si="59"/>
        <v>894.65494548957918</v>
      </c>
      <c r="AN94" s="62">
        <f ca="1">AVERAGE(OFFSET($AM$3,0,0,'Données projet'!$E$10+1,1))-AVERAGE(OFFSET($H$3,0,0,'Données projet'!$E$10+1,1))</f>
        <v>384.44848355636935</v>
      </c>
      <c r="AO94" s="62">
        <f t="shared" si="90"/>
        <v>203.5274665601915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5.9</v>
      </c>
      <c r="BD94" s="13">
        <f>IF('Données projet'!$A$88&gt;35,BD93+BC94-BL93,IF(A94&lt;'Données projet'!$A$88,$BA$205^A94,IF(A94='Données projet'!$A$88,'Données projet'!$B$88,BD93+BC94-BL93)))</f>
        <v>307.90000000000009</v>
      </c>
      <c r="BE94" s="14">
        <f>BD94*VLOOKUP('Données projet'!$B$11,Paramètres!$A$1:$I$89,3,0)*VLOOKUP('Données projet'!$B$11,Paramètres!$A$1:$I$89,5,0)</f>
        <v>312.21060000000011</v>
      </c>
      <c r="BF94" s="14">
        <f t="shared" si="91"/>
        <v>73.730300342886324</v>
      </c>
      <c r="BG94" s="22">
        <f t="shared" si="61"/>
        <v>672.18040143052724</v>
      </c>
      <c r="BH94" s="62">
        <f t="shared" si="62"/>
        <v>965.51373476386061</v>
      </c>
      <c r="BI94" s="62">
        <f ca="1">AVERAGE(OFFSET($BH$3,0,0,'Données projet'!$E$11+1,1))-AVERAGE(OFFSET($H$3,0,0,'Données projet'!$E$11+1,1))</f>
        <v>440.60698566758532</v>
      </c>
      <c r="BJ94" s="62">
        <f t="shared" si="92"/>
        <v>231.92898690465887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287.29865338866551</v>
      </c>
      <c r="CE94" s="62">
        <f t="shared" si="94"/>
        <v>217.57508587672368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2.0187492516393295</v>
      </c>
      <c r="CM94" s="23">
        <f>EXP(-LN(2)/2)*CM93+(1-EXP(-LN(2)/2))/(LN(2)/2)*CG94*CJ94*VLOOKUP('Données projet'!$B$12,Paramètres!$A$1:$I$89,3,0)*0.475*44/12</f>
        <v>8.4729555050128914E-9</v>
      </c>
      <c r="CN94" s="24">
        <f t="shared" si="66"/>
        <v>2.0187492601122852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175.05987582828078</v>
      </c>
      <c r="CZ94" s="62">
        <f t="shared" si="96"/>
        <v>268.54782308462387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1.6734214091928672</v>
      </c>
      <c r="DH94" s="23">
        <f>EXP(-LN(2)/2)*DH93+(1-EXP(-LN(2)/2))/(LN(2)/2)*DB94*DE94*VLOOKUP('Données projet'!$B$13,Paramètres!$A$1:$I$89,3,0)*0.475*44/12</f>
        <v>8.3299047206531036E-9</v>
      </c>
      <c r="DI94" s="24">
        <f t="shared" si="69"/>
        <v>1.673421417522772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-5.6843418860808015E-14</v>
      </c>
      <c r="DP94" s="18">
        <f>DO94*VLOOKUP('Données projet'!$B$14,Paramètres!$A$1:$I$89,3,0)*VLOOKUP('Données projet'!$B$14,Paramètres!$A$1:$I$89,5,0)</f>
        <v>-3.2514435588382188E-14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228.06050741667258</v>
      </c>
      <c r="DU94" s="62">
        <f t="shared" si="98"/>
        <v>191.94885821983536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3.4650455690565405</v>
      </c>
      <c r="EC94" s="23">
        <f>EXP(-LN(2)/2)*EC93+(1-EXP(-LN(2)/2))/(LN(2)/2)*DW94*DZ94*VLOOKUP('Données projet'!$B$14,Paramètres!$A$1:$I$89,3,0)*0.475*44/12</f>
        <v>6.7578171124869435E-8</v>
      </c>
      <c r="ED94" s="24">
        <f t="shared" si="72"/>
        <v>3.4650456366347115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-5.6843418860808015E-14</v>
      </c>
      <c r="EK94" s="18">
        <f>EJ94*VLOOKUP('Données projet'!$B$15,Paramètres!$A$1:$I$89,3,0)*VLOOKUP('Données projet'!$B$15,Paramètres!$A$1:$I$89,5,0)</f>
        <v>-5.1431925385259088E-14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315.23521260143986</v>
      </c>
      <c r="EP94" s="62">
        <f t="shared" si="100"/>
        <v>439.11021845472641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-3.4106051316484809E-13</v>
      </c>
      <c r="O95" s="14">
        <f>N95*VLOOKUP('Données projet'!$B$9,Paramètres!$A$1:$I$89,3,0)*VLOOKUP('Données projet'!$B$9,Paramètres!$A$1:$I$89,5,0)</f>
        <v>-1.9065282685915009E-13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302.20483575440988</v>
      </c>
      <c r="T95" s="62">
        <f t="shared" si="88"/>
        <v>275.32862097158687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3.9916693663857092</v>
      </c>
      <c r="AB95" s="23">
        <f>EXP(-LN(2)/2)*AB94+(1-EXP(-LN(2)/2))/(LN(2)/2)*V95*Y95*VLOOKUP('Données projet'!$B$9,Paramètres!$A$1:$I$89,3,0)*0.475*44/12</f>
        <v>5.125897490272908E-9</v>
      </c>
      <c r="AC95" s="24">
        <f t="shared" si="57"/>
        <v>3.9916693715116067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5.9</v>
      </c>
      <c r="AI95" s="14">
        <f>IF('Données projet'!$A$62&gt;35,AI94+AH95-AQ94,IF(A95&lt;'Données projet'!$A$62,$AF$205^A95,IF(A95='Données projet'!$A$62,'Données projet'!$B$62,AI94+AH95-AQ94)))</f>
        <v>313.80000000000007</v>
      </c>
      <c r="AJ95" s="14">
        <f>AI95*VLOOKUP('Données projet'!$B$10,Paramètres!$A$1:$I$89,3,0)*VLOOKUP('Données projet'!$B$10,Paramètres!$A$1:$I$89,5,0)</f>
        <v>283.92624000000006</v>
      </c>
      <c r="AK95" s="14">
        <f t="shared" si="89"/>
        <v>67.796062628528361</v>
      </c>
      <c r="AL95" s="22">
        <f t="shared" si="58"/>
        <v>612.58301041135371</v>
      </c>
      <c r="AM95" s="62">
        <f t="shared" si="59"/>
        <v>905.91634374468708</v>
      </c>
      <c r="AN95" s="62">
        <f ca="1">AVERAGE(OFFSET($AM$3,0,0,'Données projet'!$E$10+1,1))-AVERAGE(OFFSET($H$3,0,0,'Données projet'!$E$10+1,1))</f>
        <v>384.44848355636935</v>
      </c>
      <c r="AO95" s="62">
        <f t="shared" si="90"/>
        <v>203.5274665601915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5.9</v>
      </c>
      <c r="BD95" s="13">
        <f>IF('Données projet'!$A$88&gt;35,BD94+BC95-BL94,IF(A95&lt;'Données projet'!$A$88,$BA$205^A95,IF(A95='Données projet'!$A$88,'Données projet'!$B$88,BD94+BC95-BL94)))</f>
        <v>313.80000000000007</v>
      </c>
      <c r="BE95" s="14">
        <f>BD95*VLOOKUP('Données projet'!$B$11,Paramètres!$A$1:$I$89,3,0)*VLOOKUP('Données projet'!$B$11,Paramètres!$A$1:$I$89,5,0)</f>
        <v>318.1932000000001</v>
      </c>
      <c r="BF95" s="14">
        <f t="shared" si="91"/>
        <v>74.977289985928564</v>
      </c>
      <c r="BG95" s="22">
        <f t="shared" si="61"/>
        <v>684.77193672549231</v>
      </c>
      <c r="BH95" s="62">
        <f t="shared" si="62"/>
        <v>978.10527005882568</v>
      </c>
      <c r="BI95" s="62">
        <f ca="1">AVERAGE(OFFSET($BH$3,0,0,'Données projet'!$E$11+1,1))-AVERAGE(OFFSET($H$3,0,0,'Données projet'!$E$11+1,1))</f>
        <v>440.60698566758532</v>
      </c>
      <c r="BJ95" s="62">
        <f t="shared" si="92"/>
        <v>231.92898690465887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287.29865338866551</v>
      </c>
      <c r="CE95" s="62">
        <f t="shared" si="94"/>
        <v>217.57508587672368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1.9635464471918429</v>
      </c>
      <c r="CM95" s="23">
        <f>EXP(-LN(2)/2)*CM94+(1-EXP(-LN(2)/2))/(LN(2)/2)*CG95*CJ95*VLOOKUP('Données projet'!$B$12,Paramètres!$A$1:$I$89,3,0)*0.475*44/12</f>
        <v>5.991284294286504E-9</v>
      </c>
      <c r="CN95" s="24">
        <f t="shared" si="66"/>
        <v>1.9635464531831273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175.05987582828078</v>
      </c>
      <c r="CZ95" s="62">
        <f t="shared" si="96"/>
        <v>268.54782308462387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1.6276616127570809</v>
      </c>
      <c r="DH95" s="23">
        <f>EXP(-LN(2)/2)*DH94+(1-EXP(-LN(2)/2))/(LN(2)/2)*DB95*DE95*VLOOKUP('Données projet'!$B$13,Paramètres!$A$1:$I$89,3,0)*0.475*44/12</f>
        <v>5.8901321146116435E-9</v>
      </c>
      <c r="DI95" s="24">
        <f t="shared" si="69"/>
        <v>1.627661618647213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-5.6843418860808015E-14</v>
      </c>
      <c r="DP95" s="18">
        <f>DO95*VLOOKUP('Données projet'!$B$14,Paramètres!$A$1:$I$89,3,0)*VLOOKUP('Données projet'!$B$14,Paramètres!$A$1:$I$89,5,0)</f>
        <v>-3.2514435588382188E-14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228.06050741667258</v>
      </c>
      <c r="DU95" s="62">
        <f t="shared" si="98"/>
        <v>191.94885821983536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3.3702937157518624</v>
      </c>
      <c r="EC95" s="23">
        <f>EXP(-LN(2)/2)*EC94+(1-EXP(-LN(2)/2))/(LN(2)/2)*DW95*DZ95*VLOOKUP('Données projet'!$B$14,Paramètres!$A$1:$I$89,3,0)*0.475*44/12</f>
        <v>4.7784983062580116E-8</v>
      </c>
      <c r="ED95" s="24">
        <f t="shared" si="72"/>
        <v>3.3702937635368455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-5.6843418860808015E-14</v>
      </c>
      <c r="EK95" s="18">
        <f>EJ95*VLOOKUP('Données projet'!$B$15,Paramètres!$A$1:$I$89,3,0)*VLOOKUP('Données projet'!$B$15,Paramètres!$A$1:$I$89,5,0)</f>
        <v>-5.1431925385259088E-14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315.23521260143986</v>
      </c>
      <c r="EP95" s="62">
        <f t="shared" si="100"/>
        <v>439.11021845472641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-3.4106051316484809E-13</v>
      </c>
      <c r="O96" s="14">
        <f>N96*VLOOKUP('Données projet'!$B$9,Paramètres!$A$1:$I$89,3,0)*VLOOKUP('Données projet'!$B$9,Paramètres!$A$1:$I$89,5,0)</f>
        <v>-1.9065282685915009E-13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302.20483575440988</v>
      </c>
      <c r="T96" s="62">
        <f t="shared" si="88"/>
        <v>275.32862097158687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3.882516957649123</v>
      </c>
      <c r="AB96" s="23">
        <f>EXP(-LN(2)/2)*AB95+(1-EXP(-LN(2)/2))/(LN(2)/2)*V96*Y96*VLOOKUP('Données projet'!$B$9,Paramètres!$A$1:$I$89,3,0)*0.475*44/12</f>
        <v>3.6245568750390785E-9</v>
      </c>
      <c r="AC96" s="24">
        <f t="shared" si="57"/>
        <v>3.8825169612736796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5.9</v>
      </c>
      <c r="AI96" s="14">
        <f>IF('Données projet'!$A$62&gt;35,AI95+AH96-AQ95,IF(A96&lt;'Données projet'!$A$62,$AF$205^A96,IF(A96='Données projet'!$A$62,'Données projet'!$B$62,AI95+AH96-AQ95)))</f>
        <v>319.70000000000005</v>
      </c>
      <c r="AJ96" s="14">
        <f>AI96*VLOOKUP('Données projet'!$B$10,Paramètres!$A$1:$I$89,3,0)*VLOOKUP('Données projet'!$B$10,Paramètres!$A$1:$I$89,5,0)</f>
        <v>289.26456000000002</v>
      </c>
      <c r="AK96" s="14">
        <f t="shared" si="89"/>
        <v>68.921152085057912</v>
      </c>
      <c r="AL96" s="22">
        <f t="shared" si="58"/>
        <v>623.84011521480932</v>
      </c>
      <c r="AM96" s="62">
        <f t="shared" si="59"/>
        <v>917.17344854814269</v>
      </c>
      <c r="AN96" s="62">
        <f ca="1">AVERAGE(OFFSET($AM$3,0,0,'Données projet'!$E$10+1,1))-AVERAGE(OFFSET($H$3,0,0,'Données projet'!$E$10+1,1))</f>
        <v>384.44848355636935</v>
      </c>
      <c r="AO96" s="62">
        <f t="shared" si="90"/>
        <v>203.5274665601915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5.9</v>
      </c>
      <c r="BD96" s="13">
        <f>IF('Données projet'!$A$88&gt;35,BD95+BC96-BL95,IF(A96&lt;'Données projet'!$A$88,$BA$205^A96,IF(A96='Données projet'!$A$88,'Données projet'!$B$88,BD95+BC96-BL95)))</f>
        <v>319.70000000000005</v>
      </c>
      <c r="BE96" s="14">
        <f>BD96*VLOOKUP('Données projet'!$B$11,Paramètres!$A$1:$I$89,3,0)*VLOOKUP('Données projet'!$B$11,Paramètres!$A$1:$I$89,5,0)</f>
        <v>324.17580000000004</v>
      </c>
      <c r="BF96" s="14">
        <f t="shared" si="91"/>
        <v>76.221553371909195</v>
      </c>
      <c r="BG96" s="22">
        <f t="shared" si="61"/>
        <v>697.3587237894086</v>
      </c>
      <c r="BH96" s="62">
        <f t="shared" si="62"/>
        <v>990.69205712274197</v>
      </c>
      <c r="BI96" s="62">
        <f ca="1">AVERAGE(OFFSET($BH$3,0,0,'Données projet'!$E$11+1,1))-AVERAGE(OFFSET($H$3,0,0,'Données projet'!$E$11+1,1))</f>
        <v>440.60698566758532</v>
      </c>
      <c r="BJ96" s="62">
        <f t="shared" si="92"/>
        <v>231.92898690465887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287.29865338866551</v>
      </c>
      <c r="CE96" s="62">
        <f t="shared" si="94"/>
        <v>217.57508587672368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1.909853166334962</v>
      </c>
      <c r="CM96" s="23">
        <f>EXP(-LN(2)/2)*CM95+(1-EXP(-LN(2)/2))/(LN(2)/2)*CG96*CJ96*VLOOKUP('Données projet'!$B$12,Paramètres!$A$1:$I$89,3,0)*0.475*44/12</f>
        <v>4.2364777525064457E-9</v>
      </c>
      <c r="CN96" s="24">
        <f t="shared" si="66"/>
        <v>1.9098531705714399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175.05987582828078</v>
      </c>
      <c r="CZ96" s="62">
        <f t="shared" si="96"/>
        <v>268.54782308462387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1.5831531203612343</v>
      </c>
      <c r="DH96" s="23">
        <f>EXP(-LN(2)/2)*DH95+(1-EXP(-LN(2)/2))/(LN(2)/2)*DB96*DE96*VLOOKUP('Données projet'!$B$13,Paramètres!$A$1:$I$89,3,0)*0.475*44/12</f>
        <v>4.1649523603265518E-9</v>
      </c>
      <c r="DI96" s="24">
        <f t="shared" si="69"/>
        <v>1.5831531245261867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-5.6843418860808015E-14</v>
      </c>
      <c r="DP96" s="18">
        <f>DO96*VLOOKUP('Données projet'!$B$14,Paramètres!$A$1:$I$89,3,0)*VLOOKUP('Données projet'!$B$14,Paramètres!$A$1:$I$89,5,0)</f>
        <v>-3.2514435588382188E-14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228.06050741667258</v>
      </c>
      <c r="DU96" s="62">
        <f t="shared" si="98"/>
        <v>191.94885821983536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3.2781328568585844</v>
      </c>
      <c r="EC96" s="23">
        <f>EXP(-LN(2)/2)*EC95+(1-EXP(-LN(2)/2))/(LN(2)/2)*DW96*DZ96*VLOOKUP('Données projet'!$B$14,Paramètres!$A$1:$I$89,3,0)*0.475*44/12</f>
        <v>3.3789085562434717E-8</v>
      </c>
      <c r="ED96" s="24">
        <f t="shared" si="72"/>
        <v>3.2781328906476701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-5.6843418860808015E-14</v>
      </c>
      <c r="EK96" s="18">
        <f>EJ96*VLOOKUP('Données projet'!$B$15,Paramètres!$A$1:$I$89,3,0)*VLOOKUP('Données projet'!$B$15,Paramètres!$A$1:$I$89,5,0)</f>
        <v>-5.1431925385259088E-14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315.23521260143986</v>
      </c>
      <c r="EP96" s="62">
        <f t="shared" si="100"/>
        <v>439.11021845472641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-3.4106051316484809E-13</v>
      </c>
      <c r="O97" s="14">
        <f>N97*VLOOKUP('Données projet'!$B$9,Paramètres!$A$1:$I$89,3,0)*VLOOKUP('Données projet'!$B$9,Paramètres!$A$1:$I$89,5,0)</f>
        <v>-1.9065282685915009E-13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302.20483575440988</v>
      </c>
      <c r="T97" s="62">
        <f t="shared" si="88"/>
        <v>275.32862097158687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3.7763493272695143</v>
      </c>
      <c r="AB97" s="23">
        <f>EXP(-LN(2)/2)*AB96+(1-EXP(-LN(2)/2))/(LN(2)/2)*V97*Y97*VLOOKUP('Données projet'!$B$9,Paramètres!$A$1:$I$89,3,0)*0.475*44/12</f>
        <v>2.5629487451364544E-9</v>
      </c>
      <c r="AC97" s="24">
        <f t="shared" si="57"/>
        <v>3.7763493298324633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5.9</v>
      </c>
      <c r="AI97" s="14">
        <f>IF('Données projet'!$A$62&gt;35,AI96+AH97-AQ96,IF(A97&lt;'Données projet'!$A$62,$AF$205^A97,IF(A97='Données projet'!$A$62,'Données projet'!$B$62,AI96+AH97-AQ96)))</f>
        <v>325.60000000000002</v>
      </c>
      <c r="AJ97" s="14">
        <f>AI97*VLOOKUP('Données projet'!$B$10,Paramètres!$A$1:$I$89,3,0)*VLOOKUP('Données projet'!$B$10,Paramètres!$A$1:$I$89,5,0)</f>
        <v>294.60288000000003</v>
      </c>
      <c r="AK97" s="14">
        <f t="shared" si="89"/>
        <v>70.043827142305744</v>
      </c>
      <c r="AL97" s="22">
        <f t="shared" si="58"/>
        <v>635.09301493951591</v>
      </c>
      <c r="AM97" s="62">
        <f t="shared" si="59"/>
        <v>928.42634827284928</v>
      </c>
      <c r="AN97" s="62">
        <f ca="1">AVERAGE(OFFSET($AM$3,0,0,'Données projet'!$E$10+1,1))-AVERAGE(OFFSET($H$3,0,0,'Données projet'!$E$10+1,1))</f>
        <v>384.44848355636935</v>
      </c>
      <c r="AO97" s="62">
        <f t="shared" si="90"/>
        <v>203.5274665601915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5.9</v>
      </c>
      <c r="BD97" s="13">
        <f>IF('Données projet'!$A$88&gt;35,BD96+BC97-BL96,IF(A97&lt;'Données projet'!$A$88,$BA$205^A97,IF(A97='Données projet'!$A$88,'Données projet'!$B$88,BD96+BC97-BL96)))</f>
        <v>325.60000000000002</v>
      </c>
      <c r="BE97" s="14">
        <f>BD97*VLOOKUP('Données projet'!$B$11,Paramètres!$A$1:$I$89,3,0)*VLOOKUP('Données projet'!$B$11,Paramètres!$A$1:$I$89,5,0)</f>
        <v>330.15840000000003</v>
      </c>
      <c r="BF97" s="14">
        <f t="shared" si="91"/>
        <v>77.463146615877591</v>
      </c>
      <c r="BG97" s="22">
        <f t="shared" si="61"/>
        <v>709.94086035598684</v>
      </c>
      <c r="BH97" s="62">
        <f t="shared" si="62"/>
        <v>1003.2741936893201</v>
      </c>
      <c r="BI97" s="62">
        <f ca="1">AVERAGE(OFFSET($BH$3,0,0,'Données projet'!$E$11+1,1))-AVERAGE(OFFSET($H$3,0,0,'Données projet'!$E$11+1,1))</f>
        <v>440.60698566758532</v>
      </c>
      <c r="BJ97" s="62">
        <f t="shared" si="92"/>
        <v>231.92898690465887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287.29865338866551</v>
      </c>
      <c r="CE97" s="62">
        <f t="shared" si="94"/>
        <v>217.57508587672368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1.8576281310667195</v>
      </c>
      <c r="CM97" s="23">
        <f>EXP(-LN(2)/2)*CM96+(1-EXP(-LN(2)/2))/(LN(2)/2)*CG97*CJ97*VLOOKUP('Données projet'!$B$12,Paramètres!$A$1:$I$89,3,0)*0.475*44/12</f>
        <v>2.995642147143252E-9</v>
      </c>
      <c r="CN97" s="24">
        <f t="shared" si="66"/>
        <v>1.8576281340623617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175.05987582828078</v>
      </c>
      <c r="CZ97" s="62">
        <f t="shared" si="96"/>
        <v>268.54782308462387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1.5398617150305522</v>
      </c>
      <c r="DH97" s="23">
        <f>EXP(-LN(2)/2)*DH96+(1-EXP(-LN(2)/2))/(LN(2)/2)*DB97*DE97*VLOOKUP('Données projet'!$B$13,Paramètres!$A$1:$I$89,3,0)*0.475*44/12</f>
        <v>2.9450660573058217E-9</v>
      </c>
      <c r="DI97" s="24">
        <f t="shared" si="69"/>
        <v>1.5398617179756182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-5.6843418860808015E-14</v>
      </c>
      <c r="DP97" s="18">
        <f>DO97*VLOOKUP('Données projet'!$B$14,Paramètres!$A$1:$I$89,3,0)*VLOOKUP('Données projet'!$B$14,Paramètres!$A$1:$I$89,5,0)</f>
        <v>-3.2514435588382188E-14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228.06050741667258</v>
      </c>
      <c r="DU97" s="62">
        <f t="shared" si="98"/>
        <v>191.94885821983536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3.1884921414982719</v>
      </c>
      <c r="EC97" s="23">
        <f>EXP(-LN(2)/2)*EC96+(1-EXP(-LN(2)/2))/(LN(2)/2)*DW97*DZ97*VLOOKUP('Données projet'!$B$14,Paramètres!$A$1:$I$89,3,0)*0.475*44/12</f>
        <v>2.3892491531290058E-8</v>
      </c>
      <c r="ED97" s="24">
        <f t="shared" si="72"/>
        <v>3.1884921653907634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-5.6843418860808015E-14</v>
      </c>
      <c r="EK97" s="18">
        <f>EJ97*VLOOKUP('Données projet'!$B$15,Paramètres!$A$1:$I$89,3,0)*VLOOKUP('Données projet'!$B$15,Paramètres!$A$1:$I$89,5,0)</f>
        <v>-5.1431925385259088E-14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315.23521260143986</v>
      </c>
      <c r="EP97" s="62">
        <f t="shared" si="100"/>
        <v>439.11021845472641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-3.4106051316484809E-13</v>
      </c>
      <c r="O98" s="14">
        <f>N98*VLOOKUP('Données projet'!$B$9,Paramètres!$A$1:$I$89,3,0)*VLOOKUP('Données projet'!$B$9,Paramètres!$A$1:$I$89,5,0)</f>
        <v>-1.9065282685915009E-13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302.20483575440988</v>
      </c>
      <c r="T98" s="62">
        <f t="shared" si="88"/>
        <v>275.32862097158687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3.6730848563257492</v>
      </c>
      <c r="AB98" s="23">
        <f>EXP(-LN(2)/2)*AB97+(1-EXP(-LN(2)/2))/(LN(2)/2)*V98*Y98*VLOOKUP('Données projet'!$B$9,Paramètres!$A$1:$I$89,3,0)*0.475*44/12</f>
        <v>1.8122784375195396E-9</v>
      </c>
      <c r="AC98" s="24">
        <f t="shared" si="57"/>
        <v>3.6730848581380275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5.9</v>
      </c>
      <c r="AI98" s="14">
        <f>IF('Données projet'!$A$62&gt;35,AI97+AH98-AQ97,IF(A98&lt;'Données projet'!$A$62,$AF$205^A98,IF(A98='Données projet'!$A$62,'Données projet'!$B$62,AI97+AH98-AQ97)))</f>
        <v>331.5</v>
      </c>
      <c r="AJ98" s="14">
        <f>AI98*VLOOKUP('Données projet'!$B$10,Paramètres!$A$1:$I$89,3,0)*VLOOKUP('Données projet'!$B$10,Paramètres!$A$1:$I$89,5,0)</f>
        <v>299.94119999999998</v>
      </c>
      <c r="AK98" s="14">
        <f t="shared" si="89"/>
        <v>71.164136596531506</v>
      </c>
      <c r="AL98" s="22">
        <f t="shared" si="58"/>
        <v>646.34179457229243</v>
      </c>
      <c r="AM98" s="62">
        <f t="shared" si="59"/>
        <v>939.67512790562569</v>
      </c>
      <c r="AN98" s="62">
        <f ca="1">AVERAGE(OFFSET($AM$3,0,0,'Données projet'!$E$10+1,1))-AVERAGE(OFFSET($H$3,0,0,'Données projet'!$E$10+1,1))</f>
        <v>384.44848355636935</v>
      </c>
      <c r="AO98" s="62">
        <f t="shared" si="90"/>
        <v>203.5274665601915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5.9</v>
      </c>
      <c r="BD98" s="13">
        <f>IF('Données projet'!$A$88&gt;35,BD97+BC98-BL97,IF(A98&lt;'Données projet'!$A$88,$BA$205^A98,IF(A98='Données projet'!$A$88,'Données projet'!$B$88,BD97+BC98-BL97)))</f>
        <v>331.5</v>
      </c>
      <c r="BE98" s="14">
        <f>BD98*VLOOKUP('Données projet'!$B$11,Paramètres!$A$1:$I$89,3,0)*VLOOKUP('Données projet'!$B$11,Paramètres!$A$1:$I$89,5,0)</f>
        <v>336.14100000000002</v>
      </c>
      <c r="BF98" s="14">
        <f t="shared" si="91"/>
        <v>78.70212368278645</v>
      </c>
      <c r="BG98" s="22">
        <f t="shared" si="61"/>
        <v>722.51844041418644</v>
      </c>
      <c r="BH98" s="62">
        <f t="shared" si="62"/>
        <v>1015.8517737475197</v>
      </c>
      <c r="BI98" s="62">
        <f ca="1">AVERAGE(OFFSET($BH$3,0,0,'Données projet'!$E$11+1,1))-AVERAGE(OFFSET($H$3,0,0,'Données projet'!$E$11+1,1))</f>
        <v>440.60698566758532</v>
      </c>
      <c r="BJ98" s="62">
        <f t="shared" si="92"/>
        <v>231.92898690465887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287.29865338866551</v>
      </c>
      <c r="CE98" s="62">
        <f t="shared" si="94"/>
        <v>217.57508587672368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1.8068311921342823</v>
      </c>
      <c r="CM98" s="23">
        <f>EXP(-LN(2)/2)*CM97+(1-EXP(-LN(2)/2))/(LN(2)/2)*CG98*CJ98*VLOOKUP('Données projet'!$B$12,Paramètres!$A$1:$I$89,3,0)*0.475*44/12</f>
        <v>2.1182388762532229E-9</v>
      </c>
      <c r="CN98" s="24">
        <f t="shared" si="66"/>
        <v>1.8068311942525213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175.05987582828078</v>
      </c>
      <c r="CZ98" s="62">
        <f t="shared" si="96"/>
        <v>268.54782308462387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1.4977541154552336</v>
      </c>
      <c r="DH98" s="23">
        <f>EXP(-LN(2)/2)*DH97+(1-EXP(-LN(2)/2))/(LN(2)/2)*DB98*DE98*VLOOKUP('Données projet'!$B$13,Paramètres!$A$1:$I$89,3,0)*0.475*44/12</f>
        <v>2.0824761801632759E-9</v>
      </c>
      <c r="DI98" s="24">
        <f t="shared" si="69"/>
        <v>1.4977541175377098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-5.6843418860808015E-14</v>
      </c>
      <c r="DP98" s="18">
        <f>DO98*VLOOKUP('Données projet'!$B$14,Paramètres!$A$1:$I$89,3,0)*VLOOKUP('Données projet'!$B$14,Paramètres!$A$1:$I$89,5,0)</f>
        <v>-3.2514435588382188E-14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228.06050741667258</v>
      </c>
      <c r="DU98" s="62">
        <f t="shared" si="98"/>
        <v>191.94885821983536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3.1013026562134871</v>
      </c>
      <c r="EC98" s="23">
        <f>EXP(-LN(2)/2)*EC97+(1-EXP(-LN(2)/2))/(LN(2)/2)*DW98*DZ98*VLOOKUP('Données projet'!$B$14,Paramètres!$A$1:$I$89,3,0)*0.475*44/12</f>
        <v>1.6894542781217359E-8</v>
      </c>
      <c r="ED98" s="24">
        <f t="shared" si="72"/>
        <v>3.1013026731080298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-5.6843418860808015E-14</v>
      </c>
      <c r="EK98" s="18">
        <f>EJ98*VLOOKUP('Données projet'!$B$15,Paramètres!$A$1:$I$89,3,0)*VLOOKUP('Données projet'!$B$15,Paramètres!$A$1:$I$89,5,0)</f>
        <v>-5.1431925385259088E-14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315.23521260143986</v>
      </c>
      <c r="EP98" s="62">
        <f t="shared" si="100"/>
        <v>439.11021845472641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-3.4106051316484809E-13</v>
      </c>
      <c r="O99" s="14">
        <f>N99*VLOOKUP('Données projet'!$B$9,Paramètres!$A$1:$I$89,3,0)*VLOOKUP('Données projet'!$B$9,Paramètres!$A$1:$I$89,5,0)</f>
        <v>-1.9065282685915009E-13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302.20483575440988</v>
      </c>
      <c r="T99" s="62">
        <f t="shared" si="88"/>
        <v>275.32862097158687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3.5726441577703838</v>
      </c>
      <c r="AB99" s="23">
        <f>EXP(-LN(2)/2)*AB98+(1-EXP(-LN(2)/2))/(LN(2)/2)*V99*Y99*VLOOKUP('Données projet'!$B$9,Paramètres!$A$1:$I$89,3,0)*0.475*44/12</f>
        <v>1.2814743725682274E-9</v>
      </c>
      <c r="AC99" s="24">
        <f t="shared" si="57"/>
        <v>3.5726441590518583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5.9</v>
      </c>
      <c r="AI99" s="14">
        <f>IF('Données projet'!$A$62&gt;35,AI98+AH99-AQ98,IF(A99&lt;'Données projet'!$A$62,$AF$205^A99,IF(A99='Données projet'!$A$62,'Données projet'!$B$62,AI98+AH99-AQ98)))</f>
        <v>337.4</v>
      </c>
      <c r="AJ99" s="14">
        <f>AI99*VLOOKUP('Données projet'!$B$10,Paramètres!$A$1:$I$89,3,0)*VLOOKUP('Données projet'!$B$10,Paramètres!$A$1:$I$89,5,0)</f>
        <v>305.27951999999999</v>
      </c>
      <c r="AK99" s="14">
        <f t="shared" si="89"/>
        <v>72.282127407576809</v>
      </c>
      <c r="AL99" s="22">
        <f t="shared" si="58"/>
        <v>657.5865359015296</v>
      </c>
      <c r="AM99" s="62">
        <f t="shared" si="59"/>
        <v>950.91986923486297</v>
      </c>
      <c r="AN99" s="62">
        <f ca="1">AVERAGE(OFFSET($AM$3,0,0,'Données projet'!$E$10+1,1))-AVERAGE(OFFSET($H$3,0,0,'Données projet'!$E$10+1,1))</f>
        <v>384.44848355636935</v>
      </c>
      <c r="AO99" s="62">
        <f t="shared" si="90"/>
        <v>203.5274665601915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5.9</v>
      </c>
      <c r="BD99" s="13">
        <f>IF('Données projet'!$A$88&gt;35,BD98+BC99-BL98,IF(A99&lt;'Données projet'!$A$88,$BA$205^A99,IF(A99='Données projet'!$A$88,'Données projet'!$B$88,BD98+BC99-BL98)))</f>
        <v>337.4</v>
      </c>
      <c r="BE99" s="14">
        <f>BD99*VLOOKUP('Données projet'!$B$11,Paramètres!$A$1:$I$89,3,0)*VLOOKUP('Données projet'!$B$11,Paramètres!$A$1:$I$89,5,0)</f>
        <v>342.12360000000001</v>
      </c>
      <c r="BF99" s="14">
        <f t="shared" si="91"/>
        <v>79.938536506649669</v>
      </c>
      <c r="BG99" s="22">
        <f t="shared" si="61"/>
        <v>735.09155441574819</v>
      </c>
      <c r="BH99" s="62">
        <f t="shared" si="62"/>
        <v>1028.4248877490816</v>
      </c>
      <c r="BI99" s="62">
        <f ca="1">AVERAGE(OFFSET($BH$3,0,0,'Données projet'!$E$11+1,1))-AVERAGE(OFFSET($H$3,0,0,'Données projet'!$E$11+1,1))</f>
        <v>440.60698566758532</v>
      </c>
      <c r="BJ99" s="62">
        <f t="shared" si="92"/>
        <v>231.92898690465887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287.29865338866551</v>
      </c>
      <c r="CE99" s="62">
        <f t="shared" si="94"/>
        <v>217.57508587672368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1.7574232981682476</v>
      </c>
      <c r="CM99" s="23">
        <f>EXP(-LN(2)/2)*CM98+(1-EXP(-LN(2)/2))/(LN(2)/2)*CG99*CJ99*VLOOKUP('Données projet'!$B$12,Paramètres!$A$1:$I$89,3,0)*0.475*44/12</f>
        <v>1.497821073571626E-9</v>
      </c>
      <c r="CN99" s="24">
        <f t="shared" si="66"/>
        <v>1.7574232996660686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175.05987582828078</v>
      </c>
      <c r="CZ99" s="62">
        <f t="shared" si="96"/>
        <v>268.54782308462387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1.4567979504046444</v>
      </c>
      <c r="DH99" s="23">
        <f>EXP(-LN(2)/2)*DH98+(1-EXP(-LN(2)/2))/(LN(2)/2)*DB99*DE99*VLOOKUP('Données projet'!$B$13,Paramètres!$A$1:$I$89,3,0)*0.475*44/12</f>
        <v>1.4725330286529109E-9</v>
      </c>
      <c r="DI99" s="24">
        <f t="shared" si="69"/>
        <v>1.4567979518771774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-5.6843418860808015E-14</v>
      </c>
      <c r="DP99" s="18">
        <f>DO99*VLOOKUP('Données projet'!$B$14,Paramètres!$A$1:$I$89,3,0)*VLOOKUP('Données projet'!$B$14,Paramètres!$A$1:$I$89,5,0)</f>
        <v>-3.2514435588382188E-14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228.06050741667258</v>
      </c>
      <c r="DU99" s="62">
        <f t="shared" si="98"/>
        <v>191.94885821983536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3.0164973719889105</v>
      </c>
      <c r="EC99" s="23">
        <f>EXP(-LN(2)/2)*EC98+(1-EXP(-LN(2)/2))/(LN(2)/2)*DW99*DZ99*VLOOKUP('Données projet'!$B$14,Paramètres!$A$1:$I$89,3,0)*0.475*44/12</f>
        <v>1.1946245765645029E-8</v>
      </c>
      <c r="ED99" s="24">
        <f t="shared" si="72"/>
        <v>3.0164973839351563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-5.6843418860808015E-14</v>
      </c>
      <c r="EK99" s="18">
        <f>EJ99*VLOOKUP('Données projet'!$B$15,Paramètres!$A$1:$I$89,3,0)*VLOOKUP('Données projet'!$B$15,Paramètres!$A$1:$I$89,5,0)</f>
        <v>-5.1431925385259088E-14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315.23521260143986</v>
      </c>
      <c r="EP99" s="62">
        <f t="shared" si="100"/>
        <v>439.11021845472641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-3.4106051316484809E-13</v>
      </c>
      <c r="O100" s="14">
        <f>N100*VLOOKUP('Données projet'!$B$9,Paramètres!$A$1:$I$89,3,0)*VLOOKUP('Données projet'!$B$9,Paramètres!$A$1:$I$89,5,0)</f>
        <v>-1.9065282685915009E-13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302.20483575440988</v>
      </c>
      <c r="T100" s="62">
        <f t="shared" si="88"/>
        <v>275.32862097158687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3.4749500153989619</v>
      </c>
      <c r="AB100" s="23">
        <f>EXP(-LN(2)/2)*AB99+(1-EXP(-LN(2)/2))/(LN(2)/2)*V100*Y100*VLOOKUP('Données projet'!$B$9,Paramètres!$A$1:$I$89,3,0)*0.475*44/12</f>
        <v>9.0613921875976993E-10</v>
      </c>
      <c r="AC100" s="24">
        <f t="shared" si="57"/>
        <v>3.474950016305101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5.9</v>
      </c>
      <c r="AI100" s="14">
        <f>IF('Données projet'!$A$62&gt;35,AI99+AH100-AQ99,IF(A100&lt;'Données projet'!$A$62,$AF$205^A100,IF(A100='Données projet'!$A$62,'Données projet'!$B$62,AI99+AH100-AQ99)))</f>
        <v>343.29999999999995</v>
      </c>
      <c r="AJ100" s="14">
        <f>AI100*VLOOKUP('Données projet'!$B$10,Paramètres!$A$1:$I$89,3,0)*VLOOKUP('Données projet'!$B$10,Paramètres!$A$1:$I$89,5,0)</f>
        <v>310.61783999999994</v>
      </c>
      <c r="AK100" s="14">
        <f t="shared" si="89"/>
        <v>73.397844798859666</v>
      </c>
      <c r="AL100" s="22">
        <f t="shared" si="58"/>
        <v>668.82731769134716</v>
      </c>
      <c r="AM100" s="62">
        <f t="shared" si="59"/>
        <v>962.16065102468042</v>
      </c>
      <c r="AN100" s="62">
        <f ca="1">AVERAGE(OFFSET($AM$3,0,0,'Données projet'!$E$10+1,1))-AVERAGE(OFFSET($H$3,0,0,'Données projet'!$E$10+1,1))</f>
        <v>384.44848355636935</v>
      </c>
      <c r="AO100" s="62">
        <f t="shared" si="90"/>
        <v>203.5274665601915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5.9</v>
      </c>
      <c r="BD100" s="13">
        <f>IF('Données projet'!$A$88&gt;35,BD99+BC100-BL99,IF(A100&lt;'Données projet'!$A$88,$BA$205^A100,IF(A100='Données projet'!$A$88,'Données projet'!$B$88,BD99+BC100-BL99)))</f>
        <v>343.29999999999995</v>
      </c>
      <c r="BE100" s="14">
        <f>BD100*VLOOKUP('Données projet'!$B$11,Paramètres!$A$1:$I$89,3,0)*VLOOKUP('Données projet'!$B$11,Paramètres!$A$1:$I$89,5,0)</f>
        <v>348.1062</v>
      </c>
      <c r="BF100" s="14">
        <f t="shared" si="91"/>
        <v>81.172435101128713</v>
      </c>
      <c r="BG100" s="22">
        <f t="shared" si="61"/>
        <v>747.66028946779909</v>
      </c>
      <c r="BH100" s="62">
        <f t="shared" si="62"/>
        <v>1040.9936228011325</v>
      </c>
      <c r="BI100" s="62">
        <f ca="1">AVERAGE(OFFSET($BH$3,0,0,'Données projet'!$E$11+1,1))-AVERAGE(OFFSET($H$3,0,0,'Données projet'!$E$11+1,1))</f>
        <v>440.60698566758532</v>
      </c>
      <c r="BJ100" s="62">
        <f t="shared" si="92"/>
        <v>231.92898690465887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287.29865338866551</v>
      </c>
      <c r="CE100" s="62">
        <f t="shared" si="94"/>
        <v>217.57508587672368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1.7093664656609622</v>
      </c>
      <c r="CM100" s="23">
        <f>EXP(-LN(2)/2)*CM99+(1-EXP(-LN(2)/2))/(LN(2)/2)*CG100*CJ100*VLOOKUP('Données projet'!$B$12,Paramètres!$A$1:$I$89,3,0)*0.475*44/12</f>
        <v>1.0591194381266114E-9</v>
      </c>
      <c r="CN100" s="24">
        <f t="shared" si="66"/>
        <v>1.7093664667200816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175.05987582828078</v>
      </c>
      <c r="CZ100" s="62">
        <f t="shared" si="96"/>
        <v>268.54782308462387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1.4169617338411549</v>
      </c>
      <c r="DH100" s="23">
        <f>EXP(-LN(2)/2)*DH99+(1-EXP(-LN(2)/2))/(LN(2)/2)*DB100*DE100*VLOOKUP('Données projet'!$B$13,Paramètres!$A$1:$I$89,3,0)*0.475*44/12</f>
        <v>1.041238090081638E-9</v>
      </c>
      <c r="DI100" s="24">
        <f t="shared" si="69"/>
        <v>1.4169617348823929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-5.6843418860808015E-14</v>
      </c>
      <c r="DP100" s="18">
        <f>DO100*VLOOKUP('Données projet'!$B$14,Paramètres!$A$1:$I$89,3,0)*VLOOKUP('Données projet'!$B$14,Paramètres!$A$1:$I$89,5,0)</f>
        <v>-3.2514435588382188E-14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228.06050741667258</v>
      </c>
      <c r="DU100" s="62">
        <f t="shared" si="98"/>
        <v>191.94885821983536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2.9340110927211711</v>
      </c>
      <c r="EC100" s="23">
        <f>EXP(-LN(2)/2)*EC99+(1-EXP(-LN(2)/2))/(LN(2)/2)*DW100*DZ100*VLOOKUP('Données projet'!$B$14,Paramètres!$A$1:$I$89,3,0)*0.475*44/12</f>
        <v>8.4472713906086793E-9</v>
      </c>
      <c r="ED100" s="24">
        <f t="shared" si="72"/>
        <v>2.9340111011684424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-5.6843418860808015E-14</v>
      </c>
      <c r="EK100" s="18">
        <f>EJ100*VLOOKUP('Données projet'!$B$15,Paramètres!$A$1:$I$89,3,0)*VLOOKUP('Données projet'!$B$15,Paramètres!$A$1:$I$89,5,0)</f>
        <v>-5.1431925385259088E-14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315.23521260143986</v>
      </c>
      <c r="EP100" s="62">
        <f t="shared" si="100"/>
        <v>439.11021845472641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-3.4106051316484809E-13</v>
      </c>
      <c r="O101" s="14">
        <f>N101*VLOOKUP('Données projet'!$B$9,Paramètres!$A$1:$I$89,3,0)*VLOOKUP('Données projet'!$B$9,Paramètres!$A$1:$I$89,5,0)</f>
        <v>-1.9065282685915009E-13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302.20483575440988</v>
      </c>
      <c r="T101" s="62">
        <f t="shared" si="88"/>
        <v>275.32862097158687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3.379927324488198</v>
      </c>
      <c r="AB101" s="23">
        <f>EXP(-LN(2)/2)*AB100+(1-EXP(-LN(2)/2))/(LN(2)/2)*V101*Y101*VLOOKUP('Données projet'!$B$9,Paramètres!$A$1:$I$89,3,0)*0.475*44/12</f>
        <v>6.4073718628411381E-10</v>
      </c>
      <c r="AC101" s="24">
        <f t="shared" si="57"/>
        <v>3.3799273251289352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5.9</v>
      </c>
      <c r="AI101" s="14">
        <f>IF('Données projet'!$A$62&gt;35,AI100+AH101-AQ100,IF(A101&lt;'Données projet'!$A$62,$AF$205^A101,IF(A101='Données projet'!$A$62,'Données projet'!$B$62,AI100+AH101-AQ100)))</f>
        <v>349.19999999999993</v>
      </c>
      <c r="AJ101" s="14">
        <f>AI101*VLOOKUP('Données projet'!$B$10,Paramètres!$A$1:$I$89,3,0)*VLOOKUP('Données projet'!$B$10,Paramètres!$A$1:$I$89,5,0)</f>
        <v>315.9561599999999</v>
      </c>
      <c r="AK101" s="14">
        <f t="shared" si="89"/>
        <v>74.511332350300975</v>
      </c>
      <c r="AL101" s="22">
        <f t="shared" si="58"/>
        <v>680.06421584344059</v>
      </c>
      <c r="AM101" s="62">
        <f t="shared" si="59"/>
        <v>973.39754917677396</v>
      </c>
      <c r="AN101" s="62">
        <f ca="1">AVERAGE(OFFSET($AM$3,0,0,'Données projet'!$E$10+1,1))-AVERAGE(OFFSET($H$3,0,0,'Données projet'!$E$10+1,1))</f>
        <v>384.44848355636935</v>
      </c>
      <c r="AO101" s="62">
        <f t="shared" si="90"/>
        <v>203.5274665601915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5.9</v>
      </c>
      <c r="BD101" s="13">
        <f>IF('Données projet'!$A$88&gt;35,BD100+BC101-BL100,IF(A101&lt;'Données projet'!$A$88,$BA$205^A101,IF(A101='Données projet'!$A$88,'Données projet'!$B$88,BD100+BC101-BL100)))</f>
        <v>349.19999999999993</v>
      </c>
      <c r="BE101" s="14">
        <f>BD101*VLOOKUP('Données projet'!$B$11,Paramètres!$A$1:$I$89,3,0)*VLOOKUP('Données projet'!$B$11,Paramètres!$A$1:$I$89,5,0)</f>
        <v>354.08879999999994</v>
      </c>
      <c r="BF101" s="14">
        <f t="shared" si="91"/>
        <v>82.403867662302346</v>
      </c>
      <c r="BG101" s="22">
        <f t="shared" si="61"/>
        <v>760.22472951184307</v>
      </c>
      <c r="BH101" s="62">
        <f t="shared" si="62"/>
        <v>1053.5580628451764</v>
      </c>
      <c r="BI101" s="62">
        <f ca="1">AVERAGE(OFFSET($BH$3,0,0,'Données projet'!$E$11+1,1))-AVERAGE(OFFSET($H$3,0,0,'Données projet'!$E$11+1,1))</f>
        <v>440.60698566758532</v>
      </c>
      <c r="BJ101" s="62">
        <f t="shared" si="92"/>
        <v>231.92898690465887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287.29865338866551</v>
      </c>
      <c r="CE101" s="62">
        <f t="shared" si="94"/>
        <v>217.57508587672368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1.6626237497657876</v>
      </c>
      <c r="CM101" s="23">
        <f>EXP(-LN(2)/2)*CM100+(1-EXP(-LN(2)/2))/(LN(2)/2)*CG101*CJ101*VLOOKUP('Données projet'!$B$12,Paramètres!$A$1:$I$89,3,0)*0.475*44/12</f>
        <v>7.48910536785813E-10</v>
      </c>
      <c r="CN101" s="24">
        <f t="shared" si="66"/>
        <v>1.6626237505146981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175.05987582828078</v>
      </c>
      <c r="CZ101" s="62">
        <f t="shared" si="96"/>
        <v>268.54782308462387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1.3782148407144894</v>
      </c>
      <c r="DH101" s="23">
        <f>EXP(-LN(2)/2)*DH100+(1-EXP(-LN(2)/2))/(LN(2)/2)*DB101*DE101*VLOOKUP('Données projet'!$B$13,Paramètres!$A$1:$I$89,3,0)*0.475*44/12</f>
        <v>7.3626651432645543E-10</v>
      </c>
      <c r="DI101" s="24">
        <f t="shared" si="69"/>
        <v>1.378214841450756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-5.6843418860808015E-14</v>
      </c>
      <c r="DP101" s="18">
        <f>DO101*VLOOKUP('Données projet'!$B$14,Paramètres!$A$1:$I$89,3,0)*VLOOKUP('Données projet'!$B$14,Paramètres!$A$1:$I$89,5,0)</f>
        <v>-3.2514435588382188E-14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228.06050741667258</v>
      </c>
      <c r="DU101" s="62">
        <f t="shared" si="98"/>
        <v>191.94885821983536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2.8537804050977731</v>
      </c>
      <c r="EC101" s="23">
        <f>EXP(-LN(2)/2)*EC100+(1-EXP(-LN(2)/2))/(LN(2)/2)*DW101*DZ101*VLOOKUP('Données projet'!$B$14,Paramètres!$A$1:$I$89,3,0)*0.475*44/12</f>
        <v>5.9731228828225145E-9</v>
      </c>
      <c r="ED101" s="24">
        <f t="shared" si="72"/>
        <v>2.853780411070896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-5.6843418860808015E-14</v>
      </c>
      <c r="EK101" s="18">
        <f>EJ101*VLOOKUP('Données projet'!$B$15,Paramètres!$A$1:$I$89,3,0)*VLOOKUP('Données projet'!$B$15,Paramètres!$A$1:$I$89,5,0)</f>
        <v>-5.1431925385259088E-14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315.23521260143986</v>
      </c>
      <c r="EP101" s="62">
        <f t="shared" si="100"/>
        <v>439.11021845472641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-3.4106051316484809E-13</v>
      </c>
      <c r="O102" s="14">
        <f>N102*VLOOKUP('Données projet'!$B$9,Paramètres!$A$1:$I$89,3,0)*VLOOKUP('Données projet'!$B$9,Paramètres!$A$1:$I$89,5,0)</f>
        <v>-1.9065282685915009E-13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302.20483575440988</v>
      </c>
      <c r="T102" s="62">
        <f t="shared" si="88"/>
        <v>275.32862097158687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3.2875030340574152</v>
      </c>
      <c r="AB102" s="23">
        <f>EXP(-LN(2)/2)*AB101+(1-EXP(-LN(2)/2))/(LN(2)/2)*V102*Y102*VLOOKUP('Données projet'!$B$9,Paramètres!$A$1:$I$89,3,0)*0.475*44/12</f>
        <v>4.5306960937988502E-10</v>
      </c>
      <c r="AC102" s="24">
        <f t="shared" si="57"/>
        <v>3.2875030345104848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5.9</v>
      </c>
      <c r="AI102" s="14">
        <f>IF('Données projet'!$A$62&gt;35,AI101+AH102-AQ101,IF(A102&lt;'Données projet'!$A$62,$AF$205^A102,IF(A102='Données projet'!$A$62,'Données projet'!$B$62,AI101+AH102-AQ101)))</f>
        <v>355.09999999999991</v>
      </c>
      <c r="AJ102" s="14">
        <f>AI102*VLOOKUP('Données projet'!$B$10,Paramètres!$A$1:$I$89,3,0)*VLOOKUP('Données projet'!$B$10,Paramètres!$A$1:$I$89,5,0)</f>
        <v>321.29447999999991</v>
      </c>
      <c r="AK102" s="14">
        <f t="shared" si="89"/>
        <v>75.622632084792471</v>
      </c>
      <c r="AL102" s="22">
        <f t="shared" si="58"/>
        <v>691.29730354767992</v>
      </c>
      <c r="AM102" s="62">
        <f t="shared" si="59"/>
        <v>984.63063688101329</v>
      </c>
      <c r="AN102" s="62">
        <f ca="1">AVERAGE(OFFSET($AM$3,0,0,'Données projet'!$E$10+1,1))-AVERAGE(OFFSET($H$3,0,0,'Données projet'!$E$10+1,1))</f>
        <v>384.44848355636935</v>
      </c>
      <c r="AO102" s="62">
        <f t="shared" si="90"/>
        <v>203.5274665601915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5.9</v>
      </c>
      <c r="BD102" s="13">
        <f>IF('Données projet'!$A$88&gt;35,BD101+BC102-BL101,IF(A102&lt;'Données projet'!$A$88,$BA$205^A102,IF(A102='Données projet'!$A$88,'Données projet'!$B$88,BD101+BC102-BL101)))</f>
        <v>355.09999999999991</v>
      </c>
      <c r="BE102" s="14">
        <f>BD102*VLOOKUP('Données projet'!$B$11,Paramètres!$A$1:$I$89,3,0)*VLOOKUP('Données projet'!$B$11,Paramètres!$A$1:$I$89,5,0)</f>
        <v>360.07139999999993</v>
      </c>
      <c r="BF102" s="14">
        <f t="shared" si="91"/>
        <v>83.632880664293282</v>
      </c>
      <c r="BG102" s="22">
        <f t="shared" si="61"/>
        <v>772.78495549031061</v>
      </c>
      <c r="BH102" s="62">
        <f t="shared" si="62"/>
        <v>1066.118288823644</v>
      </c>
      <c r="BI102" s="62">
        <f ca="1">AVERAGE(OFFSET($BH$3,0,0,'Données projet'!$E$11+1,1))-AVERAGE(OFFSET($H$3,0,0,'Données projet'!$E$11+1,1))</f>
        <v>440.60698566758532</v>
      </c>
      <c r="BJ102" s="62">
        <f t="shared" si="92"/>
        <v>231.92898690465887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287.29865338866551</v>
      </c>
      <c r="CE102" s="62">
        <f t="shared" si="94"/>
        <v>217.57508587672368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1.6171592158948591</v>
      </c>
      <c r="CM102" s="23">
        <f>EXP(-LN(2)/2)*CM101+(1-EXP(-LN(2)/2))/(LN(2)/2)*CG102*CJ102*VLOOKUP('Données projet'!$B$12,Paramètres!$A$1:$I$89,3,0)*0.475*44/12</f>
        <v>5.2955971906330571E-10</v>
      </c>
      <c r="CN102" s="24">
        <f t="shared" si="66"/>
        <v>1.6171592164244188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175.05987582828078</v>
      </c>
      <c r="CZ102" s="62">
        <f t="shared" si="96"/>
        <v>268.54782308462387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1.3405274834179832</v>
      </c>
      <c r="DH102" s="23">
        <f>EXP(-LN(2)/2)*DH101+(1-EXP(-LN(2)/2))/(LN(2)/2)*DB102*DE102*VLOOKUP('Données projet'!$B$13,Paramètres!$A$1:$I$89,3,0)*0.475*44/12</f>
        <v>5.2061904504081898E-10</v>
      </c>
      <c r="DI102" s="24">
        <f t="shared" si="69"/>
        <v>1.3405274839386023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-5.6843418860808015E-14</v>
      </c>
      <c r="DP102" s="18">
        <f>DO102*VLOOKUP('Données projet'!$B$14,Paramètres!$A$1:$I$89,3,0)*VLOOKUP('Données projet'!$B$14,Paramètres!$A$1:$I$89,5,0)</f>
        <v>-3.2514435588382188E-14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228.06050741667258</v>
      </c>
      <c r="DU102" s="62">
        <f t="shared" si="98"/>
        <v>191.94885821983536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2.7757436298465854</v>
      </c>
      <c r="EC102" s="23">
        <f>EXP(-LN(2)/2)*EC101+(1-EXP(-LN(2)/2))/(LN(2)/2)*DW102*DZ102*VLOOKUP('Données projet'!$B$14,Paramètres!$A$1:$I$89,3,0)*0.475*44/12</f>
        <v>4.2236356953043397E-9</v>
      </c>
      <c r="ED102" s="24">
        <f t="shared" si="72"/>
        <v>2.7757436340702211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-5.6843418860808015E-14</v>
      </c>
      <c r="EK102" s="18">
        <f>EJ102*VLOOKUP('Données projet'!$B$15,Paramètres!$A$1:$I$89,3,0)*VLOOKUP('Données projet'!$B$15,Paramètres!$A$1:$I$89,5,0)</f>
        <v>-5.1431925385259088E-14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315.23521260143986</v>
      </c>
      <c r="EP102" s="62">
        <f t="shared" si="100"/>
        <v>439.11021845472641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-3.4106051316484809E-13</v>
      </c>
      <c r="O103" s="14">
        <f>N103*VLOOKUP('Données projet'!$B$9,Paramètres!$A$1:$I$89,3,0)*VLOOKUP('Données projet'!$B$9,Paramètres!$A$1:$I$89,5,0)</f>
        <v>-1.9065282685915009E-13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302.20483575440988</v>
      </c>
      <c r="T103" s="62">
        <f t="shared" si="88"/>
        <v>275.32862097158687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3.1976060907088444</v>
      </c>
      <c r="AB103" s="23">
        <f>EXP(-LN(2)/2)*AB102+(1-EXP(-LN(2)/2))/(LN(2)/2)*V103*Y103*VLOOKUP('Données projet'!$B$9,Paramètres!$A$1:$I$89,3,0)*0.475*44/12</f>
        <v>3.2036859314205696E-10</v>
      </c>
      <c r="AC103" s="24">
        <f t="shared" si="57"/>
        <v>3.197606091029213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361</v>
      </c>
      <c r="AG103" s="13">
        <f>VLOOKUP(A103,'Données projet'!$A$61:$I$81,9,0)</f>
        <v>5.9</v>
      </c>
      <c r="AH103" s="13">
        <f t="array" ref="AH103">INDEX(AG:AG,MIN(IF(ISNUMBER(AG103:AG299),ROW(AG103:AG299),"")))</f>
        <v>5.9</v>
      </c>
      <c r="AI103" s="14">
        <f>IF('Données projet'!$A$62&gt;35,AI102+AH103-AQ102,IF(A103&lt;'Données projet'!$A$62,$AF$205^A103,IF(A103='Données projet'!$A$62,'Données projet'!$B$62,AI102+AH103-AQ102)))</f>
        <v>360.99999999999989</v>
      </c>
      <c r="AJ103" s="14">
        <f>AI103*VLOOKUP('Données projet'!$B$10,Paramètres!$A$1:$I$89,3,0)*VLOOKUP('Données projet'!$B$10,Paramètres!$A$1:$I$89,5,0)</f>
        <v>326.63279999999986</v>
      </c>
      <c r="AK103" s="14">
        <f t="shared" si="89"/>
        <v>76.731784548754774</v>
      </c>
      <c r="AL103" s="22">
        <f t="shared" si="58"/>
        <v>702.52665142241437</v>
      </c>
      <c r="AM103" s="62">
        <f t="shared" si="59"/>
        <v>995.85998475574775</v>
      </c>
      <c r="AN103" s="62">
        <f ca="1">AVERAGE(OFFSET($AM$3,0,0,'Données projet'!$E$10+1,1))-AVERAGE(OFFSET($H$3,0,0,'Données projet'!$E$10+1,1))</f>
        <v>384.44848355636935</v>
      </c>
      <c r="AO103" s="62">
        <f t="shared" si="90"/>
        <v>203.5274665601915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55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361</v>
      </c>
      <c r="BB103" s="13">
        <f>VLOOKUP(A103,'Données projet'!$A$87:$I$107,9,0)</f>
        <v>5.9</v>
      </c>
      <c r="BC103" s="13">
        <f t="array" ref="BC103">INDEX(BB:BB,MIN(IF(ISNUMBER(BB103:BB299),ROW(BB103:BB299),"")))</f>
        <v>5.9</v>
      </c>
      <c r="BD103" s="13">
        <f>IF('Données projet'!$A$88&gt;35,BD102+BC103-BL102,IF(A103&lt;'Données projet'!$A$88,$BA$205^A103,IF(A103='Données projet'!$A$88,'Données projet'!$B$88,BD102+BC103-BL102)))</f>
        <v>360.99999999999989</v>
      </c>
      <c r="BE103" s="14">
        <f>BD103*VLOOKUP('Données projet'!$B$11,Paramètres!$A$1:$I$89,3,0)*VLOOKUP('Données projet'!$B$11,Paramètres!$A$1:$I$89,5,0)</f>
        <v>366.05399999999986</v>
      </c>
      <c r="BF103" s="14">
        <f t="shared" si="91"/>
        <v>84.85951894835965</v>
      </c>
      <c r="BG103" s="22">
        <f t="shared" si="61"/>
        <v>785.34104550172617</v>
      </c>
      <c r="BH103" s="62">
        <f t="shared" si="62"/>
        <v>1078.6743788350595</v>
      </c>
      <c r="BI103" s="62">
        <f ca="1">AVERAGE(OFFSET($BH$3,0,0,'Données projet'!$E$11+1,1))-AVERAGE(OFFSET($H$3,0,0,'Données projet'!$E$11+1,1))</f>
        <v>440.60698566758532</v>
      </c>
      <c r="BJ103" s="62">
        <f t="shared" si="92"/>
        <v>231.92898690465887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55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287.29865338866551</v>
      </c>
      <c r="CE103" s="62">
        <f t="shared" si="94"/>
        <v>217.57508587672368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1.5729379120935072</v>
      </c>
      <c r="CM103" s="23">
        <f>EXP(-LN(2)/2)*CM102+(1-EXP(-LN(2)/2))/(LN(2)/2)*CG103*CJ103*VLOOKUP('Données projet'!$B$12,Paramètres!$A$1:$I$89,3,0)*0.475*44/12</f>
        <v>3.744552683929065E-10</v>
      </c>
      <c r="CN103" s="24">
        <f t="shared" si="66"/>
        <v>1.5729379124679626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175.05987582828078</v>
      </c>
      <c r="CZ103" s="62">
        <f t="shared" si="96"/>
        <v>268.54782308462387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1.303870688888642</v>
      </c>
      <c r="DH103" s="23">
        <f>EXP(-LN(2)/2)*DH102+(1-EXP(-LN(2)/2))/(LN(2)/2)*DB103*DE103*VLOOKUP('Données projet'!$B$13,Paramètres!$A$1:$I$89,3,0)*0.475*44/12</f>
        <v>3.6813325716322772E-10</v>
      </c>
      <c r="DI103" s="24">
        <f t="shared" si="69"/>
        <v>1.3038706892567753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-5.6843418860808015E-14</v>
      </c>
      <c r="DP103" s="18">
        <f>DO103*VLOOKUP('Données projet'!$B$14,Paramètres!$A$1:$I$89,3,0)*VLOOKUP('Données projet'!$B$14,Paramètres!$A$1:$I$89,5,0)</f>
        <v>-3.2514435588382188E-14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228.06050741667258</v>
      </c>
      <c r="DU103" s="62">
        <f t="shared" si="98"/>
        <v>191.94885821983536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2.699840774318417</v>
      </c>
      <c r="EC103" s="23">
        <f>EXP(-LN(2)/2)*EC102+(1-EXP(-LN(2)/2))/(LN(2)/2)*DW103*DZ103*VLOOKUP('Données projet'!$B$14,Paramètres!$A$1:$I$89,3,0)*0.475*44/12</f>
        <v>2.9865614414112573E-9</v>
      </c>
      <c r="ED103" s="24">
        <f t="shared" si="72"/>
        <v>2.6998407773049782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-5.6843418860808015E-14</v>
      </c>
      <c r="EK103" s="18">
        <f>EJ103*VLOOKUP('Données projet'!$B$15,Paramètres!$A$1:$I$89,3,0)*VLOOKUP('Données projet'!$B$15,Paramètres!$A$1:$I$89,5,0)</f>
        <v>-5.1431925385259088E-14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315.23521260143986</v>
      </c>
      <c r="EP103" s="62">
        <f t="shared" si="100"/>
        <v>439.11021845472641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-3.4106051316484809E-13</v>
      </c>
      <c r="O104" s="14">
        <f>N104*VLOOKUP('Données projet'!$B$9,Paramètres!$A$1:$I$89,3,0)*VLOOKUP('Données projet'!$B$9,Paramètres!$A$1:$I$89,5,0)</f>
        <v>-1.9065282685915009E-13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302.20483575440988</v>
      </c>
      <c r="T104" s="62">
        <f t="shared" si="88"/>
        <v>275.32862097158687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3.1101673840036148</v>
      </c>
      <c r="AB104" s="23">
        <f>EXP(-LN(2)/2)*AB103+(1-EXP(-LN(2)/2))/(LN(2)/2)*V104*Y104*VLOOKUP('Données projet'!$B$9,Paramètres!$A$1:$I$89,3,0)*0.475*44/12</f>
        <v>2.2653480468994256E-10</v>
      </c>
      <c r="AC104" s="24">
        <f t="shared" si="57"/>
        <v>3.1101673842301496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311.39999999999986</v>
      </c>
      <c r="AJ104" s="14">
        <f>AI104*VLOOKUP('Données projet'!$B$10,Paramètres!$A$1:$I$89,3,0)*VLOOKUP('Données projet'!$B$10,Paramètres!$A$1:$I$89,5,0)</f>
        <v>281.75471999999985</v>
      </c>
      <c r="AK104" s="14">
        <f t="shared" si="89"/>
        <v>67.337696723120317</v>
      </c>
      <c r="AL104" s="22">
        <f t="shared" si="58"/>
        <v>608.0026257927675</v>
      </c>
      <c r="AM104" s="62">
        <f t="shared" si="59"/>
        <v>901.33595912610076</v>
      </c>
      <c r="AN104" s="62">
        <f ca="1">AVERAGE(OFFSET($AM$3,0,0,'Données projet'!$E$10+1,1))-AVERAGE(OFFSET($H$3,0,0,'Données projet'!$E$10+1,1))</f>
        <v>384.44848355636935</v>
      </c>
      <c r="AO104" s="62">
        <f t="shared" si="90"/>
        <v>203.5274665601915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311.39999999999986</v>
      </c>
      <c r="BE104" s="14">
        <f>BD104*VLOOKUP('Données projet'!$B$11,Paramètres!$A$1:$I$89,3,0)*VLOOKUP('Données projet'!$B$11,Paramètres!$A$1:$I$89,5,0)</f>
        <v>315.75959999999986</v>
      </c>
      <c r="BF104" s="14">
        <f t="shared" si="91"/>
        <v>74.470372149154613</v>
      </c>
      <c r="BG104" s="22">
        <f t="shared" si="61"/>
        <v>679.65053482644407</v>
      </c>
      <c r="BH104" s="62">
        <f t="shared" si="62"/>
        <v>972.98386815977733</v>
      </c>
      <c r="BI104" s="62">
        <f ca="1">AVERAGE(OFFSET($BH$3,0,0,'Données projet'!$E$11+1,1))-AVERAGE(OFFSET($H$3,0,0,'Données projet'!$E$11+1,1))</f>
        <v>440.60698566758532</v>
      </c>
      <c r="BJ104" s="62">
        <f t="shared" si="92"/>
        <v>231.92898690465887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287.29865338866551</v>
      </c>
      <c r="CE104" s="62">
        <f t="shared" si="94"/>
        <v>217.57508587672368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1.5299258421701005</v>
      </c>
      <c r="CM104" s="23">
        <f>EXP(-LN(2)/2)*CM103+(1-EXP(-LN(2)/2))/(LN(2)/2)*CG104*CJ104*VLOOKUP('Données projet'!$B$12,Paramètres!$A$1:$I$89,3,0)*0.475*44/12</f>
        <v>2.6477985953165286E-10</v>
      </c>
      <c r="CN104" s="24">
        <f t="shared" si="66"/>
        <v>1.5299258424348803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175.05987582828078</v>
      </c>
      <c r="CZ104" s="62">
        <f t="shared" si="96"/>
        <v>268.54782308462387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1.2682162763334026</v>
      </c>
      <c r="DH104" s="23">
        <f>EXP(-LN(2)/2)*DH103+(1-EXP(-LN(2)/2))/(LN(2)/2)*DB104*DE104*VLOOKUP('Données projet'!$B$13,Paramètres!$A$1:$I$89,3,0)*0.475*44/12</f>
        <v>2.6030952252040949E-10</v>
      </c>
      <c r="DI104" s="24">
        <f t="shared" si="69"/>
        <v>1.2682162765937122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-5.6843418860808015E-14</v>
      </c>
      <c r="DP104" s="18">
        <f>DO104*VLOOKUP('Données projet'!$B$14,Paramètres!$A$1:$I$89,3,0)*VLOOKUP('Données projet'!$B$14,Paramètres!$A$1:$I$89,5,0)</f>
        <v>-3.2514435588382188E-14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228.06050741667258</v>
      </c>
      <c r="DU104" s="62">
        <f t="shared" si="98"/>
        <v>191.94885821983536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2.6260134863662241</v>
      </c>
      <c r="EC104" s="23">
        <f>EXP(-LN(2)/2)*EC103+(1-EXP(-LN(2)/2))/(LN(2)/2)*DW104*DZ104*VLOOKUP('Données projet'!$B$14,Paramètres!$A$1:$I$89,3,0)*0.475*44/12</f>
        <v>2.1118178476521698E-9</v>
      </c>
      <c r="ED104" s="24">
        <f t="shared" si="72"/>
        <v>2.6260134884780419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-5.6843418860808015E-14</v>
      </c>
      <c r="EK104" s="18">
        <f>EJ104*VLOOKUP('Données projet'!$B$15,Paramètres!$A$1:$I$89,3,0)*VLOOKUP('Données projet'!$B$15,Paramètres!$A$1:$I$89,5,0)</f>
        <v>-5.1431925385259088E-14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315.23521260143986</v>
      </c>
      <c r="EP104" s="62">
        <f t="shared" si="100"/>
        <v>439.11021845472641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-3.4106051316484809E-13</v>
      </c>
      <c r="O105" s="14">
        <f>N105*VLOOKUP('Données projet'!$B$9,Paramètres!$A$1:$I$89,3,0)*VLOOKUP('Données projet'!$B$9,Paramètres!$A$1:$I$89,5,0)</f>
        <v>-1.9065282685915009E-13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302.20483575440988</v>
      </c>
      <c r="T105" s="62">
        <f t="shared" si="88"/>
        <v>275.32862097158687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3.0251196933314417</v>
      </c>
      <c r="AB105" s="23">
        <f>EXP(-LN(2)/2)*AB104+(1-EXP(-LN(2)/2))/(LN(2)/2)*V105*Y105*VLOOKUP('Données projet'!$B$9,Paramètres!$A$1:$I$89,3,0)*0.475*44/12</f>
        <v>1.601842965710285E-10</v>
      </c>
      <c r="AC105" s="24">
        <f t="shared" si="57"/>
        <v>3.025119693491626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316.79999999999984</v>
      </c>
      <c r="AJ105" s="14">
        <f>AI105*VLOOKUP('Données projet'!$B$10,Paramètres!$A$1:$I$89,3,0)*VLOOKUP('Données projet'!$B$10,Paramètres!$A$1:$I$89,5,0)</f>
        <v>286.64063999999985</v>
      </c>
      <c r="AK105" s="14">
        <f t="shared" si="89"/>
        <v>68.368446832003599</v>
      </c>
      <c r="AL105" s="22">
        <f t="shared" si="58"/>
        <v>618.3074928990726</v>
      </c>
      <c r="AM105" s="62">
        <f t="shared" si="59"/>
        <v>911.64082623240597</v>
      </c>
      <c r="AN105" s="62">
        <f ca="1">AVERAGE(OFFSET($AM$3,0,0,'Données projet'!$E$10+1,1))-AVERAGE(OFFSET($H$3,0,0,'Données projet'!$E$10+1,1))</f>
        <v>384.44848355636935</v>
      </c>
      <c r="AO105" s="62">
        <f t="shared" si="90"/>
        <v>203.5274665601915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316.79999999999984</v>
      </c>
      <c r="BE105" s="14">
        <f>BD105*VLOOKUP('Données projet'!$B$11,Paramètres!$A$1:$I$89,3,0)*VLOOKUP('Données projet'!$B$11,Paramètres!$A$1:$I$89,5,0)</f>
        <v>321.23519999999985</v>
      </c>
      <c r="BF105" s="14">
        <f t="shared" si="91"/>
        <v>75.610303390297929</v>
      </c>
      <c r="BG105" s="22">
        <f t="shared" si="61"/>
        <v>691.17258507143526</v>
      </c>
      <c r="BH105" s="62">
        <f t="shared" si="62"/>
        <v>984.50591840476864</v>
      </c>
      <c r="BI105" s="62">
        <f ca="1">AVERAGE(OFFSET($BH$3,0,0,'Données projet'!$E$11+1,1))-AVERAGE(OFFSET($H$3,0,0,'Données projet'!$E$11+1,1))</f>
        <v>440.60698566758532</v>
      </c>
      <c r="BJ105" s="62">
        <f t="shared" si="92"/>
        <v>231.92898690465887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287.29865338866551</v>
      </c>
      <c r="CE105" s="62">
        <f t="shared" si="94"/>
        <v>217.57508587672368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1.4880899395606557</v>
      </c>
      <c r="CM105" s="23">
        <f>EXP(-LN(2)/2)*CM104+(1-EXP(-LN(2)/2))/(LN(2)/2)*CG105*CJ105*VLOOKUP('Données projet'!$B$12,Paramètres!$A$1:$I$89,3,0)*0.475*44/12</f>
        <v>1.8722763419645325E-10</v>
      </c>
      <c r="CN105" s="24">
        <f t="shared" si="66"/>
        <v>1.4880899397478833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175.05987582828078</v>
      </c>
      <c r="CZ105" s="62">
        <f t="shared" si="96"/>
        <v>268.54782308462387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1.2335368355644702</v>
      </c>
      <c r="DH105" s="23">
        <f>EXP(-LN(2)/2)*DH104+(1-EXP(-LN(2)/2))/(LN(2)/2)*DB105*DE105*VLOOKUP('Données projet'!$B$13,Paramètres!$A$1:$I$89,3,0)*0.475*44/12</f>
        <v>1.8406662858161386E-10</v>
      </c>
      <c r="DI105" s="24">
        <f t="shared" si="69"/>
        <v>1.2335368357485368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-5.6843418860808015E-14</v>
      </c>
      <c r="DP105" s="18">
        <f>DO105*VLOOKUP('Données projet'!$B$14,Paramètres!$A$1:$I$89,3,0)*VLOOKUP('Données projet'!$B$14,Paramètres!$A$1:$I$89,5,0)</f>
        <v>-3.2514435588382188E-14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228.06050741667258</v>
      </c>
      <c r="DU105" s="62">
        <f t="shared" si="98"/>
        <v>191.94885821983536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2.5542050094854925</v>
      </c>
      <c r="EC105" s="23">
        <f>EXP(-LN(2)/2)*EC104+(1-EXP(-LN(2)/2))/(LN(2)/2)*DW105*DZ105*VLOOKUP('Données projet'!$B$14,Paramètres!$A$1:$I$89,3,0)*0.475*44/12</f>
        <v>1.4932807207056286E-9</v>
      </c>
      <c r="ED105" s="24">
        <f t="shared" si="72"/>
        <v>2.5542050109787731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-5.6843418860808015E-14</v>
      </c>
      <c r="EK105" s="18">
        <f>EJ105*VLOOKUP('Données projet'!$B$15,Paramètres!$A$1:$I$89,3,0)*VLOOKUP('Données projet'!$B$15,Paramètres!$A$1:$I$89,5,0)</f>
        <v>-5.1431925385259088E-14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315.23521260143986</v>
      </c>
      <c r="EP105" s="62">
        <f t="shared" si="100"/>
        <v>439.11021845472641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-3.4106051316484809E-13</v>
      </c>
      <c r="O106" s="14">
        <f>N106*VLOOKUP('Données projet'!$B$9,Paramètres!$A$1:$I$89,3,0)*VLOOKUP('Données projet'!$B$9,Paramètres!$A$1:$I$89,5,0)</f>
        <v>-1.9065282685915009E-13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302.20483575440988</v>
      </c>
      <c r="T106" s="62">
        <f t="shared" si="88"/>
        <v>275.32862097158687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2.9423976362331627</v>
      </c>
      <c r="AB106" s="23">
        <f>EXP(-LN(2)/2)*AB105+(1-EXP(-LN(2)/2))/(LN(2)/2)*V106*Y106*VLOOKUP('Données projet'!$B$9,Paramètres!$A$1:$I$89,3,0)*0.475*44/12</f>
        <v>1.1326740234497129E-10</v>
      </c>
      <c r="AC106" s="24">
        <f t="shared" si="57"/>
        <v>2.9423976363464304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322.19999999999982</v>
      </c>
      <c r="AJ106" s="14">
        <f>AI106*VLOOKUP('Données projet'!$B$10,Paramètres!$A$1:$I$89,3,0)*VLOOKUP('Données projet'!$B$10,Paramètres!$A$1:$I$89,5,0)</f>
        <v>291.52655999999985</v>
      </c>
      <c r="AK106" s="14">
        <f t="shared" si="89"/>
        <v>69.397153761857183</v>
      </c>
      <c r="AL106" s="22">
        <f t="shared" si="58"/>
        <v>628.60880146856755</v>
      </c>
      <c r="AM106" s="62">
        <f t="shared" si="59"/>
        <v>921.94213480190092</v>
      </c>
      <c r="AN106" s="62">
        <f ca="1">AVERAGE(OFFSET($AM$3,0,0,'Données projet'!$E$10+1,1))-AVERAGE(OFFSET($H$3,0,0,'Données projet'!$E$10+1,1))</f>
        <v>384.44848355636935</v>
      </c>
      <c r="AO106" s="62">
        <f t="shared" si="90"/>
        <v>203.5274665601915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322.19999999999982</v>
      </c>
      <c r="BE106" s="14">
        <f>BD106*VLOOKUP('Données projet'!$B$11,Paramètres!$A$1:$I$89,3,0)*VLOOKUP('Données projet'!$B$11,Paramètres!$A$1:$I$89,5,0)</f>
        <v>326.71079999999984</v>
      </c>
      <c r="BF106" s="14">
        <f t="shared" si="91"/>
        <v>76.747975030799822</v>
      </c>
      <c r="BG106" s="22">
        <f t="shared" si="61"/>
        <v>702.69069984530927</v>
      </c>
      <c r="BH106" s="62">
        <f t="shared" si="62"/>
        <v>996.02403317864264</v>
      </c>
      <c r="BI106" s="62">
        <f ca="1">AVERAGE(OFFSET($BH$3,0,0,'Données projet'!$E$11+1,1))-AVERAGE(OFFSET($H$3,0,0,'Données projet'!$E$11+1,1))</f>
        <v>440.60698566758532</v>
      </c>
      <c r="BJ106" s="62">
        <f t="shared" si="92"/>
        <v>231.92898690465887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287.29865338866551</v>
      </c>
      <c r="CE106" s="62">
        <f t="shared" si="94"/>
        <v>217.57508587672368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1.4473980419081207</v>
      </c>
      <c r="CM106" s="23">
        <f>EXP(-LN(2)/2)*CM105+(1-EXP(-LN(2)/2))/(LN(2)/2)*CG106*CJ106*VLOOKUP('Données projet'!$B$12,Paramètres!$A$1:$I$89,3,0)*0.475*44/12</f>
        <v>1.3238992976582643E-10</v>
      </c>
      <c r="CN106" s="24">
        <f t="shared" si="66"/>
        <v>1.4473980420405106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175.05987582828078</v>
      </c>
      <c r="CZ106" s="62">
        <f t="shared" si="96"/>
        <v>268.54782308462387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1.1998057059270768</v>
      </c>
      <c r="DH106" s="23">
        <f>EXP(-LN(2)/2)*DH105+(1-EXP(-LN(2)/2))/(LN(2)/2)*DB106*DE106*VLOOKUP('Données projet'!$B$13,Paramètres!$A$1:$I$89,3,0)*0.475*44/12</f>
        <v>1.3015476126020474E-10</v>
      </c>
      <c r="DI106" s="24">
        <f t="shared" si="69"/>
        <v>1.1998057060572316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-5.6843418860808015E-14</v>
      </c>
      <c r="DP106" s="18">
        <f>DO106*VLOOKUP('Données projet'!$B$14,Paramètres!$A$1:$I$89,3,0)*VLOOKUP('Données projet'!$B$14,Paramètres!$A$1:$I$89,5,0)</f>
        <v>-3.2514435588382188E-14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228.06050741667258</v>
      </c>
      <c r="DU106" s="62">
        <f t="shared" si="98"/>
        <v>191.94885821983536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2.4843601391813079</v>
      </c>
      <c r="EC106" s="23">
        <f>EXP(-LN(2)/2)*EC105+(1-EXP(-LN(2)/2))/(LN(2)/2)*DW106*DZ106*VLOOKUP('Données projet'!$B$14,Paramètres!$A$1:$I$89,3,0)*0.475*44/12</f>
        <v>1.0559089238260849E-9</v>
      </c>
      <c r="ED106" s="24">
        <f t="shared" si="72"/>
        <v>2.4843601402372171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-5.6843418860808015E-14</v>
      </c>
      <c r="EK106" s="18">
        <f>EJ106*VLOOKUP('Données projet'!$B$15,Paramètres!$A$1:$I$89,3,0)*VLOOKUP('Données projet'!$B$15,Paramètres!$A$1:$I$89,5,0)</f>
        <v>-5.1431925385259088E-14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315.23521260143986</v>
      </c>
      <c r="EP106" s="62">
        <f t="shared" si="100"/>
        <v>439.11021845472641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-3.4106051316484809E-13</v>
      </c>
      <c r="O107" s="14">
        <f>N107*VLOOKUP('Données projet'!$B$9,Paramètres!$A$1:$I$89,3,0)*VLOOKUP('Données projet'!$B$9,Paramètres!$A$1:$I$89,5,0)</f>
        <v>-1.9065282685915009E-13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302.20483575440988</v>
      </c>
      <c r="T107" s="62">
        <f t="shared" si="88"/>
        <v>275.32862097158687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2.8619376181364</v>
      </c>
      <c r="AB107" s="23">
        <f>EXP(-LN(2)/2)*AB106+(1-EXP(-LN(2)/2))/(LN(2)/2)*V107*Y107*VLOOKUP('Données projet'!$B$9,Paramètres!$A$1:$I$89,3,0)*0.475*44/12</f>
        <v>8.0092148285514265E-11</v>
      </c>
      <c r="AC107" s="24">
        <f t="shared" si="57"/>
        <v>2.861937618216492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327.5999999999998</v>
      </c>
      <c r="AJ107" s="14">
        <f>AI107*VLOOKUP('Données projet'!$B$10,Paramètres!$A$1:$I$89,3,0)*VLOOKUP('Données projet'!$B$10,Paramètres!$A$1:$I$89,5,0)</f>
        <v>296.41247999999979</v>
      </c>
      <c r="AK107" s="14">
        <f t="shared" si="89"/>
        <v>70.423855708154704</v>
      </c>
      <c r="AL107" s="22">
        <f t="shared" si="58"/>
        <v>638.90661802503575</v>
      </c>
      <c r="AM107" s="62">
        <f t="shared" si="59"/>
        <v>932.23995135836913</v>
      </c>
      <c r="AN107" s="62">
        <f ca="1">AVERAGE(OFFSET($AM$3,0,0,'Données projet'!$E$10+1,1))-AVERAGE(OFFSET($H$3,0,0,'Données projet'!$E$10+1,1))</f>
        <v>384.44848355636935</v>
      </c>
      <c r="AO107" s="62">
        <f t="shared" si="90"/>
        <v>203.5274665601915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327.5999999999998</v>
      </c>
      <c r="BE107" s="14">
        <f>BD107*VLOOKUP('Données projet'!$B$11,Paramètres!$A$1:$I$89,3,0)*VLOOKUP('Données projet'!$B$11,Paramètres!$A$1:$I$89,5,0)</f>
        <v>332.18639999999982</v>
      </c>
      <c r="BF107" s="14">
        <f t="shared" si="91"/>
        <v>77.88342931194974</v>
      </c>
      <c r="BG107" s="22">
        <f t="shared" si="61"/>
        <v>714.20495271831214</v>
      </c>
      <c r="BH107" s="62">
        <f t="shared" si="62"/>
        <v>1007.5382860516454</v>
      </c>
      <c r="BI107" s="62">
        <f ca="1">AVERAGE(OFFSET($BH$3,0,0,'Données projet'!$E$11+1,1))-AVERAGE(OFFSET($H$3,0,0,'Données projet'!$E$11+1,1))</f>
        <v>440.60698566758532</v>
      </c>
      <c r="BJ107" s="62">
        <f t="shared" si="92"/>
        <v>231.92898690465887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287.29865338866551</v>
      </c>
      <c r="CE107" s="62">
        <f t="shared" si="94"/>
        <v>217.57508587672368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1.4078188663367881</v>
      </c>
      <c r="CM107" s="23">
        <f>EXP(-LN(2)/2)*CM106+(1-EXP(-LN(2)/2))/(LN(2)/2)*CG107*CJ107*VLOOKUP('Données projet'!$B$12,Paramètres!$A$1:$I$89,3,0)*0.475*44/12</f>
        <v>9.3613817098226625E-11</v>
      </c>
      <c r="CN107" s="24">
        <f t="shared" si="66"/>
        <v>1.4078188664304019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175.05987582828078</v>
      </c>
      <c r="CZ107" s="62">
        <f t="shared" si="96"/>
        <v>268.54782308462387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1.166996955803461</v>
      </c>
      <c r="DH107" s="23">
        <f>EXP(-LN(2)/2)*DH106+(1-EXP(-LN(2)/2))/(LN(2)/2)*DB107*DE107*VLOOKUP('Données projet'!$B$13,Paramètres!$A$1:$I$89,3,0)*0.475*44/12</f>
        <v>9.2033314290806929E-11</v>
      </c>
      <c r="DI107" s="24">
        <f t="shared" si="69"/>
        <v>1.1669969558954942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-5.6843418860808015E-14</v>
      </c>
      <c r="DP107" s="18">
        <f>DO107*VLOOKUP('Données projet'!$B$14,Paramètres!$A$1:$I$89,3,0)*VLOOKUP('Données projet'!$B$14,Paramètres!$A$1:$I$89,5,0)</f>
        <v>-3.2514435588382188E-14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228.06050741667258</v>
      </c>
      <c r="DU107" s="62">
        <f t="shared" si="98"/>
        <v>191.94885821983536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2.4164251805285732</v>
      </c>
      <c r="EC107" s="23">
        <f>EXP(-LN(2)/2)*EC106+(1-EXP(-LN(2)/2))/(LN(2)/2)*DW107*DZ107*VLOOKUP('Données projet'!$B$14,Paramètres!$A$1:$I$89,3,0)*0.475*44/12</f>
        <v>7.4664036035281432E-10</v>
      </c>
      <c r="ED107" s="24">
        <f t="shared" si="72"/>
        <v>2.4164251812752138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-5.6843418860808015E-14</v>
      </c>
      <c r="EK107" s="18">
        <f>EJ107*VLOOKUP('Données projet'!$B$15,Paramètres!$A$1:$I$89,3,0)*VLOOKUP('Données projet'!$B$15,Paramètres!$A$1:$I$89,5,0)</f>
        <v>-5.1431925385259088E-14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315.23521260143986</v>
      </c>
      <c r="EP107" s="62">
        <f t="shared" si="100"/>
        <v>439.11021845472641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-3.4106051316484809E-13</v>
      </c>
      <c r="O108" s="14">
        <f>N108*VLOOKUP('Données projet'!$B$9,Paramètres!$A$1:$I$89,3,0)*VLOOKUP('Données projet'!$B$9,Paramètres!$A$1:$I$89,5,0)</f>
        <v>-1.9065282685915009E-13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302.20483575440988</v>
      </c>
      <c r="T108" s="62">
        <f t="shared" si="88"/>
        <v>275.32862097158687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2.783677783465702</v>
      </c>
      <c r="AB108" s="23">
        <f>EXP(-LN(2)/2)*AB107+(1-EXP(-LN(2)/2))/(LN(2)/2)*V108*Y108*VLOOKUP('Données projet'!$B$9,Paramètres!$A$1:$I$89,3,0)*0.475*44/12</f>
        <v>5.6633701172485659E-11</v>
      </c>
      <c r="AC108" s="24">
        <f t="shared" si="57"/>
        <v>2.7836777835223359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332.99999999999977</v>
      </c>
      <c r="AJ108" s="14">
        <f>AI108*VLOOKUP('Données projet'!$B$10,Paramètres!$A$1:$I$89,3,0)*VLOOKUP('Données projet'!$B$10,Paramètres!$A$1:$I$89,5,0)</f>
        <v>301.29839999999979</v>
      </c>
      <c r="AK108" s="14">
        <f t="shared" si="89"/>
        <v>71.448589534990461</v>
      </c>
      <c r="AL108" s="22">
        <f t="shared" si="58"/>
        <v>649.20100677344124</v>
      </c>
      <c r="AM108" s="62">
        <f t="shared" si="59"/>
        <v>942.53434010677461</v>
      </c>
      <c r="AN108" s="62">
        <f ca="1">AVERAGE(OFFSET($AM$3,0,0,'Données projet'!$E$10+1,1))-AVERAGE(OFFSET($H$3,0,0,'Données projet'!$E$10+1,1))</f>
        <v>384.44848355636935</v>
      </c>
      <c r="AO108" s="62">
        <f t="shared" si="90"/>
        <v>203.5274665601915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332.99999999999977</v>
      </c>
      <c r="BE108" s="14">
        <f>BD108*VLOOKUP('Données projet'!$B$11,Paramètres!$A$1:$I$89,3,0)*VLOOKUP('Données projet'!$B$11,Paramètres!$A$1:$I$89,5,0)</f>
        <v>337.66199999999975</v>
      </c>
      <c r="BF108" s="14">
        <f t="shared" si="91"/>
        <v>79.016707002632614</v>
      </c>
      <c r="BG108" s="22">
        <f t="shared" si="61"/>
        <v>725.71541469625129</v>
      </c>
      <c r="BH108" s="62">
        <f t="shared" si="62"/>
        <v>1019.0487480295847</v>
      </c>
      <c r="BI108" s="62">
        <f ca="1">AVERAGE(OFFSET($BH$3,0,0,'Données projet'!$E$11+1,1))-AVERAGE(OFFSET($H$3,0,0,'Données projet'!$E$11+1,1))</f>
        <v>440.60698566758532</v>
      </c>
      <c r="BJ108" s="62">
        <f t="shared" si="92"/>
        <v>231.92898690465887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287.29865338866551</v>
      </c>
      <c r="CE108" s="62">
        <f t="shared" si="94"/>
        <v>217.57508587672368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1.369321985402832</v>
      </c>
      <c r="CM108" s="23">
        <f>EXP(-LN(2)/2)*CM107+(1-EXP(-LN(2)/2))/(LN(2)/2)*CG108*CJ108*VLOOKUP('Données projet'!$B$12,Paramètres!$A$1:$I$89,3,0)*0.475*44/12</f>
        <v>6.6194964882913214E-11</v>
      </c>
      <c r="CN108" s="24">
        <f t="shared" si="66"/>
        <v>1.3693219854690271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175.05987582828078</v>
      </c>
      <c r="CZ108" s="62">
        <f t="shared" si="96"/>
        <v>268.54782308462387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1.1350853626773125</v>
      </c>
      <c r="DH108" s="23">
        <f>EXP(-LN(2)/2)*DH107+(1-EXP(-LN(2)/2))/(LN(2)/2)*DB108*DE108*VLOOKUP('Données projet'!$B$13,Paramètres!$A$1:$I$89,3,0)*0.475*44/12</f>
        <v>6.5077380630102372E-11</v>
      </c>
      <c r="DI108" s="24">
        <f t="shared" si="69"/>
        <v>1.1350853627423898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-5.6843418860808015E-14</v>
      </c>
      <c r="DP108" s="18">
        <f>DO108*VLOOKUP('Données projet'!$B$14,Paramètres!$A$1:$I$89,3,0)*VLOOKUP('Données projet'!$B$14,Paramètres!$A$1:$I$89,5,0)</f>
        <v>-3.2514435588382188E-14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228.06050741667258</v>
      </c>
      <c r="DU108" s="62">
        <f t="shared" si="98"/>
        <v>191.94885821983536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2.350347906892742</v>
      </c>
      <c r="EC108" s="23">
        <f>EXP(-LN(2)/2)*EC107+(1-EXP(-LN(2)/2))/(LN(2)/2)*DW108*DZ108*VLOOKUP('Données projet'!$B$14,Paramètres!$A$1:$I$89,3,0)*0.475*44/12</f>
        <v>5.2795446191304246E-10</v>
      </c>
      <c r="ED108" s="24">
        <f t="shared" si="72"/>
        <v>2.3503479074206965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-5.6843418860808015E-14</v>
      </c>
      <c r="EK108" s="18">
        <f>EJ108*VLOOKUP('Données projet'!$B$15,Paramètres!$A$1:$I$89,3,0)*VLOOKUP('Données projet'!$B$15,Paramètres!$A$1:$I$89,5,0)</f>
        <v>-5.1431925385259088E-14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315.23521260143986</v>
      </c>
      <c r="EP108" s="62">
        <f t="shared" si="100"/>
        <v>439.11021845472641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-3.4106051316484809E-13</v>
      </c>
      <c r="O109" s="14">
        <f>N109*VLOOKUP('Données projet'!$B$9,Paramètres!$A$1:$I$89,3,0)*VLOOKUP('Données projet'!$B$9,Paramètres!$A$1:$I$89,5,0)</f>
        <v>-1.9065282685915009E-13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302.20483575440988</v>
      </c>
      <c r="T109" s="62">
        <f t="shared" si="88"/>
        <v>275.32862097158687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2.70755796808958</v>
      </c>
      <c r="AB109" s="23">
        <f>EXP(-LN(2)/2)*AB108+(1-EXP(-LN(2)/2))/(LN(2)/2)*V109*Y109*VLOOKUP('Données projet'!$B$9,Paramètres!$A$1:$I$89,3,0)*0.475*44/12</f>
        <v>4.0046074142757139E-11</v>
      </c>
      <c r="AC109" s="24">
        <f t="shared" si="57"/>
        <v>2.7075579681296262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5.4</v>
      </c>
      <c r="AI109" s="14">
        <f>IF('Données projet'!$A$62&gt;35,AI108+AH109-AQ108,IF(A109&lt;'Données projet'!$A$62,$AF$205^A109,IF(A109='Données projet'!$A$62,'Données projet'!$B$62,AI108+AH109-AQ108)))</f>
        <v>338.39999999999975</v>
      </c>
      <c r="AJ109" s="14">
        <f>AI109*VLOOKUP('Données projet'!$B$10,Paramètres!$A$1:$I$89,3,0)*VLOOKUP('Données projet'!$B$10,Paramètres!$A$1:$I$89,5,0)</f>
        <v>306.18431999999979</v>
      </c>
      <c r="AK109" s="14">
        <f t="shared" si="89"/>
        <v>72.471390842310868</v>
      </c>
      <c r="AL109" s="22">
        <f t="shared" si="58"/>
        <v>659.49202971702437</v>
      </c>
      <c r="AM109" s="62">
        <f t="shared" si="59"/>
        <v>952.82536305035774</v>
      </c>
      <c r="AN109" s="62">
        <f ca="1">AVERAGE(OFFSET($AM$3,0,0,'Données projet'!$E$10+1,1))-AVERAGE(OFFSET($H$3,0,0,'Données projet'!$E$10+1,1))</f>
        <v>384.44848355636935</v>
      </c>
      <c r="AO109" s="62">
        <f t="shared" si="90"/>
        <v>203.5274665601915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5.4</v>
      </c>
      <c r="BD109" s="13">
        <f>IF('Données projet'!$A$88&gt;35,BD108+BC109-BL108,IF(A109&lt;'Données projet'!$A$88,$BA$205^A109,IF(A109='Données projet'!$A$88,'Données projet'!$B$88,BD108+BC109-BL108)))</f>
        <v>338.39999999999975</v>
      </c>
      <c r="BE109" s="14">
        <f>BD109*VLOOKUP('Données projet'!$B$11,Paramètres!$A$1:$I$89,3,0)*VLOOKUP('Données projet'!$B$11,Paramètres!$A$1:$I$89,5,0)</f>
        <v>343.13759999999974</v>
      </c>
      <c r="BF109" s="14">
        <f t="shared" si="91"/>
        <v>80.14784747368239</v>
      </c>
      <c r="BG109" s="22">
        <f t="shared" si="61"/>
        <v>737.22215434999634</v>
      </c>
      <c r="BH109" s="62">
        <f t="shared" si="62"/>
        <v>1030.5554876833296</v>
      </c>
      <c r="BI109" s="62">
        <f ca="1">AVERAGE(OFFSET($BH$3,0,0,'Données projet'!$E$11+1,1))-AVERAGE(OFFSET($H$3,0,0,'Données projet'!$E$11+1,1))</f>
        <v>440.60698566758532</v>
      </c>
      <c r="BJ109" s="62">
        <f t="shared" si="92"/>
        <v>231.92898690465887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287.29865338866551</v>
      </c>
      <c r="CE109" s="62">
        <f t="shared" si="94"/>
        <v>217.57508587672368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1.3318778037024779</v>
      </c>
      <c r="CM109" s="23">
        <f>EXP(-LN(2)/2)*CM108+(1-EXP(-LN(2)/2))/(LN(2)/2)*CG109*CJ109*VLOOKUP('Données projet'!$B$12,Paramètres!$A$1:$I$89,3,0)*0.475*44/12</f>
        <v>4.6806908549113313E-11</v>
      </c>
      <c r="CN109" s="24">
        <f t="shared" si="66"/>
        <v>1.3318778037492849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175.05987582828078</v>
      </c>
      <c r="CZ109" s="62">
        <f t="shared" si="96"/>
        <v>268.54782308462387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1.1040463937433564</v>
      </c>
      <c r="DH109" s="23">
        <f>EXP(-LN(2)/2)*DH108+(1-EXP(-LN(2)/2))/(LN(2)/2)*DB109*DE109*VLOOKUP('Données projet'!$B$13,Paramètres!$A$1:$I$89,3,0)*0.475*44/12</f>
        <v>4.6016657145403465E-11</v>
      </c>
      <c r="DI109" s="24">
        <f t="shared" si="69"/>
        <v>1.1040463937893732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-5.6843418860808015E-14</v>
      </c>
      <c r="DP109" s="18">
        <f>DO109*VLOOKUP('Données projet'!$B$14,Paramètres!$A$1:$I$89,3,0)*VLOOKUP('Données projet'!$B$14,Paramètres!$A$1:$I$89,5,0)</f>
        <v>-3.2514435588382188E-14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228.06050741667258</v>
      </c>
      <c r="DU109" s="62">
        <f t="shared" si="98"/>
        <v>191.94885821983536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2.2860775197793353</v>
      </c>
      <c r="EC109" s="23">
        <f>EXP(-LN(2)/2)*EC108+(1-EXP(-LN(2)/2))/(LN(2)/2)*DW109*DZ109*VLOOKUP('Données projet'!$B$14,Paramètres!$A$1:$I$89,3,0)*0.475*44/12</f>
        <v>3.7332018017640716E-10</v>
      </c>
      <c r="ED109" s="24">
        <f t="shared" si="72"/>
        <v>2.2860775201526553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-5.6843418860808015E-14</v>
      </c>
      <c r="EK109" s="18">
        <f>EJ109*VLOOKUP('Données projet'!$B$15,Paramètres!$A$1:$I$89,3,0)*VLOOKUP('Données projet'!$B$15,Paramètres!$A$1:$I$89,5,0)</f>
        <v>-5.1431925385259088E-14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315.23521260143986</v>
      </c>
      <c r="EP109" s="62">
        <f t="shared" si="100"/>
        <v>439.11021845472641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-3.4106051316484809E-13</v>
      </c>
      <c r="O110" s="14">
        <f>N110*VLOOKUP('Données projet'!$B$9,Paramètres!$A$1:$I$89,3,0)*VLOOKUP('Données projet'!$B$9,Paramètres!$A$1:$I$89,5,0)</f>
        <v>-1.9065282685915009E-13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302.20483575440988</v>
      </c>
      <c r="T110" s="62">
        <f t="shared" si="88"/>
        <v>275.32862097158687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2.6335196530678853</v>
      </c>
      <c r="AB110" s="23">
        <f>EXP(-LN(2)/2)*AB109+(1-EXP(-LN(2)/2))/(LN(2)/2)*V110*Y110*VLOOKUP('Données projet'!$B$9,Paramètres!$A$1:$I$89,3,0)*0.475*44/12</f>
        <v>2.8316850586242833E-11</v>
      </c>
      <c r="AC110" s="24">
        <f t="shared" si="57"/>
        <v>2.6335196530962022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5.4</v>
      </c>
      <c r="AI110" s="14">
        <f>IF('Données projet'!$A$62&gt;35,AI109+AH110-AQ109,IF(A110&lt;'Données projet'!$A$62,$AF$205^A110,IF(A110='Données projet'!$A$62,'Données projet'!$B$62,AI109+AH110-AQ109)))</f>
        <v>343.79999999999973</v>
      </c>
      <c r="AJ110" s="14">
        <f>AI110*VLOOKUP('Données projet'!$B$10,Paramètres!$A$1:$I$89,3,0)*VLOOKUP('Données projet'!$B$10,Paramètres!$A$1:$I$89,5,0)</f>
        <v>311.07023999999973</v>
      </c>
      <c r="AK110" s="14">
        <f t="shared" si="89"/>
        <v>73.492294028732417</v>
      </c>
      <c r="AL110" s="22">
        <f t="shared" si="58"/>
        <v>669.77974676670851</v>
      </c>
      <c r="AM110" s="62">
        <f t="shared" si="59"/>
        <v>963.11308010004177</v>
      </c>
      <c r="AN110" s="62">
        <f ca="1">AVERAGE(OFFSET($AM$3,0,0,'Données projet'!$E$10+1,1))-AVERAGE(OFFSET($H$3,0,0,'Données projet'!$E$10+1,1))</f>
        <v>384.44848355636935</v>
      </c>
      <c r="AO110" s="62">
        <f t="shared" si="90"/>
        <v>203.5274665601915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5.4</v>
      </c>
      <c r="BD110" s="13">
        <f>IF('Données projet'!$A$88&gt;35,BD109+BC110-BL109,IF(A110&lt;'Données projet'!$A$88,$BA$205^A110,IF(A110='Données projet'!$A$88,'Données projet'!$B$88,BD109+BC110-BL109)))</f>
        <v>343.79999999999973</v>
      </c>
      <c r="BE110" s="14">
        <f>BD110*VLOOKUP('Données projet'!$B$11,Paramètres!$A$1:$I$89,3,0)*VLOOKUP('Données projet'!$B$11,Paramètres!$A$1:$I$89,5,0)</f>
        <v>348.61319999999972</v>
      </c>
      <c r="BF110" s="14">
        <f t="shared" si="91"/>
        <v>81.276888767352929</v>
      </c>
      <c r="BG110" s="22">
        <f t="shared" si="61"/>
        <v>748.72523793647258</v>
      </c>
      <c r="BH110" s="62">
        <f t="shared" si="62"/>
        <v>1042.058571269806</v>
      </c>
      <c r="BI110" s="62">
        <f ca="1">AVERAGE(OFFSET($BH$3,0,0,'Données projet'!$E$11+1,1))-AVERAGE(OFFSET($H$3,0,0,'Données projet'!$E$11+1,1))</f>
        <v>440.60698566758532</v>
      </c>
      <c r="BJ110" s="62">
        <f t="shared" si="92"/>
        <v>231.92898690465887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287.29865338866551</v>
      </c>
      <c r="CE110" s="62">
        <f t="shared" si="94"/>
        <v>217.57508587672368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1.2954575351198239</v>
      </c>
      <c r="CM110" s="23">
        <f>EXP(-LN(2)/2)*CM109+(1-EXP(-LN(2)/2))/(LN(2)/2)*CG110*CJ110*VLOOKUP('Données projet'!$B$12,Paramètres!$A$1:$I$89,3,0)*0.475*44/12</f>
        <v>3.3097482441456607E-11</v>
      </c>
      <c r="CN110" s="24">
        <f t="shared" si="66"/>
        <v>1.2954575351529214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175.05987582828078</v>
      </c>
      <c r="CZ110" s="62">
        <f t="shared" si="96"/>
        <v>268.54782308462387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1.0738561870471679</v>
      </c>
      <c r="DH110" s="23">
        <f>EXP(-LN(2)/2)*DH109+(1-EXP(-LN(2)/2))/(LN(2)/2)*DB110*DE110*VLOOKUP('Données projet'!$B$13,Paramètres!$A$1:$I$89,3,0)*0.475*44/12</f>
        <v>3.2538690315051186E-11</v>
      </c>
      <c r="DI110" s="24">
        <f t="shared" si="69"/>
        <v>1.0738561870797065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-5.6843418860808015E-14</v>
      </c>
      <c r="DP110" s="18">
        <f>DO110*VLOOKUP('Données projet'!$B$14,Paramètres!$A$1:$I$89,3,0)*VLOOKUP('Données projet'!$B$14,Paramètres!$A$1:$I$89,5,0)</f>
        <v>-3.2514435588382188E-14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228.06050741667258</v>
      </c>
      <c r="DU110" s="62">
        <f t="shared" si="98"/>
        <v>191.94885821983536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2.2235646097813775</v>
      </c>
      <c r="EC110" s="23">
        <f>EXP(-LN(2)/2)*EC109+(1-EXP(-LN(2)/2))/(LN(2)/2)*DW110*DZ110*VLOOKUP('Données projet'!$B$14,Paramètres!$A$1:$I$89,3,0)*0.475*44/12</f>
        <v>2.6397723095652123E-10</v>
      </c>
      <c r="ED110" s="24">
        <f t="shared" si="72"/>
        <v>2.2235646100453548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-5.6843418860808015E-14</v>
      </c>
      <c r="EK110" s="18">
        <f>EJ110*VLOOKUP('Données projet'!$B$15,Paramètres!$A$1:$I$89,3,0)*VLOOKUP('Données projet'!$B$15,Paramètres!$A$1:$I$89,5,0)</f>
        <v>-5.1431925385259088E-14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315.23521260143986</v>
      </c>
      <c r="EP110" s="62">
        <f t="shared" si="100"/>
        <v>439.11021845472641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-3.4106051316484809E-13</v>
      </c>
      <c r="O111" s="14">
        <f>N111*VLOOKUP('Données projet'!$B$9,Paramètres!$A$1:$I$89,3,0)*VLOOKUP('Données projet'!$B$9,Paramètres!$A$1:$I$89,5,0)</f>
        <v>-1.9065282685915009E-13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302.20483575440988</v>
      </c>
      <c r="T111" s="62">
        <f t="shared" si="88"/>
        <v>275.32862097158687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2.5615059196639645</v>
      </c>
      <c r="AB111" s="23">
        <f>EXP(-LN(2)/2)*AB110+(1-EXP(-LN(2)/2))/(LN(2)/2)*V111*Y111*VLOOKUP('Données projet'!$B$9,Paramètres!$A$1:$I$89,3,0)*0.475*44/12</f>
        <v>2.0023037071378573E-11</v>
      </c>
      <c r="AC111" s="24">
        <f t="shared" si="57"/>
        <v>2.5615059196839876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5.4</v>
      </c>
      <c r="AI111" s="14">
        <f>IF('Données projet'!$A$62&gt;35,AI110+AH111-AQ110,IF(A111&lt;'Données projet'!$A$62,$AF$205^A111,IF(A111='Données projet'!$A$62,'Données projet'!$B$62,AI110+AH111-AQ110)))</f>
        <v>349.1999999999997</v>
      </c>
      <c r="AJ111" s="14">
        <f>AI111*VLOOKUP('Données projet'!$B$10,Paramètres!$A$1:$I$89,3,0)*VLOOKUP('Données projet'!$B$10,Paramètres!$A$1:$I$89,5,0)</f>
        <v>315.95615999999973</v>
      </c>
      <c r="AK111" s="14">
        <f t="shared" si="89"/>
        <v>74.511332350300975</v>
      </c>
      <c r="AL111" s="22">
        <f t="shared" si="58"/>
        <v>680.06421584344037</v>
      </c>
      <c r="AM111" s="62">
        <f t="shared" si="59"/>
        <v>973.39754917677374</v>
      </c>
      <c r="AN111" s="62">
        <f ca="1">AVERAGE(OFFSET($AM$3,0,0,'Données projet'!$E$10+1,1))-AVERAGE(OFFSET($H$3,0,0,'Données projet'!$E$10+1,1))</f>
        <v>384.44848355636935</v>
      </c>
      <c r="AO111" s="62">
        <f t="shared" si="90"/>
        <v>203.5274665601915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5.4</v>
      </c>
      <c r="BD111" s="13">
        <f>IF('Données projet'!$A$88&gt;35,BD110+BC111-BL110,IF(A111&lt;'Données projet'!$A$88,$BA$205^A111,IF(A111='Données projet'!$A$88,'Données projet'!$B$88,BD110+BC111-BL110)))</f>
        <v>349.1999999999997</v>
      </c>
      <c r="BE111" s="14">
        <f>BD111*VLOOKUP('Données projet'!$B$11,Paramètres!$A$1:$I$89,3,0)*VLOOKUP('Données projet'!$B$11,Paramètres!$A$1:$I$89,5,0)</f>
        <v>354.08879999999971</v>
      </c>
      <c r="BF111" s="14">
        <f t="shared" si="91"/>
        <v>82.403867662302346</v>
      </c>
      <c r="BG111" s="22">
        <f t="shared" si="61"/>
        <v>760.22472951184272</v>
      </c>
      <c r="BH111" s="62">
        <f t="shared" si="62"/>
        <v>1053.558062845176</v>
      </c>
      <c r="BI111" s="62">
        <f ca="1">AVERAGE(OFFSET($BH$3,0,0,'Données projet'!$E$11+1,1))-AVERAGE(OFFSET($H$3,0,0,'Données projet'!$E$11+1,1))</f>
        <v>440.60698566758532</v>
      </c>
      <c r="BJ111" s="62">
        <f t="shared" si="92"/>
        <v>231.92898690465887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287.29865338866551</v>
      </c>
      <c r="CE111" s="62">
        <f t="shared" si="94"/>
        <v>217.57508587672368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1.2600331806968212</v>
      </c>
      <c r="CM111" s="23">
        <f>EXP(-LN(2)/2)*CM110+(1-EXP(-LN(2)/2))/(LN(2)/2)*CG111*CJ111*VLOOKUP('Données projet'!$B$12,Paramètres!$A$1:$I$89,3,0)*0.475*44/12</f>
        <v>2.3403454274556656E-11</v>
      </c>
      <c r="CN111" s="24">
        <f t="shared" si="66"/>
        <v>1.2600331807202247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175.05987582828078</v>
      </c>
      <c r="CZ111" s="62">
        <f t="shared" si="96"/>
        <v>268.54782308462387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1.0444915331407205</v>
      </c>
      <c r="DH111" s="23">
        <f>EXP(-LN(2)/2)*DH110+(1-EXP(-LN(2)/2))/(LN(2)/2)*DB111*DE111*VLOOKUP('Données projet'!$B$13,Paramètres!$A$1:$I$89,3,0)*0.475*44/12</f>
        <v>2.3008328572701732E-11</v>
      </c>
      <c r="DI111" s="24">
        <f t="shared" si="69"/>
        <v>1.0444915331637288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-5.6843418860808015E-14</v>
      </c>
      <c r="DP111" s="18">
        <f>DO111*VLOOKUP('Données projet'!$B$14,Paramètres!$A$1:$I$89,3,0)*VLOOKUP('Données projet'!$B$14,Paramètres!$A$1:$I$89,5,0)</f>
        <v>-3.2514435588382188E-14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228.06050741667258</v>
      </c>
      <c r="DU111" s="62">
        <f t="shared" si="98"/>
        <v>191.94885821983536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2.1627611185947249</v>
      </c>
      <c r="EC111" s="23">
        <f>EXP(-LN(2)/2)*EC110+(1-EXP(-LN(2)/2))/(LN(2)/2)*DW111*DZ111*VLOOKUP('Données projet'!$B$14,Paramètres!$A$1:$I$89,3,0)*0.475*44/12</f>
        <v>1.8666009008820358E-10</v>
      </c>
      <c r="ED111" s="24">
        <f t="shared" si="72"/>
        <v>2.1627611187813849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-5.6843418860808015E-14</v>
      </c>
      <c r="EK111" s="18">
        <f>EJ111*VLOOKUP('Données projet'!$B$15,Paramètres!$A$1:$I$89,3,0)*VLOOKUP('Données projet'!$B$15,Paramètres!$A$1:$I$89,5,0)</f>
        <v>-5.1431925385259088E-14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315.23521260143986</v>
      </c>
      <c r="EP111" s="62">
        <f t="shared" si="100"/>
        <v>439.11021845472641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-3.4106051316484809E-13</v>
      </c>
      <c r="O112" s="14">
        <f>N112*VLOOKUP('Données projet'!$B$9,Paramètres!$A$1:$I$89,3,0)*VLOOKUP('Données projet'!$B$9,Paramètres!$A$1:$I$89,5,0)</f>
        <v>-1.9065282685915009E-13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302.20483575440988</v>
      </c>
      <c r="T112" s="62">
        <f t="shared" si="88"/>
        <v>275.32862097158687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2.4914614055870112</v>
      </c>
      <c r="AB112" s="23">
        <f>EXP(-LN(2)/2)*AB111+(1-EXP(-LN(2)/2))/(LN(2)/2)*V112*Y112*VLOOKUP('Données projet'!$B$9,Paramètres!$A$1:$I$89,3,0)*0.475*44/12</f>
        <v>1.4158425293121418E-11</v>
      </c>
      <c r="AC112" s="24">
        <f t="shared" si="57"/>
        <v>2.4914614056011697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5.4</v>
      </c>
      <c r="AI112" s="14">
        <f>IF('Données projet'!$A$62&gt;35,AI111+AH112-AQ111,IF(A112&lt;'Données projet'!$A$62,$AF$205^A112,IF(A112='Données projet'!$A$62,'Données projet'!$B$62,AI111+AH112-AQ111)))</f>
        <v>354.59999999999968</v>
      </c>
      <c r="AJ112" s="14">
        <f>AI112*VLOOKUP('Données projet'!$B$10,Paramètres!$A$1:$I$89,3,0)*VLOOKUP('Données projet'!$B$10,Paramètres!$A$1:$I$89,5,0)</f>
        <v>320.84207999999973</v>
      </c>
      <c r="AK112" s="14">
        <f t="shared" si="89"/>
        <v>75.528537975513771</v>
      </c>
      <c r="AL112" s="22">
        <f t="shared" si="58"/>
        <v>690.34549297401929</v>
      </c>
      <c r="AM112" s="62">
        <f t="shared" si="59"/>
        <v>983.67882630735267</v>
      </c>
      <c r="AN112" s="62">
        <f ca="1">AVERAGE(OFFSET($AM$3,0,0,'Données projet'!$E$10+1,1))-AVERAGE(OFFSET($H$3,0,0,'Données projet'!$E$10+1,1))</f>
        <v>384.44848355636935</v>
      </c>
      <c r="AO112" s="62">
        <f t="shared" si="90"/>
        <v>203.5274665601915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5.4</v>
      </c>
      <c r="BD112" s="13">
        <f>IF('Données projet'!$A$88&gt;35,BD111+BC112-BL111,IF(A112&lt;'Données projet'!$A$88,$BA$205^A112,IF(A112='Données projet'!$A$88,'Données projet'!$B$88,BD111+BC112-BL111)))</f>
        <v>354.59999999999968</v>
      </c>
      <c r="BE112" s="14">
        <f>BD112*VLOOKUP('Données projet'!$B$11,Paramètres!$A$1:$I$89,3,0)*VLOOKUP('Données projet'!$B$11,Paramètres!$A$1:$I$89,5,0)</f>
        <v>359.56439999999969</v>
      </c>
      <c r="BF112" s="14">
        <f t="shared" si="91"/>
        <v>83.528819734442351</v>
      </c>
      <c r="BG112" s="22">
        <f t="shared" si="61"/>
        <v>771.72069103748652</v>
      </c>
      <c r="BH112" s="62">
        <f t="shared" si="62"/>
        <v>1065.0540243708199</v>
      </c>
      <c r="BI112" s="62">
        <f ca="1">AVERAGE(OFFSET($BH$3,0,0,'Données projet'!$E$11+1,1))-AVERAGE(OFFSET($H$3,0,0,'Données projet'!$E$11+1,1))</f>
        <v>440.60698566758532</v>
      </c>
      <c r="BJ112" s="62">
        <f t="shared" si="92"/>
        <v>231.92898690465887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287.29865338866551</v>
      </c>
      <c r="CE112" s="62">
        <f t="shared" si="94"/>
        <v>217.57508587672368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1.2255775071084016</v>
      </c>
      <c r="CM112" s="23">
        <f>EXP(-LN(2)/2)*CM111+(1-EXP(-LN(2)/2))/(LN(2)/2)*CG112*CJ112*VLOOKUP('Données projet'!$B$12,Paramètres!$A$1:$I$89,3,0)*0.475*44/12</f>
        <v>1.6548741220728304E-11</v>
      </c>
      <c r="CN112" s="24">
        <f t="shared" si="66"/>
        <v>1.2255775071249504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175.05987582828078</v>
      </c>
      <c r="CZ112" s="62">
        <f t="shared" si="96"/>
        <v>268.54782308462387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1.015929857239565</v>
      </c>
      <c r="DH112" s="23">
        <f>EXP(-LN(2)/2)*DH111+(1-EXP(-LN(2)/2))/(LN(2)/2)*DB112*DE112*VLOOKUP('Données projet'!$B$13,Paramètres!$A$1:$I$89,3,0)*0.475*44/12</f>
        <v>1.6269345157525593E-11</v>
      </c>
      <c r="DI112" s="24">
        <f t="shared" si="69"/>
        <v>1.0159298572558344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-5.6843418860808015E-14</v>
      </c>
      <c r="DP112" s="18">
        <f>DO112*VLOOKUP('Données projet'!$B$14,Paramètres!$A$1:$I$89,3,0)*VLOOKUP('Données projet'!$B$14,Paramètres!$A$1:$I$89,5,0)</f>
        <v>-3.2514435588382188E-14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228.06050741667258</v>
      </c>
      <c r="DU112" s="62">
        <f t="shared" si="98"/>
        <v>191.94885821983536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2.1036203020720881</v>
      </c>
      <c r="EC112" s="23">
        <f>EXP(-LN(2)/2)*EC111+(1-EXP(-LN(2)/2))/(LN(2)/2)*DW112*DZ112*VLOOKUP('Données projet'!$B$14,Paramètres!$A$1:$I$89,3,0)*0.475*44/12</f>
        <v>1.3198861547826061E-10</v>
      </c>
      <c r="ED112" s="24">
        <f t="shared" si="72"/>
        <v>2.1036203022040767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-5.6843418860808015E-14</v>
      </c>
      <c r="EK112" s="18">
        <f>EJ112*VLOOKUP('Données projet'!$B$15,Paramètres!$A$1:$I$89,3,0)*VLOOKUP('Données projet'!$B$15,Paramètres!$A$1:$I$89,5,0)</f>
        <v>-5.1431925385259088E-14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315.23521260143986</v>
      </c>
      <c r="EP112" s="62">
        <f t="shared" si="100"/>
        <v>439.11021845472641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-3.4106051316484809E-13</v>
      </c>
      <c r="O113" s="14">
        <f>N113*VLOOKUP('Données projet'!$B$9,Paramètres!$A$1:$I$89,3,0)*VLOOKUP('Données projet'!$B$9,Paramètres!$A$1:$I$89,5,0)</f>
        <v>-1.9065282685915009E-13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302.20483575440988</v>
      </c>
      <c r="T113" s="62">
        <f t="shared" si="88"/>
        <v>275.32862097158687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2.4233322624309732</v>
      </c>
      <c r="AB113" s="23">
        <f>EXP(-LN(2)/2)*AB112+(1-EXP(-LN(2)/2))/(LN(2)/2)*V113*Y113*VLOOKUP('Données projet'!$B$9,Paramètres!$A$1:$I$89,3,0)*0.475*44/12</f>
        <v>1.0011518535689288E-11</v>
      </c>
      <c r="AC113" s="24">
        <f t="shared" si="57"/>
        <v>2.4233322624409848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360</v>
      </c>
      <c r="AG113" s="13">
        <f>VLOOKUP(A113,'Données projet'!$A$61:$I$81,9,0)</f>
        <v>5.4</v>
      </c>
      <c r="AH113" s="13">
        <f t="array" ref="AH113">INDEX(AG:AG,MIN(IF(ISNUMBER(AG113:AG309),ROW(AG113:AG309),"")))</f>
        <v>5.4</v>
      </c>
      <c r="AI113" s="14">
        <f>IF('Données projet'!$A$62&gt;35,AI112+AH113-AQ112,IF(A113&lt;'Données projet'!$A$62,$AF$205^A113,IF(A113='Données projet'!$A$62,'Données projet'!$B$62,AI112+AH113-AQ112)))</f>
        <v>359.99999999999966</v>
      </c>
      <c r="AJ113" s="14">
        <f>AI113*VLOOKUP('Données projet'!$B$10,Paramètres!$A$1:$I$89,3,0)*VLOOKUP('Données projet'!$B$10,Paramètres!$A$1:$I$89,5,0)</f>
        <v>325.72799999999967</v>
      </c>
      <c r="AK113" s="14">
        <f t="shared" si="89"/>
        <v>76.543942036893981</v>
      </c>
      <c r="AL113" s="22">
        <f t="shared" si="58"/>
        <v>700.62363238092303</v>
      </c>
      <c r="AM113" s="62">
        <f t="shared" si="59"/>
        <v>993.95696571425628</v>
      </c>
      <c r="AN113" s="62">
        <f ca="1">AVERAGE(OFFSET($AM$3,0,0,'Données projet'!$E$10+1,1))-AVERAGE(OFFSET($H$3,0,0,'Données projet'!$E$10+1,1))</f>
        <v>384.44848355636935</v>
      </c>
      <c r="AO113" s="62">
        <f t="shared" si="90"/>
        <v>203.5274665601915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53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360</v>
      </c>
      <c r="BB113" s="13">
        <f>VLOOKUP(A113,'Données projet'!$A$87:$I$107,9,0)</f>
        <v>5.4</v>
      </c>
      <c r="BC113" s="13">
        <f t="array" ref="BC113">INDEX(BB:BB,MIN(IF(ISNUMBER(BB113:BB309),ROW(BB113:BB309),"")))</f>
        <v>5.4</v>
      </c>
      <c r="BD113" s="13">
        <f>IF('Données projet'!$A$88&gt;35,BD112+BC113-BL112,IF(A113&lt;'Données projet'!$A$88,$BA$205^A113,IF(A113='Données projet'!$A$88,'Données projet'!$B$88,BD112+BC113-BL112)))</f>
        <v>359.99999999999966</v>
      </c>
      <c r="BE113" s="14">
        <f>BD113*VLOOKUP('Données projet'!$B$11,Paramètres!$A$1:$I$89,3,0)*VLOOKUP('Données projet'!$B$11,Paramètres!$A$1:$I$89,5,0)</f>
        <v>365.03999999999968</v>
      </c>
      <c r="BF113" s="14">
        <f t="shared" si="91"/>
        <v>84.651779413976342</v>
      </c>
      <c r="BG113" s="22">
        <f t="shared" si="61"/>
        <v>783.21318247934141</v>
      </c>
      <c r="BH113" s="62">
        <f t="shared" si="62"/>
        <v>1076.5465158126747</v>
      </c>
      <c r="BI113" s="62">
        <f ca="1">AVERAGE(OFFSET($BH$3,0,0,'Données projet'!$E$11+1,1))-AVERAGE(OFFSET($H$3,0,0,'Données projet'!$E$11+1,1))</f>
        <v>440.60698566758532</v>
      </c>
      <c r="BJ113" s="62">
        <f t="shared" si="92"/>
        <v>231.92898690465887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53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287.29865338866551</v>
      </c>
      <c r="CE113" s="62">
        <f t="shared" si="94"/>
        <v>217.57508587672368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1.1920640257262023</v>
      </c>
      <c r="CM113" s="23">
        <f>EXP(-LN(2)/2)*CM112+(1-EXP(-LN(2)/2))/(LN(2)/2)*CG113*CJ113*VLOOKUP('Données projet'!$B$12,Paramètres!$A$1:$I$89,3,0)*0.475*44/12</f>
        <v>1.1701727137278328E-11</v>
      </c>
      <c r="CN113" s="24">
        <f t="shared" si="66"/>
        <v>1.192064025737904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175.05987582828078</v>
      </c>
      <c r="CZ113" s="62">
        <f t="shared" si="96"/>
        <v>268.54782308462387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0.98814920186791977</v>
      </c>
      <c r="DH113" s="23">
        <f>EXP(-LN(2)/2)*DH112+(1-EXP(-LN(2)/2))/(LN(2)/2)*DB113*DE113*VLOOKUP('Données projet'!$B$13,Paramètres!$A$1:$I$89,3,0)*0.475*44/12</f>
        <v>1.1504164286350866E-11</v>
      </c>
      <c r="DI113" s="24">
        <f t="shared" si="69"/>
        <v>0.9881492018794239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-5.6843418860808015E-14</v>
      </c>
      <c r="DP113" s="18">
        <f>DO113*VLOOKUP('Données projet'!$B$14,Paramètres!$A$1:$I$89,3,0)*VLOOKUP('Données projet'!$B$14,Paramètres!$A$1:$I$89,5,0)</f>
        <v>-3.2514435588382188E-14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228.06050741667258</v>
      </c>
      <c r="DU113" s="62">
        <f t="shared" si="98"/>
        <v>191.94885821983536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2.0460966942873431</v>
      </c>
      <c r="EC113" s="23">
        <f>EXP(-LN(2)/2)*EC112+(1-EXP(-LN(2)/2))/(LN(2)/2)*DW113*DZ113*VLOOKUP('Données projet'!$B$14,Paramètres!$A$1:$I$89,3,0)*0.475*44/12</f>
        <v>9.333004504410179E-11</v>
      </c>
      <c r="ED113" s="24">
        <f t="shared" si="72"/>
        <v>2.0460966943806733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-5.6843418860808015E-14</v>
      </c>
      <c r="EK113" s="18">
        <f>EJ113*VLOOKUP('Données projet'!$B$15,Paramètres!$A$1:$I$89,3,0)*VLOOKUP('Données projet'!$B$15,Paramètres!$A$1:$I$89,5,0)</f>
        <v>-5.1431925385259088E-14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315.23521260143986</v>
      </c>
      <c r="EP113" s="62">
        <f t="shared" si="100"/>
        <v>439.11021845472641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-3.4106051316484809E-13</v>
      </c>
      <c r="O114" s="14">
        <f>N114*VLOOKUP('Données projet'!$B$9,Paramètres!$A$1:$I$89,3,0)*VLOOKUP('Données projet'!$B$9,Paramètres!$A$1:$I$89,5,0)</f>
        <v>-1.9065282685915009E-13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302.20483575440988</v>
      </c>
      <c r="T114" s="62">
        <f t="shared" si="88"/>
        <v>275.32862097158687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2.3570661142772931</v>
      </c>
      <c r="AB114" s="23">
        <f>EXP(-LN(2)/2)*AB113+(1-EXP(-LN(2)/2))/(LN(2)/2)*V114*Y114*VLOOKUP('Données projet'!$B$9,Paramètres!$A$1:$I$89,3,0)*0.475*44/12</f>
        <v>7.0792126465607106E-12</v>
      </c>
      <c r="AC114" s="24">
        <f t="shared" si="57"/>
        <v>2.3570661142843723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</v>
      </c>
      <c r="AI114" s="14">
        <f>IF('Données projet'!$A$62&gt;35,AI113+AH114-AQ113,IF(A114&lt;'Données projet'!$A$62,$AF$205^A114,IF(A114='Données projet'!$A$62,'Données projet'!$B$62,AI113+AH114-AQ113)))</f>
        <v>311.49999999999966</v>
      </c>
      <c r="AJ114" s="14">
        <f>AI114*VLOOKUP('Données projet'!$B$10,Paramètres!$A$1:$I$89,3,0)*VLOOKUP('Données projet'!$B$10,Paramètres!$A$1:$I$89,5,0)</f>
        <v>281.84519999999969</v>
      </c>
      <c r="AK114" s="14">
        <f t="shared" si="89"/>
        <v>67.356803491560427</v>
      </c>
      <c r="AL114" s="22">
        <f t="shared" si="58"/>
        <v>608.19348941446708</v>
      </c>
      <c r="AM114" s="62">
        <f t="shared" si="59"/>
        <v>901.52682274780045</v>
      </c>
      <c r="AN114" s="62">
        <f ca="1">AVERAGE(OFFSET($AM$3,0,0,'Données projet'!$E$10+1,1))-AVERAGE(OFFSET($H$3,0,0,'Données projet'!$E$10+1,1))</f>
        <v>384.44848355636935</v>
      </c>
      <c r="AO114" s="62">
        <f t="shared" si="90"/>
        <v>203.5274665601915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</v>
      </c>
      <c r="BD114" s="13">
        <f>IF('Données projet'!$A$88&gt;35,BD113+BC114-BL113,IF(A114&lt;'Données projet'!$A$88,$BA$205^A114,IF(A114='Données projet'!$A$88,'Données projet'!$B$88,BD113+BC114-BL113)))</f>
        <v>311.49999999999966</v>
      </c>
      <c r="BE114" s="14">
        <f>BD114*VLOOKUP('Données projet'!$B$11,Paramètres!$A$1:$I$89,3,0)*VLOOKUP('Données projet'!$B$11,Paramètres!$A$1:$I$89,5,0)</f>
        <v>315.86099999999971</v>
      </c>
      <c r="BF114" s="14">
        <f t="shared" si="91"/>
        <v>74.491502782151358</v>
      </c>
      <c r="BG114" s="22">
        <f t="shared" si="61"/>
        <v>679.86394234557974</v>
      </c>
      <c r="BH114" s="62">
        <f t="shared" si="62"/>
        <v>973.197275678913</v>
      </c>
      <c r="BI114" s="62">
        <f ca="1">AVERAGE(OFFSET($BH$3,0,0,'Données projet'!$E$11+1,1))-AVERAGE(OFFSET($H$3,0,0,'Données projet'!$E$11+1,1))</f>
        <v>440.60698566758532</v>
      </c>
      <c r="BJ114" s="62">
        <f t="shared" si="92"/>
        <v>231.92898690465887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287.29865338866551</v>
      </c>
      <c r="CE114" s="62">
        <f t="shared" si="94"/>
        <v>217.57508587672368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1.1594669722547968</v>
      </c>
      <c r="CM114" s="23">
        <f>EXP(-LN(2)/2)*CM113+(1-EXP(-LN(2)/2))/(LN(2)/2)*CG114*CJ114*VLOOKUP('Données projet'!$B$12,Paramètres!$A$1:$I$89,3,0)*0.475*44/12</f>
        <v>8.2743706103641518E-12</v>
      </c>
      <c r="CN114" s="24">
        <f t="shared" si="66"/>
        <v>1.159466972263071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175.05987582828078</v>
      </c>
      <c r="CZ114" s="62">
        <f t="shared" si="96"/>
        <v>268.54782308462387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0.96112820997833337</v>
      </c>
      <c r="DH114" s="23">
        <f>EXP(-LN(2)/2)*DH113+(1-EXP(-LN(2)/2))/(LN(2)/2)*DB114*DE114*VLOOKUP('Données projet'!$B$13,Paramètres!$A$1:$I$89,3,0)*0.475*44/12</f>
        <v>8.1346725787627965E-12</v>
      </c>
      <c r="DI114" s="24">
        <f t="shared" si="69"/>
        <v>0.96112820998646809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-5.6843418860808015E-14</v>
      </c>
      <c r="DP114" s="18">
        <f>DO114*VLOOKUP('Données projet'!$B$14,Paramètres!$A$1:$I$89,3,0)*VLOOKUP('Données projet'!$B$14,Paramètres!$A$1:$I$89,5,0)</f>
        <v>-3.2514435588382188E-14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228.06050741667258</v>
      </c>
      <c r="DU114" s="62">
        <f t="shared" si="98"/>
        <v>191.94885821983536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1.9901460725825069</v>
      </c>
      <c r="EC114" s="23">
        <f>EXP(-LN(2)/2)*EC113+(1-EXP(-LN(2)/2))/(LN(2)/2)*DW114*DZ114*VLOOKUP('Données projet'!$B$14,Paramètres!$A$1:$I$89,3,0)*0.475*44/12</f>
        <v>6.5994307739130307E-11</v>
      </c>
      <c r="ED114" s="24">
        <f t="shared" si="72"/>
        <v>1.9901460726485012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-5.6843418860808015E-14</v>
      </c>
      <c r="EK114" s="18">
        <f>EJ114*VLOOKUP('Données projet'!$B$15,Paramètres!$A$1:$I$89,3,0)*VLOOKUP('Données projet'!$B$15,Paramètres!$A$1:$I$89,5,0)</f>
        <v>-5.1431925385259088E-14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315.23521260143986</v>
      </c>
      <c r="EP114" s="62">
        <f t="shared" si="100"/>
        <v>439.11021845472641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-3.4106051316484809E-13</v>
      </c>
      <c r="O115" s="14">
        <f>N115*VLOOKUP('Données projet'!$B$9,Paramètres!$A$1:$I$89,3,0)*VLOOKUP('Données projet'!$B$9,Paramètres!$A$1:$I$89,5,0)</f>
        <v>-1.9065282685915009E-13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302.20483575440988</v>
      </c>
      <c r="T115" s="62">
        <f t="shared" si="88"/>
        <v>275.32862097158687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2.2926120174296605</v>
      </c>
      <c r="AB115" s="23">
        <f>EXP(-LN(2)/2)*AB114+(1-EXP(-LN(2)/2))/(LN(2)/2)*V115*Y115*VLOOKUP('Données projet'!$B$9,Paramètres!$A$1:$I$89,3,0)*0.475*44/12</f>
        <v>5.0057592678446448E-12</v>
      </c>
      <c r="AC115" s="24">
        <f t="shared" si="57"/>
        <v>2.2926120174346662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</v>
      </c>
      <c r="AI115" s="14">
        <f>IF('Données projet'!$A$62&gt;35,AI114+AH115-AQ114,IF(A115&lt;'Données projet'!$A$62,$AF$205^A115,IF(A115='Données projet'!$A$62,'Données projet'!$B$62,AI114+AH115-AQ114)))</f>
        <v>315.99999999999966</v>
      </c>
      <c r="AJ115" s="14">
        <f>AI115*VLOOKUP('Données projet'!$B$10,Paramètres!$A$1:$I$89,3,0)*VLOOKUP('Données projet'!$B$10,Paramètres!$A$1:$I$89,5,0)</f>
        <v>285.91679999999968</v>
      </c>
      <c r="AK115" s="14">
        <f t="shared" si="89"/>
        <v>68.215872977287475</v>
      </c>
      <c r="AL115" s="22">
        <f t="shared" si="58"/>
        <v>616.7810721021084</v>
      </c>
      <c r="AM115" s="62">
        <f t="shared" si="59"/>
        <v>910.11440543544177</v>
      </c>
      <c r="AN115" s="62">
        <f ca="1">AVERAGE(OFFSET($AM$3,0,0,'Données projet'!$E$10+1,1))-AVERAGE(OFFSET($H$3,0,0,'Données projet'!$E$10+1,1))</f>
        <v>384.44848355636935</v>
      </c>
      <c r="AO115" s="62">
        <f t="shared" si="90"/>
        <v>203.5274665601915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</v>
      </c>
      <c r="BD115" s="13">
        <f>IF('Données projet'!$A$88&gt;35,BD114+BC115-BL114,IF(A115&lt;'Données projet'!$A$88,$BA$205^A115,IF(A115='Données projet'!$A$88,'Données projet'!$B$88,BD114+BC115-BL114)))</f>
        <v>315.99999999999966</v>
      </c>
      <c r="BE115" s="14">
        <f>BD115*VLOOKUP('Données projet'!$B$11,Paramètres!$A$1:$I$89,3,0)*VLOOKUP('Données projet'!$B$11,Paramètres!$A$1:$I$89,5,0)</f>
        <v>320.42399999999964</v>
      </c>
      <c r="BF115" s="14">
        <f t="shared" si="91"/>
        <v>75.441568308852254</v>
      </c>
      <c r="BG115" s="22">
        <f t="shared" si="61"/>
        <v>689.4658648045837</v>
      </c>
      <c r="BH115" s="62">
        <f t="shared" si="62"/>
        <v>982.79919813791707</v>
      </c>
      <c r="BI115" s="62">
        <f ca="1">AVERAGE(OFFSET($BH$3,0,0,'Données projet'!$E$11+1,1))-AVERAGE(OFFSET($H$3,0,0,'Données projet'!$E$11+1,1))</f>
        <v>440.60698566758532</v>
      </c>
      <c r="BJ115" s="62">
        <f t="shared" si="92"/>
        <v>231.92898690465887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287.29865338866551</v>
      </c>
      <c r="CE115" s="62">
        <f t="shared" si="94"/>
        <v>217.57508587672368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1.1277612869247713</v>
      </c>
      <c r="CM115" s="23">
        <f>EXP(-LN(2)/2)*CM114+(1-EXP(-LN(2)/2))/(LN(2)/2)*CG115*CJ115*VLOOKUP('Données projet'!$B$12,Paramètres!$A$1:$I$89,3,0)*0.475*44/12</f>
        <v>5.8508635686391641E-12</v>
      </c>
      <c r="CN115" s="24">
        <f t="shared" si="66"/>
        <v>1.1277612869306222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175.05987582828078</v>
      </c>
      <c r="CZ115" s="62">
        <f t="shared" si="96"/>
        <v>268.54782308462387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0.93484610853293992</v>
      </c>
      <c r="DH115" s="23">
        <f>EXP(-LN(2)/2)*DH114+(1-EXP(-LN(2)/2))/(LN(2)/2)*DB115*DE115*VLOOKUP('Données projet'!$B$13,Paramètres!$A$1:$I$89,3,0)*0.475*44/12</f>
        <v>5.7520821431754331E-12</v>
      </c>
      <c r="DI115" s="24">
        <f t="shared" si="69"/>
        <v>0.93484610853869199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-5.6843418860808015E-14</v>
      </c>
      <c r="DP115" s="18">
        <f>DO115*VLOOKUP('Données projet'!$B$14,Paramètres!$A$1:$I$89,3,0)*VLOOKUP('Données projet'!$B$14,Paramètres!$A$1:$I$89,5,0)</f>
        <v>-3.2514435588382188E-14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228.06050741667258</v>
      </c>
      <c r="DU115" s="62">
        <f t="shared" si="98"/>
        <v>191.94885821983536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1.9357254235705048</v>
      </c>
      <c r="EC115" s="23">
        <f>EXP(-LN(2)/2)*EC114+(1-EXP(-LN(2)/2))/(LN(2)/2)*DW115*DZ115*VLOOKUP('Données projet'!$B$14,Paramètres!$A$1:$I$89,3,0)*0.475*44/12</f>
        <v>4.6665022522050895E-11</v>
      </c>
      <c r="ED115" s="24">
        <f t="shared" si="72"/>
        <v>1.9357254236171699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-5.6843418860808015E-14</v>
      </c>
      <c r="EK115" s="18">
        <f>EJ115*VLOOKUP('Données projet'!$B$15,Paramètres!$A$1:$I$89,3,0)*VLOOKUP('Données projet'!$B$15,Paramètres!$A$1:$I$89,5,0)</f>
        <v>-5.1431925385259088E-14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315.23521260143986</v>
      </c>
      <c r="EP115" s="62">
        <f t="shared" si="100"/>
        <v>439.11021845472641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-3.4106051316484809E-13</v>
      </c>
      <c r="O116" s="14">
        <f>N116*VLOOKUP('Données projet'!$B$9,Paramètres!$A$1:$I$89,3,0)*VLOOKUP('Données projet'!$B$9,Paramètres!$A$1:$I$89,5,0)</f>
        <v>-1.9065282685915009E-13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302.20483575440988</v>
      </c>
      <c r="T116" s="62">
        <f t="shared" si="88"/>
        <v>275.32862097158687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2.2299204212498203</v>
      </c>
      <c r="AB116" s="23">
        <f>EXP(-LN(2)/2)*AB115+(1-EXP(-LN(2)/2))/(LN(2)/2)*V116*Y116*VLOOKUP('Données projet'!$B$9,Paramètres!$A$1:$I$89,3,0)*0.475*44/12</f>
        <v>3.5396063232803557E-12</v>
      </c>
      <c r="AC116" s="24">
        <f t="shared" si="57"/>
        <v>2.2299204212533597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</v>
      </c>
      <c r="AI116" s="14">
        <f>IF('Données projet'!$A$62&gt;35,AI115+AH116-AQ115,IF(A116&lt;'Données projet'!$A$62,$AF$205^A116,IF(A116='Données projet'!$A$62,'Données projet'!$B$62,AI115+AH116-AQ115)))</f>
        <v>320.49999999999966</v>
      </c>
      <c r="AJ116" s="14">
        <f>AI116*VLOOKUP('Données projet'!$B$10,Paramètres!$A$1:$I$89,3,0)*VLOOKUP('Données projet'!$B$10,Paramètres!$A$1:$I$89,5,0)</f>
        <v>289.98839999999967</v>
      </c>
      <c r="AK116" s="14">
        <f t="shared" si="89"/>
        <v>69.073519602481454</v>
      </c>
      <c r="AL116" s="22">
        <f t="shared" si="58"/>
        <v>625.36617664098787</v>
      </c>
      <c r="AM116" s="62">
        <f t="shared" si="59"/>
        <v>918.69950997432124</v>
      </c>
      <c r="AN116" s="62">
        <f ca="1">AVERAGE(OFFSET($AM$3,0,0,'Données projet'!$E$10+1,1))-AVERAGE(OFFSET($H$3,0,0,'Données projet'!$E$10+1,1))</f>
        <v>384.44848355636935</v>
      </c>
      <c r="AO116" s="62">
        <f t="shared" si="90"/>
        <v>203.5274665601915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</v>
      </c>
      <c r="BD116" s="13">
        <f>IF('Données projet'!$A$88&gt;35,BD115+BC116-BL115,IF(A116&lt;'Données projet'!$A$88,$BA$205^A116,IF(A116='Données projet'!$A$88,'Données projet'!$B$88,BD115+BC116-BL115)))</f>
        <v>320.49999999999966</v>
      </c>
      <c r="BE116" s="14">
        <f>BD116*VLOOKUP('Données projet'!$B$11,Paramètres!$A$1:$I$89,3,0)*VLOOKUP('Données projet'!$B$11,Paramètres!$A$1:$I$89,5,0)</f>
        <v>324.98699999999968</v>
      </c>
      <c r="BF116" s="14">
        <f t="shared" si="91"/>
        <v>76.390060259999316</v>
      </c>
      <c r="BG116" s="22">
        <f t="shared" si="61"/>
        <v>699.06504661949828</v>
      </c>
      <c r="BH116" s="62">
        <f t="shared" si="62"/>
        <v>992.39837995283165</v>
      </c>
      <c r="BI116" s="62">
        <f ca="1">AVERAGE(OFFSET($BH$3,0,0,'Données projet'!$E$11+1,1))-AVERAGE(OFFSET($H$3,0,0,'Données projet'!$E$11+1,1))</f>
        <v>440.60698566758532</v>
      </c>
      <c r="BJ116" s="62">
        <f t="shared" si="92"/>
        <v>231.92898690465887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287.29865338866551</v>
      </c>
      <c r="CE116" s="62">
        <f t="shared" si="94"/>
        <v>217.57508587672368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1.0969225952274249</v>
      </c>
      <c r="CM116" s="23">
        <f>EXP(-LN(2)/2)*CM115+(1-EXP(-LN(2)/2))/(LN(2)/2)*CG116*CJ116*VLOOKUP('Données projet'!$B$12,Paramètres!$A$1:$I$89,3,0)*0.475*44/12</f>
        <v>4.1371853051820759E-12</v>
      </c>
      <c r="CN116" s="24">
        <f t="shared" si="66"/>
        <v>1.096922595231562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175.05987582828078</v>
      </c>
      <c r="CZ116" s="62">
        <f t="shared" si="96"/>
        <v>268.54782308462387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0.90928269253368643</v>
      </c>
      <c r="DH116" s="23">
        <f>EXP(-LN(2)/2)*DH115+(1-EXP(-LN(2)/2))/(LN(2)/2)*DB116*DE116*VLOOKUP('Données projet'!$B$13,Paramètres!$A$1:$I$89,3,0)*0.475*44/12</f>
        <v>4.0673362893813983E-12</v>
      </c>
      <c r="DI116" s="24">
        <f t="shared" si="69"/>
        <v>0.90928269253775373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-5.6843418860808015E-14</v>
      </c>
      <c r="DP116" s="18">
        <f>DO116*VLOOKUP('Données projet'!$B$14,Paramètres!$A$1:$I$89,3,0)*VLOOKUP('Données projet'!$B$14,Paramètres!$A$1:$I$89,5,0)</f>
        <v>-3.2514435588382188E-14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228.06050741667258</v>
      </c>
      <c r="DU116" s="62">
        <f t="shared" si="98"/>
        <v>191.94885821983536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1.8827929100675935</v>
      </c>
      <c r="EC116" s="23">
        <f>EXP(-LN(2)/2)*EC115+(1-EXP(-LN(2)/2))/(LN(2)/2)*DW116*DZ116*VLOOKUP('Données projet'!$B$14,Paramètres!$A$1:$I$89,3,0)*0.475*44/12</f>
        <v>3.2997153869565154E-11</v>
      </c>
      <c r="ED116" s="24">
        <f t="shared" si="72"/>
        <v>1.8827929101005907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-5.6843418860808015E-14</v>
      </c>
      <c r="EK116" s="18">
        <f>EJ116*VLOOKUP('Données projet'!$B$15,Paramètres!$A$1:$I$89,3,0)*VLOOKUP('Données projet'!$B$15,Paramètres!$A$1:$I$89,5,0)</f>
        <v>-5.1431925385259088E-14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315.23521260143986</v>
      </c>
      <c r="EP116" s="62">
        <f t="shared" si="100"/>
        <v>439.11021845472641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-3.4106051316484809E-13</v>
      </c>
      <c r="O117" s="14">
        <f>N117*VLOOKUP('Données projet'!$B$9,Paramètres!$A$1:$I$89,3,0)*VLOOKUP('Données projet'!$B$9,Paramètres!$A$1:$I$89,5,0)</f>
        <v>-1.9065282685915009E-13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302.20483575440988</v>
      </c>
      <c r="T117" s="62">
        <f t="shared" si="88"/>
        <v>275.32862097158687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2.1689431300643256</v>
      </c>
      <c r="AB117" s="23">
        <f>EXP(-LN(2)/2)*AB116+(1-EXP(-LN(2)/2))/(LN(2)/2)*V117*Y117*VLOOKUP('Données projet'!$B$9,Paramètres!$A$1:$I$89,3,0)*0.475*44/12</f>
        <v>2.5028796339223228E-12</v>
      </c>
      <c r="AC117" s="24">
        <f t="shared" si="57"/>
        <v>2.1689431300668285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</v>
      </c>
      <c r="AI117" s="14">
        <f>IF('Données projet'!$A$62&gt;35,AI116+AH117-AQ116,IF(A117&lt;'Données projet'!$A$62,$AF$205^A117,IF(A117='Données projet'!$A$62,'Données projet'!$B$62,AI116+AH117-AQ116)))</f>
        <v>324.99999999999966</v>
      </c>
      <c r="AJ117" s="14">
        <f>AI117*VLOOKUP('Données projet'!$B$10,Paramètres!$A$1:$I$89,3,0)*VLOOKUP('Données projet'!$B$10,Paramètres!$A$1:$I$89,5,0)</f>
        <v>294.05999999999972</v>
      </c>
      <c r="AK117" s="14">
        <f t="shared" si="89"/>
        <v>69.929765653573313</v>
      </c>
      <c r="AL117" s="22">
        <f t="shared" si="58"/>
        <v>633.94884184663977</v>
      </c>
      <c r="AM117" s="62">
        <f t="shared" si="59"/>
        <v>927.28217517997314</v>
      </c>
      <c r="AN117" s="62">
        <f ca="1">AVERAGE(OFFSET($AM$3,0,0,'Données projet'!$E$10+1,1))-AVERAGE(OFFSET($H$3,0,0,'Données projet'!$E$10+1,1))</f>
        <v>384.44848355636935</v>
      </c>
      <c r="AO117" s="62">
        <f t="shared" si="90"/>
        <v>203.5274665601915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</v>
      </c>
      <c r="BD117" s="13">
        <f>IF('Données projet'!$A$88&gt;35,BD116+BC117-BL116,IF(A117&lt;'Données projet'!$A$88,$BA$205^A117,IF(A117='Données projet'!$A$88,'Données projet'!$B$88,BD116+BC117-BL116)))</f>
        <v>324.99999999999966</v>
      </c>
      <c r="BE117" s="14">
        <f>BD117*VLOOKUP('Données projet'!$B$11,Paramètres!$A$1:$I$89,3,0)*VLOOKUP('Données projet'!$B$11,Paramètres!$A$1:$I$89,5,0)</f>
        <v>329.54999999999967</v>
      </c>
      <c r="BF117" s="14">
        <f t="shared" si="91"/>
        <v>77.337003282690503</v>
      </c>
      <c r="BG117" s="22">
        <f t="shared" si="61"/>
        <v>708.66153071735198</v>
      </c>
      <c r="BH117" s="62">
        <f t="shared" si="62"/>
        <v>1001.9948640506852</v>
      </c>
      <c r="BI117" s="62">
        <f ca="1">AVERAGE(OFFSET($BH$3,0,0,'Données projet'!$E$11+1,1))-AVERAGE(OFFSET($H$3,0,0,'Données projet'!$E$11+1,1))</f>
        <v>440.60698566758532</v>
      </c>
      <c r="BJ117" s="62">
        <f t="shared" si="92"/>
        <v>231.92898690465887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287.29865338866551</v>
      </c>
      <c r="CE117" s="62">
        <f t="shared" si="94"/>
        <v>217.57508587672368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1.0669271891762786</v>
      </c>
      <c r="CM117" s="23">
        <f>EXP(-LN(2)/2)*CM116+(1-EXP(-LN(2)/2))/(LN(2)/2)*CG117*CJ117*VLOOKUP('Données projet'!$B$12,Paramètres!$A$1:$I$89,3,0)*0.475*44/12</f>
        <v>2.925431784319582E-12</v>
      </c>
      <c r="CN117" s="24">
        <f t="shared" si="66"/>
        <v>1.066927189179204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175.05987582828078</v>
      </c>
      <c r="CZ117" s="62">
        <f t="shared" si="96"/>
        <v>268.54782308462387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0.88441830948925415</v>
      </c>
      <c r="DH117" s="23">
        <f>EXP(-LN(2)/2)*DH116+(1-EXP(-LN(2)/2))/(LN(2)/2)*DB117*DE117*VLOOKUP('Données projet'!$B$13,Paramètres!$A$1:$I$89,3,0)*0.475*44/12</f>
        <v>2.8760410715877165E-12</v>
      </c>
      <c r="DI117" s="24">
        <f t="shared" si="69"/>
        <v>0.88441830949213018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-5.6843418860808015E-14</v>
      </c>
      <c r="DP117" s="18">
        <f>DO117*VLOOKUP('Données projet'!$B$14,Paramètres!$A$1:$I$89,3,0)*VLOOKUP('Données projet'!$B$14,Paramètres!$A$1:$I$89,5,0)</f>
        <v>-3.2514435588382188E-14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228.06050741667258</v>
      </c>
      <c r="DU117" s="62">
        <f t="shared" si="98"/>
        <v>191.94885821983536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1.8313078389300192</v>
      </c>
      <c r="EC117" s="23">
        <f>EXP(-LN(2)/2)*EC116+(1-EXP(-LN(2)/2))/(LN(2)/2)*DW117*DZ117*VLOOKUP('Données projet'!$B$14,Paramètres!$A$1:$I$89,3,0)*0.475*44/12</f>
        <v>2.3332511261025447E-11</v>
      </c>
      <c r="ED117" s="24">
        <f t="shared" si="72"/>
        <v>1.8313078389533517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-5.6843418860808015E-14</v>
      </c>
      <c r="EK117" s="18">
        <f>EJ117*VLOOKUP('Données projet'!$B$15,Paramètres!$A$1:$I$89,3,0)*VLOOKUP('Données projet'!$B$15,Paramètres!$A$1:$I$89,5,0)</f>
        <v>-5.1431925385259088E-14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315.23521260143986</v>
      </c>
      <c r="EP117" s="62">
        <f t="shared" si="100"/>
        <v>439.11021845472641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-3.4106051316484809E-13</v>
      </c>
      <c r="O118" s="14">
        <f>N118*VLOOKUP('Données projet'!$B$9,Paramètres!$A$1:$I$89,3,0)*VLOOKUP('Données projet'!$B$9,Paramètres!$A$1:$I$89,5,0)</f>
        <v>-1.9065282685915009E-13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302.20483575440988</v>
      </c>
      <c r="T118" s="62">
        <f t="shared" si="88"/>
        <v>275.32862097158687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2.1096332661129544</v>
      </c>
      <c r="AB118" s="23">
        <f>EXP(-LN(2)/2)*AB117+(1-EXP(-LN(2)/2))/(LN(2)/2)*V118*Y118*VLOOKUP('Données projet'!$B$9,Paramètres!$A$1:$I$89,3,0)*0.475*44/12</f>
        <v>1.7698031616401783E-12</v>
      </c>
      <c r="AC118" s="24">
        <f t="shared" si="57"/>
        <v>2.1096332661147241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4.5</v>
      </c>
      <c r="AI118" s="14">
        <f>IF('Données projet'!$A$62&gt;35,AI117+AH118-AQ117,IF(A118&lt;'Données projet'!$A$62,$AF$205^A118,IF(A118='Données projet'!$A$62,'Données projet'!$B$62,AI117+AH118-AQ117)))</f>
        <v>329.49999999999966</v>
      </c>
      <c r="AJ118" s="14">
        <f>AI118*VLOOKUP('Données projet'!$B$10,Paramètres!$A$1:$I$89,3,0)*VLOOKUP('Données projet'!$B$10,Paramètres!$A$1:$I$89,5,0)</f>
        <v>298.13159999999965</v>
      </c>
      <c r="AK118" s="14">
        <f t="shared" si="89"/>
        <v>70.784632764375971</v>
      </c>
      <c r="AL118" s="22">
        <f t="shared" si="58"/>
        <v>642.52910539795425</v>
      </c>
      <c r="AM118" s="62">
        <f t="shared" si="59"/>
        <v>935.86243873128751</v>
      </c>
      <c r="AN118" s="62">
        <f ca="1">AVERAGE(OFFSET($AM$3,0,0,'Données projet'!$E$10+1,1))-AVERAGE(OFFSET($H$3,0,0,'Données projet'!$E$10+1,1))</f>
        <v>384.44848355636935</v>
      </c>
      <c r="AO118" s="62">
        <f t="shared" si="90"/>
        <v>203.5274665601915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4.5</v>
      </c>
      <c r="BD118" s="13">
        <f>IF('Données projet'!$A$88&gt;35,BD117+BC118-BL117,IF(A118&lt;'Données projet'!$A$88,$BA$205^A118,IF(A118='Données projet'!$A$88,'Données projet'!$B$88,BD117+BC118-BL117)))</f>
        <v>329.49999999999966</v>
      </c>
      <c r="BE118" s="14">
        <f>BD118*VLOOKUP('Données projet'!$B$11,Paramètres!$A$1:$I$89,3,0)*VLOOKUP('Données projet'!$B$11,Paramètres!$A$1:$I$89,5,0)</f>
        <v>334.11299999999966</v>
      </c>
      <c r="BF118" s="14">
        <f t="shared" si="91"/>
        <v>78.282421302277868</v>
      </c>
      <c r="BG118" s="22">
        <f t="shared" si="61"/>
        <v>718.25535876813331</v>
      </c>
      <c r="BH118" s="62">
        <f t="shared" si="62"/>
        <v>1011.5886921014667</v>
      </c>
      <c r="BI118" s="62">
        <f ca="1">AVERAGE(OFFSET($BH$3,0,0,'Données projet'!$E$11+1,1))-AVERAGE(OFFSET($H$3,0,0,'Données projet'!$E$11+1,1))</f>
        <v>440.60698566758532</v>
      </c>
      <c r="BJ118" s="62">
        <f t="shared" si="92"/>
        <v>231.92898690465887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287.29865338866551</v>
      </c>
      <c r="CE118" s="62">
        <f t="shared" si="94"/>
        <v>217.57508587672368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1.0377520090809909</v>
      </c>
      <c r="CM118" s="23">
        <f>EXP(-LN(2)/2)*CM117+(1-EXP(-LN(2)/2))/(LN(2)/2)*CG118*CJ118*VLOOKUP('Données projet'!$B$12,Paramètres!$A$1:$I$89,3,0)*0.475*44/12</f>
        <v>2.0685926525910379E-12</v>
      </c>
      <c r="CN118" s="24">
        <f t="shared" si="66"/>
        <v>1.0377520090830594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175.05987582828078</v>
      </c>
      <c r="CZ118" s="62">
        <f t="shared" si="96"/>
        <v>268.54782308462387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0.860233844306733</v>
      </c>
      <c r="DH118" s="23">
        <f>EXP(-LN(2)/2)*DH117+(1-EXP(-LN(2)/2))/(LN(2)/2)*DB118*DE118*VLOOKUP('Données projet'!$B$13,Paramètres!$A$1:$I$89,3,0)*0.475*44/12</f>
        <v>2.0336681446906991E-12</v>
      </c>
      <c r="DI118" s="24">
        <f t="shared" si="69"/>
        <v>0.8602338443087667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-5.6843418860808015E-14</v>
      </c>
      <c r="DP118" s="18">
        <f>DO118*VLOOKUP('Données projet'!$B$14,Paramètres!$A$1:$I$89,3,0)*VLOOKUP('Données projet'!$B$14,Paramètres!$A$1:$I$89,5,0)</f>
        <v>-3.2514435588382188E-14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228.06050741667258</v>
      </c>
      <c r="DU118" s="62">
        <f t="shared" si="98"/>
        <v>191.94885821983536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1.7812306297701841</v>
      </c>
      <c r="EC118" s="23">
        <f>EXP(-LN(2)/2)*EC117+(1-EXP(-LN(2)/2))/(LN(2)/2)*DW118*DZ118*VLOOKUP('Données projet'!$B$14,Paramètres!$A$1:$I$89,3,0)*0.475*44/12</f>
        <v>1.6498576934782577E-11</v>
      </c>
      <c r="ED118" s="24">
        <f t="shared" si="72"/>
        <v>1.7812306297866827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-5.6843418860808015E-14</v>
      </c>
      <c r="EK118" s="18">
        <f>EJ118*VLOOKUP('Données projet'!$B$15,Paramètres!$A$1:$I$89,3,0)*VLOOKUP('Données projet'!$B$15,Paramètres!$A$1:$I$89,5,0)</f>
        <v>-5.1431925385259088E-14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315.23521260143986</v>
      </c>
      <c r="EP118" s="62">
        <f t="shared" si="100"/>
        <v>439.11021845472641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-3.4106051316484809E-13</v>
      </c>
      <c r="O119" s="14">
        <f>N119*VLOOKUP('Données projet'!$B$9,Paramètres!$A$1:$I$89,3,0)*VLOOKUP('Données projet'!$B$9,Paramètres!$A$1:$I$89,5,0)</f>
        <v>-1.9065282685915009E-13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302.20483575440988</v>
      </c>
      <c r="T119" s="62">
        <f t="shared" si="88"/>
        <v>275.32862097158687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2.0519452335103039</v>
      </c>
      <c r="AB119" s="23">
        <f>EXP(-LN(2)/2)*AB118+(1-EXP(-LN(2)/2))/(LN(2)/2)*V119*Y119*VLOOKUP('Données projet'!$B$9,Paramètres!$A$1:$I$89,3,0)*0.475*44/12</f>
        <v>1.2514398169611616E-12</v>
      </c>
      <c r="AC119" s="24">
        <f t="shared" si="57"/>
        <v>2.0519452335115553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4.5</v>
      </c>
      <c r="AI119" s="14">
        <f>IF('Données projet'!$A$62&gt;35,AI118+AH119-AQ118,IF(A119&lt;'Données projet'!$A$62,$AF$205^A119,IF(A119='Données projet'!$A$62,'Données projet'!$B$62,AI118+AH119-AQ118)))</f>
        <v>333.99999999999966</v>
      </c>
      <c r="AJ119" s="14">
        <f>AI119*VLOOKUP('Données projet'!$B$10,Paramètres!$A$1:$I$89,3,0)*VLOOKUP('Données projet'!$B$10,Paramètres!$A$1:$I$89,5,0)</f>
        <v>302.2031999999997</v>
      </c>
      <c r="AK119" s="14">
        <f t="shared" si="89"/>
        <v>71.638141943842228</v>
      </c>
      <c r="AL119" s="22">
        <f t="shared" si="58"/>
        <v>651.1070038855247</v>
      </c>
      <c r="AM119" s="62">
        <f t="shared" si="59"/>
        <v>944.44033721885808</v>
      </c>
      <c r="AN119" s="62">
        <f ca="1">AVERAGE(OFFSET($AM$3,0,0,'Données projet'!$E$10+1,1))-AVERAGE(OFFSET($H$3,0,0,'Données projet'!$E$10+1,1))</f>
        <v>384.44848355636935</v>
      </c>
      <c r="AO119" s="62">
        <f t="shared" si="90"/>
        <v>203.5274665601915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4.5</v>
      </c>
      <c r="BD119" s="13">
        <f>IF('Données projet'!$A$88&gt;35,BD118+BC119-BL118,IF(A119&lt;'Données projet'!$A$88,$BA$205^A119,IF(A119='Données projet'!$A$88,'Données projet'!$B$88,BD118+BC119-BL118)))</f>
        <v>333.99999999999966</v>
      </c>
      <c r="BE119" s="14">
        <f>BD119*VLOOKUP('Données projet'!$B$11,Paramètres!$A$1:$I$89,3,0)*VLOOKUP('Données projet'!$B$11,Paramètres!$A$1:$I$89,5,0)</f>
        <v>338.6759999999997</v>
      </c>
      <c r="BF119" s="14">
        <f t="shared" si="91"/>
        <v>79.226337553065648</v>
      </c>
      <c r="BG119" s="22">
        <f t="shared" si="61"/>
        <v>727.84657123825548</v>
      </c>
      <c r="BH119" s="62">
        <f t="shared" si="62"/>
        <v>1021.1799045715888</v>
      </c>
      <c r="BI119" s="62">
        <f ca="1">AVERAGE(OFFSET($BH$3,0,0,'Données projet'!$E$11+1,1))-AVERAGE(OFFSET($H$3,0,0,'Données projet'!$E$11+1,1))</f>
        <v>440.60698566758532</v>
      </c>
      <c r="BJ119" s="62">
        <f t="shared" si="92"/>
        <v>231.92898690465887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287.29865338866551</v>
      </c>
      <c r="CE119" s="62">
        <f t="shared" si="94"/>
        <v>217.57508587672368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1.0093746258196648</v>
      </c>
      <c r="CM119" s="23">
        <f>EXP(-LN(2)/2)*CM118+(1-EXP(-LN(2)/2))/(LN(2)/2)*CG119*CJ119*VLOOKUP('Données projet'!$B$12,Paramètres!$A$1:$I$89,3,0)*0.475*44/12</f>
        <v>1.462715892159791E-12</v>
      </c>
      <c r="CN119" s="24">
        <f t="shared" si="66"/>
        <v>1.0093746258211274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175.05987582828078</v>
      </c>
      <c r="CZ119" s="62">
        <f t="shared" si="96"/>
        <v>268.54782308462387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0.8367107045964336</v>
      </c>
      <c r="DH119" s="23">
        <f>EXP(-LN(2)/2)*DH118+(1-EXP(-LN(2)/2))/(LN(2)/2)*DB119*DE119*VLOOKUP('Données projet'!$B$13,Paramètres!$A$1:$I$89,3,0)*0.475*44/12</f>
        <v>1.4380205357938583E-12</v>
      </c>
      <c r="DI119" s="24">
        <f t="shared" si="69"/>
        <v>0.83671070459787167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-5.6843418860808015E-14</v>
      </c>
      <c r="DP119" s="18">
        <f>DO119*VLOOKUP('Données projet'!$B$14,Paramètres!$A$1:$I$89,3,0)*VLOOKUP('Données projet'!$B$14,Paramètres!$A$1:$I$89,5,0)</f>
        <v>-3.2514435588382188E-14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228.06050741667258</v>
      </c>
      <c r="DU119" s="62">
        <f t="shared" si="98"/>
        <v>191.94885821983536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1.7325227845282707</v>
      </c>
      <c r="EC119" s="23">
        <f>EXP(-LN(2)/2)*EC118+(1-EXP(-LN(2)/2))/(LN(2)/2)*DW119*DZ119*VLOOKUP('Données projet'!$B$14,Paramètres!$A$1:$I$89,3,0)*0.475*44/12</f>
        <v>1.1666255630512724E-11</v>
      </c>
      <c r="ED119" s="24">
        <f t="shared" si="72"/>
        <v>1.7325227845399369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-5.6843418860808015E-14</v>
      </c>
      <c r="EK119" s="18">
        <f>EJ119*VLOOKUP('Données projet'!$B$15,Paramètres!$A$1:$I$89,3,0)*VLOOKUP('Données projet'!$B$15,Paramètres!$A$1:$I$89,5,0)</f>
        <v>-5.1431925385259088E-14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315.23521260143986</v>
      </c>
      <c r="EP119" s="62">
        <f t="shared" si="100"/>
        <v>439.11021845472641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-3.4106051316484809E-13</v>
      </c>
      <c r="O120" s="14">
        <f>N120*VLOOKUP('Données projet'!$B$9,Paramètres!$A$1:$I$89,3,0)*VLOOKUP('Données projet'!$B$9,Paramètres!$A$1:$I$89,5,0)</f>
        <v>-1.9065282685915009E-13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302.20483575440988</v>
      </c>
      <c r="T120" s="62">
        <f t="shared" si="88"/>
        <v>275.32862097158687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1.9958346831928546</v>
      </c>
      <c r="AB120" s="23">
        <f>EXP(-LN(2)/2)*AB119+(1-EXP(-LN(2)/2))/(LN(2)/2)*V120*Y120*VLOOKUP('Données projet'!$B$9,Paramètres!$A$1:$I$89,3,0)*0.475*44/12</f>
        <v>8.8490158082008923E-13</v>
      </c>
      <c r="AC120" s="24">
        <f t="shared" si="57"/>
        <v>1.9958346831937395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4.5</v>
      </c>
      <c r="AI120" s="14">
        <f>IF('Données projet'!$A$62&gt;35,AI119+AH120-AQ119,IF(A120&lt;'Données projet'!$A$62,$AF$205^A120,IF(A120='Données projet'!$A$62,'Données projet'!$B$62,AI119+AH120-AQ119)))</f>
        <v>338.49999999999966</v>
      </c>
      <c r="AJ120" s="14">
        <f>AI120*VLOOKUP('Données projet'!$B$10,Paramètres!$A$1:$I$89,3,0)*VLOOKUP('Données projet'!$B$10,Paramètres!$A$1:$I$89,5,0)</f>
        <v>306.27479999999969</v>
      </c>
      <c r="AK120" s="14">
        <f t="shared" si="89"/>
        <v>72.490313602282981</v>
      </c>
      <c r="AL120" s="22">
        <f t="shared" si="58"/>
        <v>659.68257285730897</v>
      </c>
      <c r="AM120" s="62">
        <f t="shared" si="59"/>
        <v>953.01590619064223</v>
      </c>
      <c r="AN120" s="62">
        <f ca="1">AVERAGE(OFFSET($AM$3,0,0,'Données projet'!$E$10+1,1))-AVERAGE(OFFSET($H$3,0,0,'Données projet'!$E$10+1,1))</f>
        <v>384.44848355636935</v>
      </c>
      <c r="AO120" s="62">
        <f t="shared" si="90"/>
        <v>203.5274665601915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4.5</v>
      </c>
      <c r="BD120" s="13">
        <f>IF('Données projet'!$A$88&gt;35,BD119+BC120-BL119,IF(A120&lt;'Données projet'!$A$88,$BA$205^A120,IF(A120='Données projet'!$A$88,'Données projet'!$B$88,BD119+BC120-BL119)))</f>
        <v>338.49999999999966</v>
      </c>
      <c r="BE120" s="14">
        <f>BD120*VLOOKUP('Données projet'!$B$11,Paramètres!$A$1:$I$89,3,0)*VLOOKUP('Données projet'!$B$11,Paramètres!$A$1:$I$89,5,0)</f>
        <v>343.23899999999969</v>
      </c>
      <c r="BF120" s="14">
        <f t="shared" si="91"/>
        <v>80.168774607305735</v>
      </c>
      <c r="BG120" s="22">
        <f t="shared" si="61"/>
        <v>737.43520744105683</v>
      </c>
      <c r="BH120" s="62">
        <f t="shared" si="62"/>
        <v>1030.7685407743902</v>
      </c>
      <c r="BI120" s="62">
        <f ca="1">AVERAGE(OFFSET($BH$3,0,0,'Données projet'!$E$11+1,1))-AVERAGE(OFFSET($H$3,0,0,'Données projet'!$E$11+1,1))</f>
        <v>440.60698566758532</v>
      </c>
      <c r="BJ120" s="62">
        <f t="shared" si="92"/>
        <v>231.92898690465887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287.29865338866551</v>
      </c>
      <c r="CE120" s="62">
        <f t="shared" si="94"/>
        <v>217.57508587672368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0.98177322359592145</v>
      </c>
      <c r="CM120" s="23">
        <f>EXP(-LN(2)/2)*CM119+(1-EXP(-LN(2)/2))/(LN(2)/2)*CG120*CJ120*VLOOKUP('Données projet'!$B$12,Paramètres!$A$1:$I$89,3,0)*0.475*44/12</f>
        <v>1.034296326295519E-12</v>
      </c>
      <c r="CN120" s="24">
        <f t="shared" si="66"/>
        <v>0.98177322359695574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175.05987582828078</v>
      </c>
      <c r="CZ120" s="62">
        <f t="shared" si="96"/>
        <v>268.54782308462387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0.81383080637854044</v>
      </c>
      <c r="DH120" s="23">
        <f>EXP(-LN(2)/2)*DH119+(1-EXP(-LN(2)/2))/(LN(2)/2)*DB120*DE120*VLOOKUP('Données projet'!$B$13,Paramètres!$A$1:$I$89,3,0)*0.475*44/12</f>
        <v>1.0168340723453496E-12</v>
      </c>
      <c r="DI120" s="24">
        <f t="shared" si="69"/>
        <v>0.81383080637955729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-5.6843418860808015E-14</v>
      </c>
      <c r="DP120" s="18">
        <f>DO120*VLOOKUP('Données projet'!$B$14,Paramètres!$A$1:$I$89,3,0)*VLOOKUP('Données projet'!$B$14,Paramètres!$A$1:$I$89,5,0)</f>
        <v>-3.2514435588382188E-14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228.06050741667258</v>
      </c>
      <c r="DU120" s="62">
        <f t="shared" si="98"/>
        <v>191.94885821983536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1.6851468578759317</v>
      </c>
      <c r="EC120" s="23">
        <f>EXP(-LN(2)/2)*EC119+(1-EXP(-LN(2)/2))/(LN(2)/2)*DW120*DZ120*VLOOKUP('Données projet'!$B$14,Paramètres!$A$1:$I$89,3,0)*0.475*44/12</f>
        <v>8.2492884673912884E-12</v>
      </c>
      <c r="ED120" s="24">
        <f t="shared" si="72"/>
        <v>1.6851468578841808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-5.6843418860808015E-14</v>
      </c>
      <c r="EK120" s="18">
        <f>EJ120*VLOOKUP('Données projet'!$B$15,Paramètres!$A$1:$I$89,3,0)*VLOOKUP('Données projet'!$B$15,Paramètres!$A$1:$I$89,5,0)</f>
        <v>-5.1431925385259088E-14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315.23521260143986</v>
      </c>
      <c r="EP120" s="62">
        <f t="shared" si="100"/>
        <v>439.11021845472641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-3.4106051316484809E-13</v>
      </c>
      <c r="O121" s="14">
        <f>N121*VLOOKUP('Données projet'!$B$9,Paramètres!$A$1:$I$89,3,0)*VLOOKUP('Données projet'!$B$9,Paramètres!$A$1:$I$89,5,0)</f>
        <v>-1.9065282685915009E-13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302.20483575440988</v>
      </c>
      <c r="T121" s="62">
        <f t="shared" si="88"/>
        <v>275.32862097158687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1.9412584788245615</v>
      </c>
      <c r="AB121" s="23">
        <f>EXP(-LN(2)/2)*AB120+(1-EXP(-LN(2)/2))/(LN(2)/2)*V121*Y121*VLOOKUP('Données projet'!$B$9,Paramètres!$A$1:$I$89,3,0)*0.475*44/12</f>
        <v>6.257199084805809E-13</v>
      </c>
      <c r="AC121" s="24">
        <f t="shared" si="57"/>
        <v>1.9412584788251872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4.5</v>
      </c>
      <c r="AI121" s="14">
        <f>IF('Données projet'!$A$62&gt;35,AI120+AH121-AQ120,IF(A121&lt;'Données projet'!$A$62,$AF$205^A121,IF(A121='Données projet'!$A$62,'Données projet'!$B$62,AI120+AH121-AQ120)))</f>
        <v>342.99999999999966</v>
      </c>
      <c r="AJ121" s="14">
        <f>AI121*VLOOKUP('Données projet'!$B$10,Paramètres!$A$1:$I$89,3,0)*VLOOKUP('Données projet'!$B$10,Paramètres!$A$1:$I$89,5,0)</f>
        <v>310.34639999999968</v>
      </c>
      <c r="AK121" s="14">
        <f t="shared" si="89"/>
        <v>73.341167576152998</v>
      </c>
      <c r="AL121" s="22">
        <f t="shared" si="58"/>
        <v>668.25584686179923</v>
      </c>
      <c r="AM121" s="62">
        <f t="shared" si="59"/>
        <v>961.58918019513249</v>
      </c>
      <c r="AN121" s="62">
        <f ca="1">AVERAGE(OFFSET($AM$3,0,0,'Données projet'!$E$10+1,1))-AVERAGE(OFFSET($H$3,0,0,'Données projet'!$E$10+1,1))</f>
        <v>384.44848355636935</v>
      </c>
      <c r="AO121" s="62">
        <f t="shared" si="90"/>
        <v>203.5274665601915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4.5</v>
      </c>
      <c r="BD121" s="13">
        <f>IF('Données projet'!$A$88&gt;35,BD120+BC121-BL120,IF(A121&lt;'Données projet'!$A$88,$BA$205^A121,IF(A121='Données projet'!$A$88,'Données projet'!$B$88,BD120+BC121-BL120)))</f>
        <v>342.99999999999966</v>
      </c>
      <c r="BE121" s="14">
        <f>BD121*VLOOKUP('Données projet'!$B$11,Paramètres!$A$1:$I$89,3,0)*VLOOKUP('Données projet'!$B$11,Paramètres!$A$1:$I$89,5,0)</f>
        <v>347.80199999999968</v>
      </c>
      <c r="BF121" s="14">
        <f t="shared" si="91"/>
        <v>81.109754402608502</v>
      </c>
      <c r="BG121" s="22">
        <f t="shared" si="61"/>
        <v>747.02130558454246</v>
      </c>
      <c r="BH121" s="62">
        <f t="shared" si="62"/>
        <v>1040.3546389178757</v>
      </c>
      <c r="BI121" s="62">
        <f ca="1">AVERAGE(OFFSET($BH$3,0,0,'Données projet'!$E$11+1,1))-AVERAGE(OFFSET($H$3,0,0,'Données projet'!$E$11+1,1))</f>
        <v>440.60698566758532</v>
      </c>
      <c r="BJ121" s="62">
        <f t="shared" si="92"/>
        <v>231.92898690465887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287.29865338866551</v>
      </c>
      <c r="CE121" s="62">
        <f t="shared" si="94"/>
        <v>217.57508587672368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0.95492658316748102</v>
      </c>
      <c r="CM121" s="23">
        <f>EXP(-LN(2)/2)*CM120+(1-EXP(-LN(2)/2))/(LN(2)/2)*CG121*CJ121*VLOOKUP('Données projet'!$B$12,Paramètres!$A$1:$I$89,3,0)*0.475*44/12</f>
        <v>7.3135794607989551E-13</v>
      </c>
      <c r="CN121" s="24">
        <f t="shared" si="66"/>
        <v>0.95492658316821233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175.05987582828078</v>
      </c>
      <c r="CZ121" s="62">
        <f t="shared" si="96"/>
        <v>268.54782308462387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0.79157656018061717</v>
      </c>
      <c r="DH121" s="23">
        <f>EXP(-LN(2)/2)*DH120+(1-EXP(-LN(2)/2))/(LN(2)/2)*DB121*DE121*VLOOKUP('Données projet'!$B$13,Paramètres!$A$1:$I$89,3,0)*0.475*44/12</f>
        <v>7.1901026789692914E-13</v>
      </c>
      <c r="DI121" s="24">
        <f t="shared" si="69"/>
        <v>0.79157656018133615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-5.6843418860808015E-14</v>
      </c>
      <c r="DP121" s="18">
        <f>DO121*VLOOKUP('Données projet'!$B$14,Paramètres!$A$1:$I$89,3,0)*VLOOKUP('Données projet'!$B$14,Paramètres!$A$1:$I$89,5,0)</f>
        <v>-3.2514435588382188E-14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228.06050741667258</v>
      </c>
      <c r="DU121" s="62">
        <f t="shared" si="98"/>
        <v>191.94885821983536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1.6390664284292924</v>
      </c>
      <c r="EC121" s="23">
        <f>EXP(-LN(2)/2)*EC120+(1-EXP(-LN(2)/2))/(LN(2)/2)*DW121*DZ121*VLOOKUP('Données projet'!$B$14,Paramètres!$A$1:$I$89,3,0)*0.475*44/12</f>
        <v>5.8331278152563618E-12</v>
      </c>
      <c r="ED121" s="24">
        <f t="shared" si="72"/>
        <v>1.6390664284351255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-5.6843418860808015E-14</v>
      </c>
      <c r="EK121" s="18">
        <f>EJ121*VLOOKUP('Données projet'!$B$15,Paramètres!$A$1:$I$89,3,0)*VLOOKUP('Données projet'!$B$15,Paramètres!$A$1:$I$89,5,0)</f>
        <v>-5.1431925385259088E-14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315.23521260143986</v>
      </c>
      <c r="EP121" s="62">
        <f t="shared" si="100"/>
        <v>439.11021845472641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-3.4106051316484809E-13</v>
      </c>
      <c r="O122" s="14">
        <f>N122*VLOOKUP('Données projet'!$B$9,Paramètres!$A$1:$I$89,3,0)*VLOOKUP('Données projet'!$B$9,Paramètres!$A$1:$I$89,5,0)</f>
        <v>-1.9065282685915009E-13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302.20483575440988</v>
      </c>
      <c r="T122" s="62">
        <f t="shared" si="88"/>
        <v>275.32862097158687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1.8881746636347572</v>
      </c>
      <c r="AB122" s="23">
        <f>EXP(-LN(2)/2)*AB121+(1-EXP(-LN(2)/2))/(LN(2)/2)*V122*Y122*VLOOKUP('Données projet'!$B$9,Paramètres!$A$1:$I$89,3,0)*0.475*44/12</f>
        <v>4.4245079041004472E-13</v>
      </c>
      <c r="AC122" s="24">
        <f t="shared" si="57"/>
        <v>1.8881746636351997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4.5</v>
      </c>
      <c r="AI122" s="14">
        <f>IF('Données projet'!$A$62&gt;35,AI121+AH122-AQ121,IF(A122&lt;'Données projet'!$A$62,$AF$205^A122,IF(A122='Données projet'!$A$62,'Données projet'!$B$62,AI121+AH122-AQ121)))</f>
        <v>347.49999999999966</v>
      </c>
      <c r="AJ122" s="14">
        <f>AI122*VLOOKUP('Données projet'!$B$10,Paramètres!$A$1:$I$89,3,0)*VLOOKUP('Données projet'!$B$10,Paramètres!$A$1:$I$89,5,0)</f>
        <v>314.41799999999967</v>
      </c>
      <c r="AK122" s="14">
        <f t="shared" si="89"/>
        <v>74.190723151497266</v>
      </c>
      <c r="AL122" s="22">
        <f t="shared" si="58"/>
        <v>676.82685948885705</v>
      </c>
      <c r="AM122" s="62">
        <f t="shared" si="59"/>
        <v>970.16019282219031</v>
      </c>
      <c r="AN122" s="62">
        <f ca="1">AVERAGE(OFFSET($AM$3,0,0,'Données projet'!$E$10+1,1))-AVERAGE(OFFSET($H$3,0,0,'Données projet'!$E$10+1,1))</f>
        <v>384.44848355636935</v>
      </c>
      <c r="AO122" s="62">
        <f t="shared" si="90"/>
        <v>203.5274665601915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4.5</v>
      </c>
      <c r="BD122" s="13">
        <f>IF('Données projet'!$A$88&gt;35,BD121+BC122-BL121,IF(A122&lt;'Données projet'!$A$88,$BA$205^A122,IF(A122='Données projet'!$A$88,'Données projet'!$B$88,BD121+BC122-BL121)))</f>
        <v>347.49999999999966</v>
      </c>
      <c r="BE122" s="14">
        <f>BD122*VLOOKUP('Données projet'!$B$11,Paramètres!$A$1:$I$89,3,0)*VLOOKUP('Données projet'!$B$11,Paramètres!$A$1:$I$89,5,0)</f>
        <v>352.36499999999967</v>
      </c>
      <c r="BF122" s="14">
        <f t="shared" si="91"/>
        <v>82.049298267873496</v>
      </c>
      <c r="BG122" s="22">
        <f t="shared" si="61"/>
        <v>756.60490281654575</v>
      </c>
      <c r="BH122" s="62">
        <f t="shared" si="62"/>
        <v>1049.938236149879</v>
      </c>
      <c r="BI122" s="62">
        <f ca="1">AVERAGE(OFFSET($BH$3,0,0,'Données projet'!$E$11+1,1))-AVERAGE(OFFSET($H$3,0,0,'Données projet'!$E$11+1,1))</f>
        <v>440.60698566758532</v>
      </c>
      <c r="BJ122" s="62">
        <f t="shared" si="92"/>
        <v>231.92898690465887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287.29865338866551</v>
      </c>
      <c r="CE122" s="62">
        <f t="shared" si="94"/>
        <v>217.57508587672368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0.92881406553335977</v>
      </c>
      <c r="CM122" s="23">
        <f>EXP(-LN(2)/2)*CM121+(1-EXP(-LN(2)/2))/(LN(2)/2)*CG122*CJ122*VLOOKUP('Données projet'!$B$12,Paramètres!$A$1:$I$89,3,0)*0.475*44/12</f>
        <v>5.1714816314775949E-13</v>
      </c>
      <c r="CN122" s="24">
        <f t="shared" si="66"/>
        <v>0.92881406553387691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175.05987582828078</v>
      </c>
      <c r="CZ122" s="62">
        <f t="shared" si="96"/>
        <v>268.54782308462387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0.76993085751527612</v>
      </c>
      <c r="DH122" s="23">
        <f>EXP(-LN(2)/2)*DH121+(1-EXP(-LN(2)/2))/(LN(2)/2)*DB122*DE122*VLOOKUP('Données projet'!$B$13,Paramètres!$A$1:$I$89,3,0)*0.475*44/12</f>
        <v>5.0841703617267478E-13</v>
      </c>
      <c r="DI122" s="24">
        <f t="shared" si="69"/>
        <v>0.76993085751578449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-5.6843418860808015E-14</v>
      </c>
      <c r="DP122" s="18">
        <f>DO122*VLOOKUP('Données projet'!$B$14,Paramètres!$A$1:$I$89,3,0)*VLOOKUP('Données projet'!$B$14,Paramètres!$A$1:$I$89,5,0)</f>
        <v>-3.2514435588382188E-14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228.06050741667258</v>
      </c>
      <c r="DU122" s="62">
        <f t="shared" si="98"/>
        <v>191.94885821983536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1.5942460707491362</v>
      </c>
      <c r="EC122" s="23">
        <f>EXP(-LN(2)/2)*EC121+(1-EXP(-LN(2)/2))/(LN(2)/2)*DW122*DZ122*VLOOKUP('Données projet'!$B$14,Paramètres!$A$1:$I$89,3,0)*0.475*44/12</f>
        <v>4.1246442336956442E-12</v>
      </c>
      <c r="ED122" s="24">
        <f t="shared" si="72"/>
        <v>1.5942460707532609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-5.6843418860808015E-14</v>
      </c>
      <c r="EK122" s="18">
        <f>EJ122*VLOOKUP('Données projet'!$B$15,Paramètres!$A$1:$I$89,3,0)*VLOOKUP('Données projet'!$B$15,Paramètres!$A$1:$I$89,5,0)</f>
        <v>-5.1431925385259088E-14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315.23521260143986</v>
      </c>
      <c r="EP122" s="62">
        <f t="shared" si="100"/>
        <v>439.11021845472641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-3.4106051316484809E-13</v>
      </c>
      <c r="O123" s="14">
        <f>N123*VLOOKUP('Données projet'!$B$9,Paramètres!$A$1:$I$89,3,0)*VLOOKUP('Données projet'!$B$9,Paramètres!$A$1:$I$89,5,0)</f>
        <v>-1.9065282685915009E-13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302.20483575440988</v>
      </c>
      <c r="T123" s="62">
        <f t="shared" si="88"/>
        <v>275.32862097158687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1.8365424281628746</v>
      </c>
      <c r="AB123" s="23">
        <f>EXP(-LN(2)/2)*AB122+(1-EXP(-LN(2)/2))/(LN(2)/2)*V123*Y123*VLOOKUP('Données projet'!$B$9,Paramètres!$A$1:$I$89,3,0)*0.475*44/12</f>
        <v>3.128599542402905E-13</v>
      </c>
      <c r="AC123" s="24">
        <f t="shared" si="57"/>
        <v>1.8365424281631875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352</v>
      </c>
      <c r="AG123" s="13">
        <f>VLOOKUP(A123,'Données projet'!$A$61:$I$81,9,0)</f>
        <v>4.5</v>
      </c>
      <c r="AH123" s="13">
        <f t="array" ref="AH123">INDEX(AG:AG,MIN(IF(ISNUMBER(AG123:AG319),ROW(AG123:AG319),"")))</f>
        <v>4.5</v>
      </c>
      <c r="AI123" s="14">
        <f>IF('Données projet'!$A$62&gt;35,AI122+AH123-AQ122,IF(A123&lt;'Données projet'!$A$62,$AF$205^A123,IF(A123='Données projet'!$A$62,'Données projet'!$B$62,AI122+AH123-AQ122)))</f>
        <v>351.99999999999966</v>
      </c>
      <c r="AJ123" s="14">
        <f>AI123*VLOOKUP('Données projet'!$B$10,Paramètres!$A$1:$I$89,3,0)*VLOOKUP('Données projet'!$B$10,Paramètres!$A$1:$I$89,5,0)</f>
        <v>318.48959999999971</v>
      </c>
      <c r="AK123" s="14">
        <f t="shared" si="89"/>
        <v>75.038999086150227</v>
      </c>
      <c r="AL123" s="22">
        <f t="shared" si="58"/>
        <v>685.39564340837785</v>
      </c>
      <c r="AM123" s="62">
        <f t="shared" si="59"/>
        <v>978.72897674171122</v>
      </c>
      <c r="AN123" s="62">
        <f ca="1">AVERAGE(OFFSET($AM$3,0,0,'Données projet'!$E$10+1,1))-AVERAGE(OFFSET($H$3,0,0,'Données projet'!$E$10+1,1))</f>
        <v>384.44848355636935</v>
      </c>
      <c r="AO123" s="62">
        <f t="shared" si="90"/>
        <v>203.5274665601915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47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352</v>
      </c>
      <c r="BB123" s="13">
        <f>VLOOKUP(A123,'Données projet'!$A$87:$I$107,9,0)</f>
        <v>4.5</v>
      </c>
      <c r="BC123" s="13">
        <f t="array" ref="BC123">INDEX(BB:BB,MIN(IF(ISNUMBER(BB123:BB319),ROW(BB123:BB319),"")))</f>
        <v>4.5</v>
      </c>
      <c r="BD123" s="13">
        <f>IF('Données projet'!$A$88&gt;35,BD122+BC123-BL122,IF(A123&lt;'Données projet'!$A$88,$BA$205^A123,IF(A123='Données projet'!$A$88,'Données projet'!$B$88,BD122+BC123-BL122)))</f>
        <v>351.99999999999966</v>
      </c>
      <c r="BE123" s="14">
        <f>BD123*VLOOKUP('Données projet'!$B$11,Paramètres!$A$1:$I$89,3,0)*VLOOKUP('Données projet'!$B$11,Paramètres!$A$1:$I$89,5,0)</f>
        <v>356.92799999999966</v>
      </c>
      <c r="BF123" s="14">
        <f t="shared" si="91"/>
        <v>82.987426947838912</v>
      </c>
      <c r="BG123" s="22">
        <f t="shared" si="61"/>
        <v>766.18603526748541</v>
      </c>
      <c r="BH123" s="62">
        <f t="shared" si="62"/>
        <v>1059.5193686008188</v>
      </c>
      <c r="BI123" s="62">
        <f ca="1">AVERAGE(OFFSET($BH$3,0,0,'Données projet'!$E$11+1,1))-AVERAGE(OFFSET($H$3,0,0,'Données projet'!$E$11+1,1))</f>
        <v>440.60698566758532</v>
      </c>
      <c r="BJ123" s="62">
        <f t="shared" si="92"/>
        <v>231.92898690465887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47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287.29865338866551</v>
      </c>
      <c r="CE123" s="62">
        <f t="shared" si="94"/>
        <v>217.57508587672368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0.90341559606714117</v>
      </c>
      <c r="CM123" s="23">
        <f>EXP(-LN(2)/2)*CM122+(1-EXP(-LN(2)/2))/(LN(2)/2)*CG123*CJ123*VLOOKUP('Données projet'!$B$12,Paramètres!$A$1:$I$89,3,0)*0.475*44/12</f>
        <v>3.6567897303994775E-13</v>
      </c>
      <c r="CN123" s="24">
        <f t="shared" si="66"/>
        <v>0.90341559606750688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175.05987582828078</v>
      </c>
      <c r="CZ123" s="62">
        <f t="shared" si="96"/>
        <v>268.54782308462387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0.74887705772761681</v>
      </c>
      <c r="DH123" s="23">
        <f>EXP(-LN(2)/2)*DH122+(1-EXP(-LN(2)/2))/(LN(2)/2)*DB123*DE123*VLOOKUP('Données projet'!$B$13,Paramètres!$A$1:$I$89,3,0)*0.475*44/12</f>
        <v>3.5950513394846457E-13</v>
      </c>
      <c r="DI123" s="24">
        <f t="shared" si="69"/>
        <v>0.7488770577279763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-5.6843418860808015E-14</v>
      </c>
      <c r="DP123" s="18">
        <f>DO123*VLOOKUP('Données projet'!$B$14,Paramètres!$A$1:$I$89,3,0)*VLOOKUP('Données projet'!$B$14,Paramètres!$A$1:$I$89,5,0)</f>
        <v>-3.2514435588382188E-14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228.06050741667258</v>
      </c>
      <c r="DU123" s="62">
        <f t="shared" si="98"/>
        <v>191.94885821983536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1.5506513281067438</v>
      </c>
      <c r="EC123" s="23">
        <f>EXP(-LN(2)/2)*EC122+(1-EXP(-LN(2)/2))/(LN(2)/2)*DW123*DZ123*VLOOKUP('Données projet'!$B$14,Paramètres!$A$1:$I$89,3,0)*0.475*44/12</f>
        <v>2.9165639076281809E-12</v>
      </c>
      <c r="ED123" s="24">
        <f t="shared" si="72"/>
        <v>1.5506513281096603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-5.6843418860808015E-14</v>
      </c>
      <c r="EK123" s="18">
        <f>EJ123*VLOOKUP('Données projet'!$B$15,Paramètres!$A$1:$I$89,3,0)*VLOOKUP('Données projet'!$B$15,Paramètres!$A$1:$I$89,5,0)</f>
        <v>-5.1431925385259088E-14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315.23521260143986</v>
      </c>
      <c r="EP123" s="62">
        <f t="shared" si="100"/>
        <v>439.11021845472641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-3.4106051316484809E-13</v>
      </c>
      <c r="O124" s="14">
        <f>N124*VLOOKUP('Données projet'!$B$9,Paramètres!$A$1:$I$89,3,0)*VLOOKUP('Données projet'!$B$9,Paramètres!$A$1:$I$89,5,0)</f>
        <v>-1.9065282685915009E-13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302.20483575440988</v>
      </c>
      <c r="T124" s="62">
        <f t="shared" si="88"/>
        <v>275.32862097158687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1.7863220788851919</v>
      </c>
      <c r="AB124" s="23">
        <f>EXP(-LN(2)/2)*AB123+(1-EXP(-LN(2)/2))/(LN(2)/2)*V124*Y124*VLOOKUP('Données projet'!$B$9,Paramètres!$A$1:$I$89,3,0)*0.475*44/12</f>
        <v>2.2122539520502238E-13</v>
      </c>
      <c r="AC124" s="24">
        <f t="shared" si="57"/>
        <v>1.7863220788854131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4.2</v>
      </c>
      <c r="AI124" s="14">
        <f>IF('Données projet'!$A$62&gt;35,AI123+AH124-AQ123,IF(A124&lt;'Données projet'!$A$62,$AF$205^A124,IF(A124='Données projet'!$A$62,'Données projet'!$B$62,AI123+AH124-AQ123)))</f>
        <v>309.19999999999965</v>
      </c>
      <c r="AJ124" s="14">
        <f>AI124*VLOOKUP('Données projet'!$B$10,Paramètres!$A$1:$I$89,3,0)*VLOOKUP('Données projet'!$B$10,Paramètres!$A$1:$I$89,5,0)</f>
        <v>279.76415999999966</v>
      </c>
      <c r="AK124" s="14">
        <f t="shared" si="89"/>
        <v>66.917166665547271</v>
      </c>
      <c r="AL124" s="22">
        <f t="shared" si="58"/>
        <v>603.8033106091608</v>
      </c>
      <c r="AM124" s="62">
        <f t="shared" si="59"/>
        <v>897.13664394249417</v>
      </c>
      <c r="AN124" s="62">
        <f ca="1">AVERAGE(OFFSET($AM$3,0,0,'Données projet'!$E$10+1,1))-AVERAGE(OFFSET($H$3,0,0,'Données projet'!$E$10+1,1))</f>
        <v>384.44848355636935</v>
      </c>
      <c r="AO124" s="62">
        <f t="shared" si="90"/>
        <v>203.5274665601915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4.2</v>
      </c>
      <c r="BD124" s="13">
        <f>IF('Données projet'!$A$88&gt;35,BD123+BC124-BL123,IF(A124&lt;'Données projet'!$A$88,$BA$205^A124,IF(A124='Données projet'!$A$88,'Données projet'!$B$88,BD123+BC124-BL123)))</f>
        <v>309.19999999999965</v>
      </c>
      <c r="BE124" s="14">
        <f>BD124*VLOOKUP('Données projet'!$B$11,Paramètres!$A$1:$I$89,3,0)*VLOOKUP('Données projet'!$B$11,Paramètres!$A$1:$I$89,5,0)</f>
        <v>313.52879999999971</v>
      </c>
      <c r="BF124" s="14">
        <f t="shared" si="91"/>
        <v>74.005297883010172</v>
      </c>
      <c r="BG124" s="22">
        <f t="shared" si="61"/>
        <v>674.95522047957547</v>
      </c>
      <c r="BH124" s="62">
        <f t="shared" si="62"/>
        <v>968.28855381290873</v>
      </c>
      <c r="BI124" s="62">
        <f ca="1">AVERAGE(OFFSET($BH$3,0,0,'Données projet'!$E$11+1,1))-AVERAGE(OFFSET($H$3,0,0,'Données projet'!$E$11+1,1))</f>
        <v>440.60698566758532</v>
      </c>
      <c r="BJ124" s="62">
        <f t="shared" si="92"/>
        <v>231.92898690465887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287.29865338866551</v>
      </c>
      <c r="CE124" s="62">
        <f t="shared" si="94"/>
        <v>217.57508587672368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0.8787116490841238</v>
      </c>
      <c r="CM124" s="23">
        <f>EXP(-LN(2)/2)*CM123+(1-EXP(-LN(2)/2))/(LN(2)/2)*CG124*CJ124*VLOOKUP('Données projet'!$B$12,Paramètres!$A$1:$I$89,3,0)*0.475*44/12</f>
        <v>2.5857408157387974E-13</v>
      </c>
      <c r="CN124" s="24">
        <f t="shared" si="66"/>
        <v>0.87871164908438237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175.05987582828078</v>
      </c>
      <c r="CZ124" s="62">
        <f t="shared" si="96"/>
        <v>268.54782308462387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0.72839897520232222</v>
      </c>
      <c r="DH124" s="23">
        <f>EXP(-LN(2)/2)*DH123+(1-EXP(-LN(2)/2))/(LN(2)/2)*DB124*DE124*VLOOKUP('Données projet'!$B$13,Paramètres!$A$1:$I$89,3,0)*0.475*44/12</f>
        <v>2.5420851808633739E-13</v>
      </c>
      <c r="DI124" s="24">
        <f t="shared" si="69"/>
        <v>0.72839897520257646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-5.6843418860808015E-14</v>
      </c>
      <c r="DP124" s="18">
        <f>DO124*VLOOKUP('Données projet'!$B$14,Paramètres!$A$1:$I$89,3,0)*VLOOKUP('Données projet'!$B$14,Paramètres!$A$1:$I$89,5,0)</f>
        <v>-3.2514435588382188E-14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228.06050741667258</v>
      </c>
      <c r="DU124" s="62">
        <f t="shared" si="98"/>
        <v>191.94885821983536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1.5082486859944555</v>
      </c>
      <c r="EC124" s="23">
        <f>EXP(-LN(2)/2)*EC123+(1-EXP(-LN(2)/2))/(LN(2)/2)*DW124*DZ124*VLOOKUP('Données projet'!$B$14,Paramètres!$A$1:$I$89,3,0)*0.475*44/12</f>
        <v>2.0623221168478221E-12</v>
      </c>
      <c r="ED124" s="24">
        <f t="shared" si="72"/>
        <v>1.5082486859965178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-5.6843418860808015E-14</v>
      </c>
      <c r="EK124" s="18">
        <f>EJ124*VLOOKUP('Données projet'!$B$15,Paramètres!$A$1:$I$89,3,0)*VLOOKUP('Données projet'!$B$15,Paramètres!$A$1:$I$89,5,0)</f>
        <v>-5.1431925385259088E-14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315.23521260143986</v>
      </c>
      <c r="EP124" s="62">
        <f t="shared" si="100"/>
        <v>439.11021845472641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-3.4106051316484809E-13</v>
      </c>
      <c r="O125" s="14">
        <f>N125*VLOOKUP('Données projet'!$B$9,Paramètres!$A$1:$I$89,3,0)*VLOOKUP('Données projet'!$B$9,Paramètres!$A$1:$I$89,5,0)</f>
        <v>-1.9065282685915009E-13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302.20483575440988</v>
      </c>
      <c r="T125" s="62">
        <f t="shared" si="88"/>
        <v>275.32862097158687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1.7374750076994809</v>
      </c>
      <c r="AB125" s="23">
        <f>EXP(-LN(2)/2)*AB124+(1-EXP(-LN(2)/2))/(LN(2)/2)*V125*Y125*VLOOKUP('Données projet'!$B$9,Paramètres!$A$1:$I$89,3,0)*0.475*44/12</f>
        <v>1.5642997712014528E-13</v>
      </c>
      <c r="AC125" s="24">
        <f t="shared" si="57"/>
        <v>1.7374750076996373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4.2</v>
      </c>
      <c r="AI125" s="14">
        <f>IF('Données projet'!$A$62&gt;35,AI124+AH125-AQ124,IF(A125&lt;'Données projet'!$A$62,$AF$205^A125,IF(A125='Données projet'!$A$62,'Données projet'!$B$62,AI124+AH125-AQ124)))</f>
        <v>313.39999999999964</v>
      </c>
      <c r="AJ125" s="14">
        <f>AI125*VLOOKUP('Données projet'!$B$10,Paramètres!$A$1:$I$89,3,0)*VLOOKUP('Données projet'!$B$10,Paramètres!$A$1:$I$89,5,0)</f>
        <v>283.56431999999967</v>
      </c>
      <c r="AK125" s="14">
        <f t="shared" si="89"/>
        <v>67.71969673023186</v>
      </c>
      <c r="AL125" s="22">
        <f t="shared" si="58"/>
        <v>611.81966247181992</v>
      </c>
      <c r="AM125" s="62">
        <f t="shared" si="59"/>
        <v>905.1529958051533</v>
      </c>
      <c r="AN125" s="62">
        <f ca="1">AVERAGE(OFFSET($AM$3,0,0,'Données projet'!$E$10+1,1))-AVERAGE(OFFSET($H$3,0,0,'Données projet'!$E$10+1,1))</f>
        <v>384.44848355636935</v>
      </c>
      <c r="AO125" s="62">
        <f t="shared" si="90"/>
        <v>203.5274665601915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4.2</v>
      </c>
      <c r="BD125" s="13">
        <f>IF('Données projet'!$A$88&gt;35,BD124+BC125-BL124,IF(A125&lt;'Données projet'!$A$88,$BA$205^A125,IF(A125='Données projet'!$A$88,'Données projet'!$B$88,BD124+BC125-BL124)))</f>
        <v>313.39999999999964</v>
      </c>
      <c r="BE125" s="14">
        <f>BD125*VLOOKUP('Données projet'!$B$11,Paramètres!$A$1:$I$89,3,0)*VLOOKUP('Données projet'!$B$11,Paramètres!$A$1:$I$89,5,0)</f>
        <v>317.78759999999966</v>
      </c>
      <c r="BF125" s="14">
        <f t="shared" si="91"/>
        <v>74.892835109352845</v>
      </c>
      <c r="BG125" s="22">
        <f t="shared" si="61"/>
        <v>683.9184244821223</v>
      </c>
      <c r="BH125" s="62">
        <f t="shared" si="62"/>
        <v>977.25175781545568</v>
      </c>
      <c r="BI125" s="62">
        <f ca="1">AVERAGE(OFFSET($BH$3,0,0,'Données projet'!$E$11+1,1))-AVERAGE(OFFSET($H$3,0,0,'Données projet'!$E$11+1,1))</f>
        <v>440.60698566758532</v>
      </c>
      <c r="BJ125" s="62">
        <f t="shared" si="92"/>
        <v>231.92898690465887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287.29865338866551</v>
      </c>
      <c r="CE125" s="62">
        <f t="shared" si="94"/>
        <v>217.57508587672368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0.85468323283048109</v>
      </c>
      <c r="CM125" s="23">
        <f>EXP(-LN(2)/2)*CM124+(1-EXP(-LN(2)/2))/(LN(2)/2)*CG125*CJ125*VLOOKUP('Données projet'!$B$12,Paramètres!$A$1:$I$89,3,0)*0.475*44/12</f>
        <v>1.8283948651997388E-13</v>
      </c>
      <c r="CN125" s="24">
        <f t="shared" si="66"/>
        <v>0.85468323283066394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175.05987582828078</v>
      </c>
      <c r="CZ125" s="62">
        <f t="shared" si="96"/>
        <v>268.54782308462387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0.70848086692057743</v>
      </c>
      <c r="DH125" s="23">
        <f>EXP(-LN(2)/2)*DH124+(1-EXP(-LN(2)/2))/(LN(2)/2)*DB125*DE125*VLOOKUP('Données projet'!$B$13,Paramètres!$A$1:$I$89,3,0)*0.475*44/12</f>
        <v>1.7975256697423228E-13</v>
      </c>
      <c r="DI125" s="24">
        <f t="shared" si="69"/>
        <v>0.70848086692075718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-5.6843418860808015E-14</v>
      </c>
      <c r="DP125" s="18">
        <f>DO125*VLOOKUP('Données projet'!$B$14,Paramètres!$A$1:$I$89,3,0)*VLOOKUP('Données projet'!$B$14,Paramètres!$A$1:$I$89,5,0)</f>
        <v>-3.2514435588382188E-14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228.06050741667258</v>
      </c>
      <c r="DU125" s="62">
        <f t="shared" si="98"/>
        <v>191.94885821983536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1.4670055463605858</v>
      </c>
      <c r="EC125" s="23">
        <f>EXP(-LN(2)/2)*EC124+(1-EXP(-LN(2)/2))/(LN(2)/2)*DW125*DZ125*VLOOKUP('Données projet'!$B$14,Paramètres!$A$1:$I$89,3,0)*0.475*44/12</f>
        <v>1.4582819538140905E-12</v>
      </c>
      <c r="ED125" s="24">
        <f t="shared" si="72"/>
        <v>1.4670055463620442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-5.6843418860808015E-14</v>
      </c>
      <c r="EK125" s="18">
        <f>EJ125*VLOOKUP('Données projet'!$B$15,Paramètres!$A$1:$I$89,3,0)*VLOOKUP('Données projet'!$B$15,Paramètres!$A$1:$I$89,5,0)</f>
        <v>-5.1431925385259088E-14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315.23521260143986</v>
      </c>
      <c r="EP125" s="62">
        <f t="shared" si="100"/>
        <v>439.11021845472641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-3.4106051316484809E-13</v>
      </c>
      <c r="O126" s="14">
        <f>N126*VLOOKUP('Données projet'!$B$9,Paramètres!$A$1:$I$89,3,0)*VLOOKUP('Données projet'!$B$9,Paramètres!$A$1:$I$89,5,0)</f>
        <v>-1.9065282685915009E-13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302.20483575440988</v>
      </c>
      <c r="T126" s="62">
        <f t="shared" si="88"/>
        <v>275.32862097158687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1.689963662244099</v>
      </c>
      <c r="AB126" s="23">
        <f>EXP(-LN(2)/2)*AB125+(1-EXP(-LN(2)/2))/(LN(2)/2)*V126*Y126*VLOOKUP('Données projet'!$B$9,Paramètres!$A$1:$I$89,3,0)*0.475*44/12</f>
        <v>1.106126976025112E-13</v>
      </c>
      <c r="AC126" s="24">
        <f t="shared" si="57"/>
        <v>1.6899636622442096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4.2</v>
      </c>
      <c r="AI126" s="14">
        <f>IF('Données projet'!$A$62&gt;35,AI125+AH126-AQ125,IF(A126&lt;'Données projet'!$A$62,$AF$205^A126,IF(A126='Données projet'!$A$62,'Données projet'!$B$62,AI125+AH126-AQ125)))</f>
        <v>317.59999999999962</v>
      </c>
      <c r="AJ126" s="14">
        <f>AI126*VLOOKUP('Données projet'!$B$10,Paramètres!$A$1:$I$89,3,0)*VLOOKUP('Données projet'!$B$10,Paramètres!$A$1:$I$89,5,0)</f>
        <v>287.36447999999967</v>
      </c>
      <c r="AK126" s="14">
        <f t="shared" si="89"/>
        <v>68.52097584579333</v>
      </c>
      <c r="AL126" s="22">
        <f t="shared" si="58"/>
        <v>619.83383559808942</v>
      </c>
      <c r="AM126" s="62">
        <f t="shared" si="59"/>
        <v>913.16716893142279</v>
      </c>
      <c r="AN126" s="62">
        <f ca="1">AVERAGE(OFFSET($AM$3,0,0,'Données projet'!$E$10+1,1))-AVERAGE(OFFSET($H$3,0,0,'Données projet'!$E$10+1,1))</f>
        <v>384.44848355636935</v>
      </c>
      <c r="AO126" s="62">
        <f t="shared" si="90"/>
        <v>203.5274665601915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4.2</v>
      </c>
      <c r="BD126" s="13">
        <f>IF('Données projet'!$A$88&gt;35,BD125+BC126-BL125,IF(A126&lt;'Données projet'!$A$88,$BA$205^A126,IF(A126='Données projet'!$A$88,'Données projet'!$B$88,BD125+BC126-BL125)))</f>
        <v>317.59999999999962</v>
      </c>
      <c r="BE126" s="14">
        <f>BD126*VLOOKUP('Données projet'!$B$11,Paramètres!$A$1:$I$89,3,0)*VLOOKUP('Données projet'!$B$11,Paramètres!$A$1:$I$89,5,0)</f>
        <v>322.04639999999966</v>
      </c>
      <c r="BF126" s="14">
        <f t="shared" si="91"/>
        <v>75.77898888108885</v>
      </c>
      <c r="BG126" s="22">
        <f t="shared" si="61"/>
        <v>692.87921896789578</v>
      </c>
      <c r="BH126" s="62">
        <f t="shared" si="62"/>
        <v>986.21255230122915</v>
      </c>
      <c r="BI126" s="62">
        <f ca="1">AVERAGE(OFFSET($BH$3,0,0,'Données projet'!$E$11+1,1))-AVERAGE(OFFSET($H$3,0,0,'Données projet'!$E$11+1,1))</f>
        <v>440.60698566758532</v>
      </c>
      <c r="BJ126" s="62">
        <f t="shared" si="92"/>
        <v>231.92898690465887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287.29865338866551</v>
      </c>
      <c r="CE126" s="62">
        <f t="shared" si="94"/>
        <v>217.57508587672368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0.83131187488289382</v>
      </c>
      <c r="CM126" s="23">
        <f>EXP(-LN(2)/2)*CM125+(1-EXP(-LN(2)/2))/(LN(2)/2)*CG126*CJ126*VLOOKUP('Données projet'!$B$12,Paramètres!$A$1:$I$89,3,0)*0.475*44/12</f>
        <v>1.2928704078693987E-13</v>
      </c>
      <c r="CN126" s="24">
        <f t="shared" si="66"/>
        <v>0.83131187488302316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175.05987582828078</v>
      </c>
      <c r="CZ126" s="62">
        <f t="shared" si="96"/>
        <v>268.54782308462387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0.6891074203572447</v>
      </c>
      <c r="DH126" s="23">
        <f>EXP(-LN(2)/2)*DH125+(1-EXP(-LN(2)/2))/(LN(2)/2)*DB126*DE126*VLOOKUP('Données projet'!$B$13,Paramètres!$A$1:$I$89,3,0)*0.475*44/12</f>
        <v>1.271042590431687E-13</v>
      </c>
      <c r="DI126" s="24">
        <f t="shared" si="69"/>
        <v>0.68910742035737182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-5.6843418860808015E-14</v>
      </c>
      <c r="DP126" s="18">
        <f>DO126*VLOOKUP('Données projet'!$B$14,Paramètres!$A$1:$I$89,3,0)*VLOOKUP('Données projet'!$B$14,Paramètres!$A$1:$I$89,5,0)</f>
        <v>-3.2514435588382188E-14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228.06050741667258</v>
      </c>
      <c r="DU126" s="62">
        <f t="shared" si="98"/>
        <v>191.94885821983536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1.4268902025488868</v>
      </c>
      <c r="EC126" s="23">
        <f>EXP(-LN(2)/2)*EC125+(1-EXP(-LN(2)/2))/(LN(2)/2)*DW126*DZ126*VLOOKUP('Données projet'!$B$14,Paramètres!$A$1:$I$89,3,0)*0.475*44/12</f>
        <v>1.031161058423911E-12</v>
      </c>
      <c r="ED126" s="24">
        <f t="shared" si="72"/>
        <v>1.4268902025499179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-5.6843418860808015E-14</v>
      </c>
      <c r="EK126" s="18">
        <f>EJ126*VLOOKUP('Données projet'!$B$15,Paramètres!$A$1:$I$89,3,0)*VLOOKUP('Données projet'!$B$15,Paramètres!$A$1:$I$89,5,0)</f>
        <v>-5.1431925385259088E-14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315.23521260143986</v>
      </c>
      <c r="EP126" s="62">
        <f t="shared" si="100"/>
        <v>439.11021845472641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-3.4106051316484809E-13</v>
      </c>
      <c r="O127" s="14">
        <f>N127*VLOOKUP('Données projet'!$B$9,Paramètres!$A$1:$I$89,3,0)*VLOOKUP('Données projet'!$B$9,Paramètres!$A$1:$I$89,5,0)</f>
        <v>-1.9065282685915009E-13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302.20483575440988</v>
      </c>
      <c r="T127" s="62">
        <f t="shared" si="88"/>
        <v>275.32862097158687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1.6437515170287076</v>
      </c>
      <c r="AB127" s="23">
        <f>EXP(-LN(2)/2)*AB126+(1-EXP(-LN(2)/2))/(LN(2)/2)*V127*Y127*VLOOKUP('Données projet'!$B$9,Paramètres!$A$1:$I$89,3,0)*0.475*44/12</f>
        <v>7.8214988560072651E-14</v>
      </c>
      <c r="AC127" s="24">
        <f t="shared" si="57"/>
        <v>1.6437515170287857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4.2</v>
      </c>
      <c r="AI127" s="14">
        <f>IF('Données projet'!$A$62&gt;35,AI126+AH127-AQ126,IF(A127&lt;'Données projet'!$A$62,$AF$205^A127,IF(A127='Données projet'!$A$62,'Données projet'!$B$62,AI126+AH127-AQ126)))</f>
        <v>321.79999999999961</v>
      </c>
      <c r="AJ127" s="14">
        <f>AI127*VLOOKUP('Données projet'!$B$10,Paramètres!$A$1:$I$89,3,0)*VLOOKUP('Données projet'!$B$10,Paramètres!$A$1:$I$89,5,0)</f>
        <v>291.16463999999962</v>
      </c>
      <c r="AK127" s="14">
        <f t="shared" si="89"/>
        <v>69.321022467464573</v>
      </c>
      <c r="AL127" s="22">
        <f t="shared" si="58"/>
        <v>627.84586213083344</v>
      </c>
      <c r="AM127" s="62">
        <f t="shared" si="59"/>
        <v>921.1791954641667</v>
      </c>
      <c r="AN127" s="62">
        <f ca="1">AVERAGE(OFFSET($AM$3,0,0,'Données projet'!$E$10+1,1))-AVERAGE(OFFSET($H$3,0,0,'Données projet'!$E$10+1,1))</f>
        <v>384.44848355636935</v>
      </c>
      <c r="AO127" s="62">
        <f t="shared" si="90"/>
        <v>203.5274665601915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4.2</v>
      </c>
      <c r="BD127" s="13">
        <f>IF('Données projet'!$A$88&gt;35,BD126+BC127-BL126,IF(A127&lt;'Données projet'!$A$88,$BA$205^A127,IF(A127='Données projet'!$A$88,'Données projet'!$B$88,BD126+BC127-BL126)))</f>
        <v>321.79999999999961</v>
      </c>
      <c r="BE127" s="14">
        <f>BD127*VLOOKUP('Données projet'!$B$11,Paramètres!$A$1:$I$89,3,0)*VLOOKUP('Données projet'!$B$11,Paramètres!$A$1:$I$89,5,0)</f>
        <v>326.30519999999962</v>
      </c>
      <c r="BF127" s="14">
        <f t="shared" si="91"/>
        <v>76.663779608302278</v>
      </c>
      <c r="BG127" s="22">
        <f t="shared" si="61"/>
        <v>701.83763948445903</v>
      </c>
      <c r="BH127" s="62">
        <f t="shared" si="62"/>
        <v>995.17097281779229</v>
      </c>
      <c r="BI127" s="62">
        <f ca="1">AVERAGE(OFFSET($BH$3,0,0,'Données projet'!$E$11+1,1))-AVERAGE(OFFSET($H$3,0,0,'Données projet'!$E$11+1,1))</f>
        <v>440.60698566758532</v>
      </c>
      <c r="BJ127" s="62">
        <f t="shared" si="92"/>
        <v>231.92898690465887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287.29865338866551</v>
      </c>
      <c r="CE127" s="62">
        <f t="shared" si="94"/>
        <v>217.57508587672368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0.80857960794742956</v>
      </c>
      <c r="CM127" s="23">
        <f>EXP(-LN(2)/2)*CM126+(1-EXP(-LN(2)/2))/(LN(2)/2)*CG127*CJ127*VLOOKUP('Données projet'!$B$12,Paramètres!$A$1:$I$89,3,0)*0.475*44/12</f>
        <v>9.1419743259986939E-14</v>
      </c>
      <c r="CN127" s="24">
        <f t="shared" si="66"/>
        <v>0.80857960794752093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175.05987582828078</v>
      </c>
      <c r="CZ127" s="62">
        <f t="shared" si="96"/>
        <v>268.54782308462387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0.67026374170899161</v>
      </c>
      <c r="DH127" s="23">
        <f>EXP(-LN(2)/2)*DH126+(1-EXP(-LN(2)/2))/(LN(2)/2)*DB127*DE127*VLOOKUP('Données projet'!$B$13,Paramètres!$A$1:$I$89,3,0)*0.475*44/12</f>
        <v>8.9876283487116142E-14</v>
      </c>
      <c r="DI127" s="24">
        <f t="shared" si="69"/>
        <v>0.67026374170908154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-5.6843418860808015E-14</v>
      </c>
      <c r="DP127" s="18">
        <f>DO127*VLOOKUP('Données projet'!$B$14,Paramètres!$A$1:$I$89,3,0)*VLOOKUP('Données projet'!$B$14,Paramètres!$A$1:$I$89,5,0)</f>
        <v>-3.2514435588382188E-14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228.06050741667258</v>
      </c>
      <c r="DU127" s="62">
        <f t="shared" si="98"/>
        <v>191.94885821983536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1.3878718149232929</v>
      </c>
      <c r="EC127" s="23">
        <f>EXP(-LN(2)/2)*EC126+(1-EXP(-LN(2)/2))/(LN(2)/2)*DW127*DZ127*VLOOKUP('Données projet'!$B$14,Paramètres!$A$1:$I$89,3,0)*0.475*44/12</f>
        <v>7.2914097690704523E-13</v>
      </c>
      <c r="ED127" s="24">
        <f t="shared" si="72"/>
        <v>1.3878718149240221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-5.6843418860808015E-14</v>
      </c>
      <c r="EK127" s="18">
        <f>EJ127*VLOOKUP('Données projet'!$B$15,Paramètres!$A$1:$I$89,3,0)*VLOOKUP('Données projet'!$B$15,Paramètres!$A$1:$I$89,5,0)</f>
        <v>-5.1431925385259088E-14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315.23521260143986</v>
      </c>
      <c r="EP127" s="62">
        <f t="shared" si="100"/>
        <v>439.11021845472641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-3.4106051316484809E-13</v>
      </c>
      <c r="O128" s="14">
        <f>N128*VLOOKUP('Données projet'!$B$9,Paramètres!$A$1:$I$89,3,0)*VLOOKUP('Données projet'!$B$9,Paramètres!$A$1:$I$89,5,0)</f>
        <v>-1.9065282685915009E-13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302.20483575440988</v>
      </c>
      <c r="T128" s="62">
        <f t="shared" si="88"/>
        <v>275.32862097158687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1.5988030453544222</v>
      </c>
      <c r="AB128" s="23">
        <f>EXP(-LN(2)/2)*AB127+(1-EXP(-LN(2)/2))/(LN(2)/2)*V128*Y128*VLOOKUP('Données projet'!$B$9,Paramètres!$A$1:$I$89,3,0)*0.475*44/12</f>
        <v>5.5306348801255615E-14</v>
      </c>
      <c r="AC128" s="24">
        <f t="shared" si="57"/>
        <v>1.5988030453544775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4.2</v>
      </c>
      <c r="AI128" s="14">
        <f>IF('Données projet'!$A$62&gt;35,AI127+AH128-AQ127,IF(A128&lt;'Données projet'!$A$62,$AF$205^A128,IF(A128='Données projet'!$A$62,'Données projet'!$B$62,AI127+AH128-AQ127)))</f>
        <v>325.9999999999996</v>
      </c>
      <c r="AJ128" s="14">
        <f>AI128*VLOOKUP('Données projet'!$B$10,Paramètres!$A$1:$I$89,3,0)*VLOOKUP('Données projet'!$B$10,Paramètres!$A$1:$I$89,5,0)</f>
        <v>294.96479999999963</v>
      </c>
      <c r="AK128" s="14">
        <f t="shared" si="89"/>
        <v>70.119854541045001</v>
      </c>
      <c r="AL128" s="22">
        <f t="shared" si="58"/>
        <v>635.85577332565276</v>
      </c>
      <c r="AM128" s="62">
        <f t="shared" si="59"/>
        <v>929.18910665898602</v>
      </c>
      <c r="AN128" s="62">
        <f ca="1">AVERAGE(OFFSET($AM$3,0,0,'Données projet'!$E$10+1,1))-AVERAGE(OFFSET($H$3,0,0,'Données projet'!$E$10+1,1))</f>
        <v>384.44848355636935</v>
      </c>
      <c r="AO128" s="62">
        <f t="shared" si="90"/>
        <v>203.5274665601915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4.2</v>
      </c>
      <c r="BD128" s="13">
        <f>IF('Données projet'!$A$88&gt;35,BD127+BC128-BL127,IF(A128&lt;'Données projet'!$A$88,$BA$205^A128,IF(A128='Données projet'!$A$88,'Données projet'!$B$88,BD127+BC128-BL127)))</f>
        <v>325.9999999999996</v>
      </c>
      <c r="BE128" s="14">
        <f>BD128*VLOOKUP('Données projet'!$B$11,Paramètres!$A$1:$I$89,3,0)*VLOOKUP('Données projet'!$B$11,Paramètres!$A$1:$I$89,5,0)</f>
        <v>330.56399999999962</v>
      </c>
      <c r="BF128" s="14">
        <f t="shared" si="91"/>
        <v>77.547227137682782</v>
      </c>
      <c r="BG128" s="22">
        <f t="shared" si="61"/>
        <v>710.79372059813011</v>
      </c>
      <c r="BH128" s="62">
        <f t="shared" si="62"/>
        <v>1004.1270539314635</v>
      </c>
      <c r="BI128" s="62">
        <f ca="1">AVERAGE(OFFSET($BH$3,0,0,'Données projet'!$E$11+1,1))-AVERAGE(OFFSET($H$3,0,0,'Données projet'!$E$11+1,1))</f>
        <v>440.60698566758532</v>
      </c>
      <c r="BJ128" s="62">
        <f t="shared" si="92"/>
        <v>231.92898690465887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287.29865338866551</v>
      </c>
      <c r="CE128" s="62">
        <f t="shared" si="94"/>
        <v>217.57508587672368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0.7864689560467536</v>
      </c>
      <c r="CM128" s="23">
        <f>EXP(-LN(2)/2)*CM127+(1-EXP(-LN(2)/2))/(LN(2)/2)*CG128*CJ128*VLOOKUP('Données projet'!$B$12,Paramètres!$A$1:$I$89,3,0)*0.475*44/12</f>
        <v>6.4643520393469936E-14</v>
      </c>
      <c r="CN128" s="24">
        <f t="shared" si="66"/>
        <v>0.78646895604681821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175.05987582828078</v>
      </c>
      <c r="CZ128" s="62">
        <f t="shared" si="96"/>
        <v>268.54782308462387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0.651935344444321</v>
      </c>
      <c r="DH128" s="23">
        <f>EXP(-LN(2)/2)*DH127+(1-EXP(-LN(2)/2))/(LN(2)/2)*DB128*DE128*VLOOKUP('Données projet'!$B$13,Paramètres!$A$1:$I$89,3,0)*0.475*44/12</f>
        <v>6.3552129521584348E-14</v>
      </c>
      <c r="DI128" s="24">
        <f t="shared" si="69"/>
        <v>0.6519353444443845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-5.6843418860808015E-14</v>
      </c>
      <c r="DP128" s="18">
        <f>DO128*VLOOKUP('Données projet'!$B$14,Paramètres!$A$1:$I$89,3,0)*VLOOKUP('Données projet'!$B$14,Paramètres!$A$1:$I$89,5,0)</f>
        <v>-3.2514435588382188E-14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228.06050741667258</v>
      </c>
      <c r="DU128" s="62">
        <f t="shared" si="98"/>
        <v>191.94885821983536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1.3499203871592087</v>
      </c>
      <c r="EC128" s="23">
        <f>EXP(-LN(2)/2)*EC127+(1-EXP(-LN(2)/2))/(LN(2)/2)*DW128*DZ128*VLOOKUP('Données projet'!$B$14,Paramètres!$A$1:$I$89,3,0)*0.475*44/12</f>
        <v>5.1558052921195552E-13</v>
      </c>
      <c r="ED128" s="24">
        <f t="shared" si="72"/>
        <v>1.3499203871597243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-5.6843418860808015E-14</v>
      </c>
      <c r="EK128" s="18">
        <f>EJ128*VLOOKUP('Données projet'!$B$15,Paramètres!$A$1:$I$89,3,0)*VLOOKUP('Données projet'!$B$15,Paramètres!$A$1:$I$89,5,0)</f>
        <v>-5.1431925385259088E-14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315.23521260143986</v>
      </c>
      <c r="EP128" s="62">
        <f t="shared" si="100"/>
        <v>439.11021845472641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-3.4106051316484809E-13</v>
      </c>
      <c r="O129" s="14">
        <f>N129*VLOOKUP('Données projet'!$B$9,Paramètres!$A$1:$I$89,3,0)*VLOOKUP('Données projet'!$B$9,Paramètres!$A$1:$I$89,5,0)</f>
        <v>-1.9065282685915009E-13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302.20483575440988</v>
      </c>
      <c r="T129" s="62">
        <f t="shared" si="88"/>
        <v>275.32862097158687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1.5550836920018074</v>
      </c>
      <c r="AB129" s="23">
        <f>EXP(-LN(2)/2)*AB128+(1-EXP(-LN(2)/2))/(LN(2)/2)*V129*Y129*VLOOKUP('Données projet'!$B$9,Paramètres!$A$1:$I$89,3,0)*0.475*44/12</f>
        <v>3.9107494280036332E-14</v>
      </c>
      <c r="AC129" s="24">
        <f t="shared" si="57"/>
        <v>1.5550836920018465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4.2</v>
      </c>
      <c r="AI129" s="14">
        <f>IF('Données projet'!$A$62&gt;35,AI128+AH129-AQ128,IF(A129&lt;'Données projet'!$A$62,$AF$205^A129,IF(A129='Données projet'!$A$62,'Données projet'!$B$62,AI128+AH129-AQ128)))</f>
        <v>330.19999999999959</v>
      </c>
      <c r="AJ129" s="14">
        <f>AI129*VLOOKUP('Données projet'!$B$10,Paramètres!$A$1:$I$89,3,0)*VLOOKUP('Données projet'!$B$10,Paramètres!$A$1:$I$89,5,0)</f>
        <v>298.76495999999958</v>
      </c>
      <c r="AK129" s="14">
        <f t="shared" si="89"/>
        <v>70.917489523341189</v>
      </c>
      <c r="AL129" s="22">
        <f t="shared" si="58"/>
        <v>643.86359958648518</v>
      </c>
      <c r="AM129" s="62">
        <f t="shared" si="59"/>
        <v>937.19693291981844</v>
      </c>
      <c r="AN129" s="62">
        <f ca="1">AVERAGE(OFFSET($AM$3,0,0,'Données projet'!$E$10+1,1))-AVERAGE(OFFSET($H$3,0,0,'Données projet'!$E$10+1,1))</f>
        <v>384.44848355636935</v>
      </c>
      <c r="AO129" s="62">
        <f t="shared" si="90"/>
        <v>203.5274665601915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4.2</v>
      </c>
      <c r="BD129" s="13">
        <f>IF('Données projet'!$A$88&gt;35,BD128+BC129-BL128,IF(A129&lt;'Données projet'!$A$88,$BA$205^A129,IF(A129='Données projet'!$A$88,'Données projet'!$B$88,BD128+BC129-BL128)))</f>
        <v>330.19999999999959</v>
      </c>
      <c r="BE129" s="14">
        <f>BD129*VLOOKUP('Données projet'!$B$11,Paramètres!$A$1:$I$89,3,0)*VLOOKUP('Données projet'!$B$11,Paramètres!$A$1:$I$89,5,0)</f>
        <v>334.82279999999963</v>
      </c>
      <c r="BF129" s="14">
        <f t="shared" si="91"/>
        <v>78.429350775131056</v>
      </c>
      <c r="BG129" s="22">
        <f t="shared" si="61"/>
        <v>719.74749593335264</v>
      </c>
      <c r="BH129" s="62">
        <f t="shared" si="62"/>
        <v>1013.0808292666859</v>
      </c>
      <c r="BI129" s="62">
        <f ca="1">AVERAGE(OFFSET($BH$3,0,0,'Données projet'!$E$11+1,1))-AVERAGE(OFFSET($H$3,0,0,'Données projet'!$E$11+1,1))</f>
        <v>440.60698566758532</v>
      </c>
      <c r="BJ129" s="62">
        <f t="shared" si="92"/>
        <v>231.92898690465887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287.29865338866551</v>
      </c>
      <c r="CE129" s="62">
        <f t="shared" si="94"/>
        <v>217.57508587672368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0.76496292108505026</v>
      </c>
      <c r="CM129" s="23">
        <f>EXP(-LN(2)/2)*CM128+(1-EXP(-LN(2)/2))/(LN(2)/2)*CG129*CJ129*VLOOKUP('Données projet'!$B$12,Paramètres!$A$1:$I$89,3,0)*0.475*44/12</f>
        <v>4.5709871629993469E-14</v>
      </c>
      <c r="CN129" s="24">
        <f t="shared" si="66"/>
        <v>0.764962921085096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175.05987582828078</v>
      </c>
      <c r="CZ129" s="62">
        <f t="shared" si="96"/>
        <v>268.54782308462387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0.63410813816670131</v>
      </c>
      <c r="DH129" s="23">
        <f>EXP(-LN(2)/2)*DH128+(1-EXP(-LN(2)/2))/(LN(2)/2)*DB129*DE129*VLOOKUP('Données projet'!$B$13,Paramètres!$A$1:$I$89,3,0)*0.475*44/12</f>
        <v>4.4938141743558071E-14</v>
      </c>
      <c r="DI129" s="24">
        <f t="shared" si="69"/>
        <v>0.63410813816674627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-5.6843418860808015E-14</v>
      </c>
      <c r="DP129" s="18">
        <f>DO129*VLOOKUP('Données projet'!$B$14,Paramètres!$A$1:$I$89,3,0)*VLOOKUP('Données projet'!$B$14,Paramètres!$A$1:$I$89,5,0)</f>
        <v>-3.2514435588382188E-14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228.06050741667258</v>
      </c>
      <c r="DU129" s="62">
        <f t="shared" si="98"/>
        <v>191.94885821983536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1.3130067431831123</v>
      </c>
      <c r="EC129" s="23">
        <f>EXP(-LN(2)/2)*EC128+(1-EXP(-LN(2)/2))/(LN(2)/2)*DW129*DZ129*VLOOKUP('Données projet'!$B$14,Paramètres!$A$1:$I$89,3,0)*0.475*44/12</f>
        <v>3.6457048845352262E-13</v>
      </c>
      <c r="ED129" s="24">
        <f t="shared" si="72"/>
        <v>1.3130067431834769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-5.6843418860808015E-14</v>
      </c>
      <c r="EK129" s="18">
        <f>EJ129*VLOOKUP('Données projet'!$B$15,Paramètres!$A$1:$I$89,3,0)*VLOOKUP('Données projet'!$B$15,Paramètres!$A$1:$I$89,5,0)</f>
        <v>-5.1431925385259088E-14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315.23521260143986</v>
      </c>
      <c r="EP129" s="62">
        <f t="shared" si="100"/>
        <v>439.11021845472641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-3.4106051316484809E-13</v>
      </c>
      <c r="O130" s="14">
        <f>N130*VLOOKUP('Données projet'!$B$9,Paramètres!$A$1:$I$89,3,0)*VLOOKUP('Données projet'!$B$9,Paramètres!$A$1:$I$89,5,0)</f>
        <v>-1.9065282685915009E-13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302.20483575440988</v>
      </c>
      <c r="T130" s="62">
        <f t="shared" si="88"/>
        <v>275.32862097158687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1.5125598466657209</v>
      </c>
      <c r="AB130" s="23">
        <f>EXP(-LN(2)/2)*AB129+(1-EXP(-LN(2)/2))/(LN(2)/2)*V130*Y130*VLOOKUP('Données projet'!$B$9,Paramètres!$A$1:$I$89,3,0)*0.475*44/12</f>
        <v>2.7653174400627811E-14</v>
      </c>
      <c r="AC130" s="24">
        <f t="shared" si="57"/>
        <v>1.5125598466657486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4.2</v>
      </c>
      <c r="AI130" s="14">
        <f>IF('Données projet'!$A$62&gt;35,AI129+AH130-AQ129,IF(A130&lt;'Données projet'!$A$62,$AF$205^A130,IF(A130='Données projet'!$A$62,'Données projet'!$B$62,AI129+AH130-AQ129)))</f>
        <v>334.39999999999958</v>
      </c>
      <c r="AJ130" s="14">
        <f>AI130*VLOOKUP('Données projet'!$B$10,Paramètres!$A$1:$I$89,3,0)*VLOOKUP('Données projet'!$B$10,Paramètres!$A$1:$I$89,5,0)</f>
        <v>302.56511999999958</v>
      </c>
      <c r="AK130" s="14">
        <f t="shared" si="89"/>
        <v>71.713944401538271</v>
      </c>
      <c r="AL130" s="22">
        <f t="shared" si="58"/>
        <v>651.86937049934511</v>
      </c>
      <c r="AM130" s="62">
        <f t="shared" si="59"/>
        <v>945.20270383267848</v>
      </c>
      <c r="AN130" s="62">
        <f ca="1">AVERAGE(OFFSET($AM$3,0,0,'Données projet'!$E$10+1,1))-AVERAGE(OFFSET($H$3,0,0,'Données projet'!$E$10+1,1))</f>
        <v>384.44848355636935</v>
      </c>
      <c r="AO130" s="62">
        <f t="shared" si="90"/>
        <v>203.5274665601915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4.2</v>
      </c>
      <c r="BD130" s="13">
        <f>IF('Données projet'!$A$88&gt;35,BD129+BC130-BL129,IF(A130&lt;'Données projet'!$A$88,$BA$205^A130,IF(A130='Données projet'!$A$88,'Données projet'!$B$88,BD129+BC130-BL129)))</f>
        <v>334.39999999999958</v>
      </c>
      <c r="BE130" s="14">
        <f>BD130*VLOOKUP('Données projet'!$B$11,Paramètres!$A$1:$I$89,3,0)*VLOOKUP('Données projet'!$B$11,Paramètres!$A$1:$I$89,5,0)</f>
        <v>339.08159999999958</v>
      </c>
      <c r="BF130" s="14">
        <f t="shared" si="91"/>
        <v>79.310169307181852</v>
      </c>
      <c r="BG130" s="22">
        <f t="shared" si="61"/>
        <v>728.69899821000763</v>
      </c>
      <c r="BH130" s="62">
        <f t="shared" si="62"/>
        <v>1022.0323315433409</v>
      </c>
      <c r="BI130" s="62">
        <f ca="1">AVERAGE(OFFSET($BH$3,0,0,'Données projet'!$E$11+1,1))-AVERAGE(OFFSET($H$3,0,0,'Données projet'!$E$11+1,1))</f>
        <v>440.60698566758532</v>
      </c>
      <c r="BJ130" s="62">
        <f t="shared" si="92"/>
        <v>231.92898690465887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287.29865338866551</v>
      </c>
      <c r="CE130" s="62">
        <f t="shared" si="94"/>
        <v>217.57508587672368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0.74404496978032786</v>
      </c>
      <c r="CM130" s="23">
        <f>EXP(-LN(2)/2)*CM129+(1-EXP(-LN(2)/2))/(LN(2)/2)*CG130*CJ130*VLOOKUP('Données projet'!$B$12,Paramètres!$A$1:$I$89,3,0)*0.475*44/12</f>
        <v>3.2321760196734968E-14</v>
      </c>
      <c r="CN130" s="24">
        <f t="shared" si="66"/>
        <v>0.74404496978036017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175.05987582828078</v>
      </c>
      <c r="CZ130" s="62">
        <f t="shared" si="96"/>
        <v>268.54782308462387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0.61676841778223512</v>
      </c>
      <c r="DH130" s="23">
        <f>EXP(-LN(2)/2)*DH129+(1-EXP(-LN(2)/2))/(LN(2)/2)*DB130*DE130*VLOOKUP('Données projet'!$B$13,Paramètres!$A$1:$I$89,3,0)*0.475*44/12</f>
        <v>3.1776064760792174E-14</v>
      </c>
      <c r="DI130" s="24">
        <f t="shared" si="69"/>
        <v>0.61676841778226688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-5.6843418860808015E-14</v>
      </c>
      <c r="DP130" s="18">
        <f>DO130*VLOOKUP('Données projet'!$B$14,Paramètres!$A$1:$I$89,3,0)*VLOOKUP('Données projet'!$B$14,Paramètres!$A$1:$I$89,5,0)</f>
        <v>-3.2514435588382188E-14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228.06050741667258</v>
      </c>
      <c r="DU130" s="62">
        <f t="shared" si="98"/>
        <v>191.94885821983536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1.2771025047427464</v>
      </c>
      <c r="EC130" s="23">
        <f>EXP(-LN(2)/2)*EC129+(1-EXP(-LN(2)/2))/(LN(2)/2)*DW130*DZ130*VLOOKUP('Données projet'!$B$14,Paramètres!$A$1:$I$89,3,0)*0.475*44/12</f>
        <v>2.5779026460597776E-13</v>
      </c>
      <c r="ED130" s="24">
        <f t="shared" si="72"/>
        <v>1.2771025047430042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-5.6843418860808015E-14</v>
      </c>
      <c r="EK130" s="18">
        <f>EJ130*VLOOKUP('Données projet'!$B$15,Paramètres!$A$1:$I$89,3,0)*VLOOKUP('Données projet'!$B$15,Paramètres!$A$1:$I$89,5,0)</f>
        <v>-5.1431925385259088E-14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315.23521260143986</v>
      </c>
      <c r="EP130" s="62">
        <f t="shared" si="100"/>
        <v>439.11021845472641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-3.4106051316484809E-13</v>
      </c>
      <c r="O131" s="14">
        <f>N131*VLOOKUP('Données projet'!$B$9,Paramètres!$A$1:$I$89,3,0)*VLOOKUP('Données projet'!$B$9,Paramètres!$A$1:$I$89,5,0)</f>
        <v>-1.9065282685915009E-13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302.20483575440988</v>
      </c>
      <c r="T131" s="62">
        <f t="shared" si="88"/>
        <v>275.32862097158687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1.4711988181165814</v>
      </c>
      <c r="AB131" s="23">
        <f>EXP(-LN(2)/2)*AB130+(1-EXP(-LN(2)/2))/(LN(2)/2)*V131*Y131*VLOOKUP('Données projet'!$B$9,Paramètres!$A$1:$I$89,3,0)*0.475*44/12</f>
        <v>1.9553747140018169E-14</v>
      </c>
      <c r="AC131" s="24">
        <f t="shared" si="57"/>
        <v>1.4711988181166009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4.2</v>
      </c>
      <c r="AI131" s="14">
        <f>IF('Données projet'!$A$62&gt;35,AI130+AH131-AQ130,IF(A131&lt;'Données projet'!$A$62,$AF$205^A131,IF(A131='Données projet'!$A$62,'Données projet'!$B$62,AI130+AH131-AQ130)))</f>
        <v>338.59999999999957</v>
      </c>
      <c r="AJ131" s="14">
        <f>AI131*VLOOKUP('Données projet'!$B$10,Paramètres!$A$1:$I$89,3,0)*VLOOKUP('Données projet'!$B$10,Paramètres!$A$1:$I$89,5,0)</f>
        <v>306.36527999999964</v>
      </c>
      <c r="AK131" s="14">
        <f t="shared" si="89"/>
        <v>72.509235711569417</v>
      </c>
      <c r="AL131" s="22">
        <f t="shared" si="58"/>
        <v>659.87311486431611</v>
      </c>
      <c r="AM131" s="62">
        <f t="shared" si="59"/>
        <v>953.20644819764948</v>
      </c>
      <c r="AN131" s="62">
        <f ca="1">AVERAGE(OFFSET($AM$3,0,0,'Données projet'!$E$10+1,1))-AVERAGE(OFFSET($H$3,0,0,'Données projet'!$E$10+1,1))</f>
        <v>384.44848355636935</v>
      </c>
      <c r="AO131" s="62">
        <f t="shared" si="90"/>
        <v>203.5274665601915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4.2</v>
      </c>
      <c r="BD131" s="13">
        <f>IF('Données projet'!$A$88&gt;35,BD130+BC131-BL130,IF(A131&lt;'Données projet'!$A$88,$BA$205^A131,IF(A131='Données projet'!$A$88,'Données projet'!$B$88,BD130+BC131-BL130)))</f>
        <v>338.59999999999957</v>
      </c>
      <c r="BE131" s="14">
        <f>BD131*VLOOKUP('Données projet'!$B$11,Paramètres!$A$1:$I$89,3,0)*VLOOKUP('Données projet'!$B$11,Paramètres!$A$1:$I$89,5,0)</f>
        <v>343.34039999999959</v>
      </c>
      <c r="BF131" s="14">
        <f t="shared" si="91"/>
        <v>80.189701021320118</v>
      </c>
      <c r="BG131" s="22">
        <f t="shared" si="61"/>
        <v>737.64825927879849</v>
      </c>
      <c r="BH131" s="62">
        <f t="shared" si="62"/>
        <v>1030.9815926121319</v>
      </c>
      <c r="BI131" s="62">
        <f ca="1">AVERAGE(OFFSET($BH$3,0,0,'Données projet'!$E$11+1,1))-AVERAGE(OFFSET($H$3,0,0,'Données projet'!$E$11+1,1))</f>
        <v>440.60698566758532</v>
      </c>
      <c r="BJ131" s="62">
        <f t="shared" si="92"/>
        <v>231.92898690465887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287.29865338866551</v>
      </c>
      <c r="CE131" s="62">
        <f t="shared" si="94"/>
        <v>217.57508587672368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0.72369902095406036</v>
      </c>
      <c r="CM131" s="23">
        <f>EXP(-LN(2)/2)*CM130+(1-EXP(-LN(2)/2))/(LN(2)/2)*CG131*CJ131*VLOOKUP('Données projet'!$B$12,Paramètres!$A$1:$I$89,3,0)*0.475*44/12</f>
        <v>2.2854935814996735E-14</v>
      </c>
      <c r="CN131" s="24">
        <f t="shared" si="66"/>
        <v>0.72369902095408323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175.05987582828078</v>
      </c>
      <c r="CZ131" s="62">
        <f t="shared" si="96"/>
        <v>268.54782308462387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0.5999028529635384</v>
      </c>
      <c r="DH131" s="23">
        <f>EXP(-LN(2)/2)*DH130+(1-EXP(-LN(2)/2))/(LN(2)/2)*DB131*DE131*VLOOKUP('Données projet'!$B$13,Paramètres!$A$1:$I$89,3,0)*0.475*44/12</f>
        <v>2.2469070871779035E-14</v>
      </c>
      <c r="DI131" s="24">
        <f t="shared" si="69"/>
        <v>0.59990285296356083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-5.6843418860808015E-14</v>
      </c>
      <c r="DP131" s="18">
        <f>DO131*VLOOKUP('Données projet'!$B$14,Paramètres!$A$1:$I$89,3,0)*VLOOKUP('Données projet'!$B$14,Paramètres!$A$1:$I$89,5,0)</f>
        <v>-3.2514435588382188E-14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228.06050741667258</v>
      </c>
      <c r="DU131" s="62">
        <f t="shared" si="98"/>
        <v>191.94885821983536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1.2421800695906542</v>
      </c>
      <c r="EC131" s="23">
        <f>EXP(-LN(2)/2)*EC130+(1-EXP(-LN(2)/2))/(LN(2)/2)*DW131*DZ131*VLOOKUP('Données projet'!$B$14,Paramètres!$A$1:$I$89,3,0)*0.475*44/12</f>
        <v>1.8228524422676131E-13</v>
      </c>
      <c r="ED131" s="24">
        <f t="shared" si="72"/>
        <v>1.2421800695908365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-5.6843418860808015E-14</v>
      </c>
      <c r="EK131" s="18">
        <f>EJ131*VLOOKUP('Données projet'!$B$15,Paramètres!$A$1:$I$89,3,0)*VLOOKUP('Données projet'!$B$15,Paramètres!$A$1:$I$89,5,0)</f>
        <v>-5.1431925385259088E-14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315.23521260143986</v>
      </c>
      <c r="EP131" s="62">
        <f t="shared" si="100"/>
        <v>439.11021845472641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-3.4106051316484809E-13</v>
      </c>
      <c r="O132" s="14">
        <f>N132*VLOOKUP('Données projet'!$B$9,Paramètres!$A$1:$I$89,3,0)*VLOOKUP('Données projet'!$B$9,Paramètres!$A$1:$I$89,5,0)</f>
        <v>-1.9065282685915009E-13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302.20483575440988</v>
      </c>
      <c r="T132" s="62">
        <f t="shared" si="88"/>
        <v>275.32862097158687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1.4309688090682</v>
      </c>
      <c r="AB132" s="23">
        <f>EXP(-LN(2)/2)*AB131+(1-EXP(-LN(2)/2))/(LN(2)/2)*V132*Y132*VLOOKUP('Données projet'!$B$9,Paramètres!$A$1:$I$89,3,0)*0.475*44/12</f>
        <v>1.3826587200313908E-14</v>
      </c>
      <c r="AC132" s="24">
        <f t="shared" ref="AC132:AC153" si="111">SUM(Z132:AB132)</f>
        <v>1.4309688090682138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4.2</v>
      </c>
      <c r="AI132" s="14">
        <f>IF('Données projet'!$A$62&gt;35,AI131+AH132-AQ131,IF(A132&lt;'Données projet'!$A$62,$AF$205^A132,IF(A132='Données projet'!$A$62,'Données projet'!$B$62,AI131+AH132-AQ131)))</f>
        <v>342.79999999999956</v>
      </c>
      <c r="AJ132" s="14">
        <f>AI132*VLOOKUP('Données projet'!$B$10,Paramètres!$A$1:$I$89,3,0)*VLOOKUP('Données projet'!$B$10,Paramètres!$A$1:$I$89,5,0)</f>
        <v>310.16543999999959</v>
      </c>
      <c r="AK132" s="14">
        <f t="shared" si="89"/>
        <v>73.303379555549043</v>
      </c>
      <c r="AL132" s="22">
        <f t="shared" ref="AL132:AL153" si="112">(AJ132+AK132)*0.475*44/12</f>
        <v>667.87486072591389</v>
      </c>
      <c r="AM132" s="62">
        <f t="shared" ref="AM132:AM195" si="113">AL132+(AD132+AE132)*44/12</f>
        <v>961.20819405924726</v>
      </c>
      <c r="AN132" s="62">
        <f ca="1">AVERAGE(OFFSET($AM$3,0,0,'Données projet'!$E$10+1,1))-AVERAGE(OFFSET($H$3,0,0,'Données projet'!$E$10+1,1))</f>
        <v>384.44848355636935</v>
      </c>
      <c r="AO132" s="62">
        <f t="shared" si="90"/>
        <v>203.5274665601915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4.2</v>
      </c>
      <c r="BD132" s="13">
        <f>IF('Données projet'!$A$88&gt;35,BD131+BC132-BL131,IF(A132&lt;'Données projet'!$A$88,$BA$205^A132,IF(A132='Données projet'!$A$88,'Données projet'!$B$88,BD131+BC132-BL131)))</f>
        <v>342.79999999999956</v>
      </c>
      <c r="BE132" s="14">
        <f>BD132*VLOOKUP('Données projet'!$B$11,Paramètres!$A$1:$I$89,3,0)*VLOOKUP('Données projet'!$B$11,Paramètres!$A$1:$I$89,5,0)</f>
        <v>347.59919999999954</v>
      </c>
      <c r="BF132" s="14">
        <f t="shared" si="91"/>
        <v>81.067963725259872</v>
      </c>
      <c r="BG132" s="22">
        <f t="shared" ref="BG132:BG153" si="115">(BE132+BF132)*0.475*44/12</f>
        <v>746.59531015482673</v>
      </c>
      <c r="BH132" s="62">
        <f t="shared" ref="BH132:BH195" si="116">BG132+(AY132+AZ132)*44/12</f>
        <v>1039.9286434881601</v>
      </c>
      <c r="BI132" s="62">
        <f ca="1">AVERAGE(OFFSET($BH$3,0,0,'Données projet'!$E$11+1,1))-AVERAGE(OFFSET($H$3,0,0,'Données projet'!$E$11+1,1))</f>
        <v>440.60698566758532</v>
      </c>
      <c r="BJ132" s="62">
        <f t="shared" si="92"/>
        <v>231.92898690465887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287.29865338866551</v>
      </c>
      <c r="CE132" s="62">
        <f t="shared" si="94"/>
        <v>217.57508587672368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0.70390943316839405</v>
      </c>
      <c r="CM132" s="23">
        <f>EXP(-LN(2)/2)*CM131+(1-EXP(-LN(2)/2))/(LN(2)/2)*CG132*CJ132*VLOOKUP('Données projet'!$B$12,Paramètres!$A$1:$I$89,3,0)*0.475*44/12</f>
        <v>1.6160880098367484E-14</v>
      </c>
      <c r="CN132" s="24">
        <f t="shared" ref="CN132:CN153" si="120">SUM(CK132:CM132)</f>
        <v>0.70390943316841026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175.05987582828078</v>
      </c>
      <c r="CZ132" s="62">
        <f t="shared" si="96"/>
        <v>268.54782308462387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0.58349847790173048</v>
      </c>
      <c r="DH132" s="23">
        <f>EXP(-LN(2)/2)*DH131+(1-EXP(-LN(2)/2))/(LN(2)/2)*DB132*DE132*VLOOKUP('Données projet'!$B$13,Paramètres!$A$1:$I$89,3,0)*0.475*44/12</f>
        <v>1.5888032380396087E-14</v>
      </c>
      <c r="DI132" s="24">
        <f t="shared" ref="DI132:DI153" si="123">SUM(DF132:DH132)</f>
        <v>0.58349847790174636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-5.6843418860808015E-14</v>
      </c>
      <c r="DP132" s="18">
        <f>DO132*VLOOKUP('Données projet'!$B$14,Paramètres!$A$1:$I$89,3,0)*VLOOKUP('Données projet'!$B$14,Paramètres!$A$1:$I$89,5,0)</f>
        <v>-3.2514435588382188E-14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228.06050741667258</v>
      </c>
      <c r="DU132" s="62">
        <f t="shared" si="98"/>
        <v>191.94885821983536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1.2082125902642868</v>
      </c>
      <c r="EC132" s="23">
        <f>EXP(-LN(2)/2)*EC131+(1-EXP(-LN(2)/2))/(LN(2)/2)*DW132*DZ132*VLOOKUP('Données projet'!$B$14,Paramètres!$A$1:$I$89,3,0)*0.475*44/12</f>
        <v>1.2889513230298888E-13</v>
      </c>
      <c r="ED132" s="24">
        <f t="shared" ref="ED132:ED153" si="126">SUM(EA132:EC132)</f>
        <v>1.2082125902644156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-5.6843418860808015E-14</v>
      </c>
      <c r="EK132" s="18">
        <f>EJ132*VLOOKUP('Données projet'!$B$15,Paramètres!$A$1:$I$89,3,0)*VLOOKUP('Données projet'!$B$15,Paramètres!$A$1:$I$89,5,0)</f>
        <v>-5.1431925385259088E-14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315.23521260143986</v>
      </c>
      <c r="EP132" s="62">
        <f t="shared" si="100"/>
        <v>439.11021845472641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-3.4106051316484809E-13</v>
      </c>
      <c r="O133" s="14">
        <f>N133*VLOOKUP('Données projet'!$B$9,Paramètres!$A$1:$I$89,3,0)*VLOOKUP('Données projet'!$B$9,Paramètres!$A$1:$I$89,5,0)</f>
        <v>-1.9065282685915009E-13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302.20483575440988</v>
      </c>
      <c r="T133" s="62">
        <f t="shared" ref="T133:T196" si="142">$T$3</f>
        <v>275.32862097158687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1.391838891732851</v>
      </c>
      <c r="AB133" s="23">
        <f>EXP(-LN(2)/2)*AB132+(1-EXP(-LN(2)/2))/(LN(2)/2)*V133*Y133*VLOOKUP('Données projet'!$B$9,Paramètres!$A$1:$I$89,3,0)*0.475*44/12</f>
        <v>9.7768735700090861E-15</v>
      </c>
      <c r="AC133" s="24">
        <f t="shared" si="111"/>
        <v>1.3918388917328608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347</v>
      </c>
      <c r="AG133" s="13">
        <f>VLOOKUP(A133,'Données projet'!$A$61:$I$81,9,0)</f>
        <v>4.2</v>
      </c>
      <c r="AH133" s="13">
        <f t="array" ref="AH133">INDEX(AG:AG,MIN(IF(ISNUMBER(AG133:AG329),ROW(AG133:AG329),"")))</f>
        <v>4.2</v>
      </c>
      <c r="AI133" s="14">
        <f>IF('Données projet'!$A$62&gt;35,AI132+AH133-AQ132,IF(A133&lt;'Données projet'!$A$62,$AF$205^A133,IF(A133='Données projet'!$A$62,'Données projet'!$B$62,AI132+AH133-AQ132)))</f>
        <v>346.99999999999955</v>
      </c>
      <c r="AJ133" s="14">
        <f>AI133*VLOOKUP('Données projet'!$B$10,Paramètres!$A$1:$I$89,3,0)*VLOOKUP('Données projet'!$B$10,Paramètres!$A$1:$I$89,5,0)</f>
        <v>313.9655999999996</v>
      </c>
      <c r="AK133" s="14">
        <f t="shared" ref="AK133:AK153" si="143">EXP(-1.0587+0.8836*LN(AJ133)+0.284)</f>
        <v>74.096391618326706</v>
      </c>
      <c r="AL133" s="22">
        <f t="shared" si="112"/>
        <v>675.87463540191834</v>
      </c>
      <c r="AM133" s="62">
        <f t="shared" si="113"/>
        <v>969.2079687352516</v>
      </c>
      <c r="AN133" s="62">
        <f ca="1">AVERAGE(OFFSET($AM$3,0,0,'Données projet'!$E$10+1,1))-AVERAGE(OFFSET($H$3,0,0,'Données projet'!$E$10+1,1))</f>
        <v>384.44848355636935</v>
      </c>
      <c r="AO133" s="62">
        <f t="shared" ref="AO133:AO196" si="144">$AO$3</f>
        <v>203.5274665601915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44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347</v>
      </c>
      <c r="BB133" s="13">
        <f>VLOOKUP(A133,'Données projet'!$A$87:$I$107,9,0)</f>
        <v>4.2</v>
      </c>
      <c r="BC133" s="13">
        <f t="array" ref="BC133">INDEX(BB:BB,MIN(IF(ISNUMBER(BB133:BB329),ROW(BB133:BB329),"")))</f>
        <v>4.2</v>
      </c>
      <c r="BD133" s="13">
        <f>IF('Données projet'!$A$88&gt;35,BD132+BC133-BL132,IF(A133&lt;'Données projet'!$A$88,$BA$205^A133,IF(A133='Données projet'!$A$88,'Données projet'!$B$88,BD132+BC133-BL132)))</f>
        <v>346.99999999999955</v>
      </c>
      <c r="BE133" s="14">
        <f>BD133*VLOOKUP('Données projet'!$B$11,Paramètres!$A$1:$I$89,3,0)*VLOOKUP('Données projet'!$B$11,Paramètres!$A$1:$I$89,5,0)</f>
        <v>351.85799999999955</v>
      </c>
      <c r="BF133" s="14">
        <f t="shared" ref="BF133:BF153" si="145">EXP(-1.0587+0.8836*LN(BE133)+0.284)</f>
        <v>81.944974765252041</v>
      </c>
      <c r="BG133" s="22">
        <f t="shared" si="115"/>
        <v>755.54018104947966</v>
      </c>
      <c r="BH133" s="62">
        <f t="shared" si="116"/>
        <v>1048.873514382813</v>
      </c>
      <c r="BI133" s="62">
        <f ca="1">AVERAGE(OFFSET($BH$3,0,0,'Données projet'!$E$11+1,1))-AVERAGE(OFFSET($H$3,0,0,'Données projet'!$E$11+1,1))</f>
        <v>440.60698566758532</v>
      </c>
      <c r="BJ133" s="62">
        <f t="shared" ref="BJ133:BJ196" si="146">$BJ$3</f>
        <v>231.92898690465887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44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287.29865338866551</v>
      </c>
      <c r="CE133" s="62">
        <f t="shared" ref="CE133:CE196" si="148">$CE$3</f>
        <v>217.57508587672368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0.684660992701416</v>
      </c>
      <c r="CM133" s="23">
        <f>EXP(-LN(2)/2)*CM132+(1-EXP(-LN(2)/2))/(LN(2)/2)*CG133*CJ133*VLOOKUP('Données projet'!$B$12,Paramètres!$A$1:$I$89,3,0)*0.475*44/12</f>
        <v>1.1427467907498367E-14</v>
      </c>
      <c r="CN133" s="24">
        <f t="shared" si="120"/>
        <v>0.68466099270142744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175.05987582828078</v>
      </c>
      <c r="CZ133" s="62">
        <f t="shared" ref="CZ133:CZ196" si="150">$CZ$3</f>
        <v>268.54782308462387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0.56754268133865626</v>
      </c>
      <c r="DH133" s="23">
        <f>EXP(-LN(2)/2)*DH132+(1-EXP(-LN(2)/2))/(LN(2)/2)*DB133*DE133*VLOOKUP('Données projet'!$B$13,Paramètres!$A$1:$I$89,3,0)*0.475*44/12</f>
        <v>1.1234535435889518E-14</v>
      </c>
      <c r="DI133" s="24">
        <f t="shared" si="123"/>
        <v>0.56754268133866748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-5.6843418860808015E-14</v>
      </c>
      <c r="DP133" s="18">
        <f>DO133*VLOOKUP('Données projet'!$B$14,Paramètres!$A$1:$I$89,3,0)*VLOOKUP('Données projet'!$B$14,Paramètres!$A$1:$I$89,5,0)</f>
        <v>-3.2514435588382188E-14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228.06050741667258</v>
      </c>
      <c r="DU133" s="62">
        <f t="shared" ref="DU133:DU196" si="152">$DU$3</f>
        <v>191.94885821983536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1.1751739534463712</v>
      </c>
      <c r="EC133" s="23">
        <f>EXP(-LN(2)/2)*EC132+(1-EXP(-LN(2)/2))/(LN(2)/2)*DW133*DZ133*VLOOKUP('Données projet'!$B$14,Paramètres!$A$1:$I$89,3,0)*0.475*44/12</f>
        <v>9.1142622113380654E-14</v>
      </c>
      <c r="ED133" s="24">
        <f t="shared" si="126"/>
        <v>1.1751739534464622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-5.6843418860808015E-14</v>
      </c>
      <c r="EK133" s="18">
        <f>EJ133*VLOOKUP('Données projet'!$B$15,Paramètres!$A$1:$I$89,3,0)*VLOOKUP('Données projet'!$B$15,Paramètres!$A$1:$I$89,5,0)</f>
        <v>-5.1431925385259088E-14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315.23521260143986</v>
      </c>
      <c r="EP133" s="62">
        <f t="shared" ref="EP133:EP196" si="154">$EP$3</f>
        <v>439.11021845472641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-3.4106051316484809E-13</v>
      </c>
      <c r="O134" s="14">
        <f>N134*VLOOKUP('Données projet'!$B$9,Paramètres!$A$1:$I$89,3,0)*VLOOKUP('Données projet'!$B$9,Paramètres!$A$1:$I$89,5,0)</f>
        <v>-1.9065282685915009E-13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302.20483575440988</v>
      </c>
      <c r="T134" s="62">
        <f t="shared" si="142"/>
        <v>275.32862097158687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1.35377898404479</v>
      </c>
      <c r="AB134" s="23">
        <f>EXP(-LN(2)/2)*AB133+(1-EXP(-LN(2)/2))/(LN(2)/2)*V134*Y134*VLOOKUP('Données projet'!$B$9,Paramètres!$A$1:$I$89,3,0)*0.475*44/12</f>
        <v>6.913293600156955E-15</v>
      </c>
      <c r="AC134" s="24">
        <f t="shared" si="111"/>
        <v>1.3537789840447969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4</v>
      </c>
      <c r="AI134" s="14">
        <f>IF('Données projet'!$A$62&gt;35,AI133+AH134-AQ133,IF(A134&lt;'Données projet'!$A$62,$AF$205^A134,IF(A134='Données projet'!$A$62,'Données projet'!$B$62,AI133+AH134-AQ133)))</f>
        <v>306.99999999999955</v>
      </c>
      <c r="AJ134" s="14">
        <f>AI134*VLOOKUP('Données projet'!$B$10,Paramètres!$A$1:$I$89,3,0)*VLOOKUP('Données projet'!$B$10,Paramètres!$A$1:$I$89,5,0)</f>
        <v>277.77359999999959</v>
      </c>
      <c r="AK134" s="14">
        <f t="shared" si="143"/>
        <v>66.496288176842299</v>
      </c>
      <c r="AL134" s="22">
        <f t="shared" si="112"/>
        <v>599.60338857466627</v>
      </c>
      <c r="AM134" s="62">
        <f t="shared" si="113"/>
        <v>892.93672190799953</v>
      </c>
      <c r="AN134" s="62">
        <f ca="1">AVERAGE(OFFSET($AM$3,0,0,'Données projet'!$E$10+1,1))-AVERAGE(OFFSET($H$3,0,0,'Données projet'!$E$10+1,1))</f>
        <v>384.44848355636935</v>
      </c>
      <c r="AO134" s="62">
        <f t="shared" si="144"/>
        <v>203.5274665601915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4</v>
      </c>
      <c r="BD134" s="13">
        <f>IF('Données projet'!$A$88&gt;35,BD133+BC134-BL133,IF(A134&lt;'Données projet'!$A$88,$BA$205^A134,IF(A134='Données projet'!$A$88,'Données projet'!$B$88,BD133+BC134-BL133)))</f>
        <v>306.99999999999955</v>
      </c>
      <c r="BE134" s="14">
        <f>BD134*VLOOKUP('Données projet'!$B$11,Paramètres!$A$1:$I$89,3,0)*VLOOKUP('Données projet'!$B$11,Paramètres!$A$1:$I$89,5,0)</f>
        <v>311.29799999999955</v>
      </c>
      <c r="BF134" s="14">
        <f t="shared" si="145"/>
        <v>73.53983827852862</v>
      </c>
      <c r="BG134" s="22">
        <f t="shared" si="115"/>
        <v>670.25923500176987</v>
      </c>
      <c r="BH134" s="62">
        <f t="shared" si="116"/>
        <v>963.59256833510312</v>
      </c>
      <c r="BI134" s="62">
        <f ca="1">AVERAGE(OFFSET($BH$3,0,0,'Données projet'!$E$11+1,1))-AVERAGE(OFFSET($H$3,0,0,'Données projet'!$E$11+1,1))</f>
        <v>440.60698566758532</v>
      </c>
      <c r="BJ134" s="62">
        <f t="shared" si="146"/>
        <v>231.92898690465887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287.29865338866551</v>
      </c>
      <c r="CE134" s="62">
        <f t="shared" si="148"/>
        <v>217.57508587672368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0.66593890185123894</v>
      </c>
      <c r="CM134" s="23">
        <f>EXP(-LN(2)/2)*CM133+(1-EXP(-LN(2)/2))/(LN(2)/2)*CG134*CJ134*VLOOKUP('Données projet'!$B$12,Paramètres!$A$1:$I$89,3,0)*0.475*44/12</f>
        <v>8.080440049183742E-15</v>
      </c>
      <c r="CN134" s="24">
        <f t="shared" si="120"/>
        <v>0.66593890185124704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175.05987582828078</v>
      </c>
      <c r="CZ134" s="62">
        <f t="shared" si="150"/>
        <v>268.54782308462387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0.55202319687167822</v>
      </c>
      <c r="DH134" s="23">
        <f>EXP(-LN(2)/2)*DH133+(1-EXP(-LN(2)/2))/(LN(2)/2)*DB134*DE134*VLOOKUP('Données projet'!$B$13,Paramètres!$A$1:$I$89,3,0)*0.475*44/12</f>
        <v>7.9440161901980435E-15</v>
      </c>
      <c r="DI134" s="24">
        <f t="shared" si="123"/>
        <v>0.55202319687168622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-5.6843418860808015E-14</v>
      </c>
      <c r="DP134" s="18">
        <f>DO134*VLOOKUP('Données projet'!$B$14,Paramètres!$A$1:$I$89,3,0)*VLOOKUP('Données projet'!$B$14,Paramètres!$A$1:$I$89,5,0)</f>
        <v>-3.2514435588382188E-14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228.06050741667258</v>
      </c>
      <c r="DU134" s="62">
        <f t="shared" si="152"/>
        <v>191.94885821983536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1.1430387598896679</v>
      </c>
      <c r="EC134" s="23">
        <f>EXP(-LN(2)/2)*EC133+(1-EXP(-LN(2)/2))/(LN(2)/2)*DW134*DZ134*VLOOKUP('Données projet'!$B$14,Paramètres!$A$1:$I$89,3,0)*0.475*44/12</f>
        <v>6.4447566151494441E-14</v>
      </c>
      <c r="ED134" s="24">
        <f t="shared" si="126"/>
        <v>1.1430387598897322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-5.6843418860808015E-14</v>
      </c>
      <c r="EK134" s="18">
        <f>EJ134*VLOOKUP('Données projet'!$B$15,Paramètres!$A$1:$I$89,3,0)*VLOOKUP('Données projet'!$B$15,Paramètres!$A$1:$I$89,5,0)</f>
        <v>-5.1431925385259088E-14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315.23521260143986</v>
      </c>
      <c r="EP134" s="62">
        <f t="shared" si="154"/>
        <v>439.11021845472641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-3.4106051316484809E-13</v>
      </c>
      <c r="O135" s="14">
        <f>N135*VLOOKUP('Données projet'!$B$9,Paramètres!$A$1:$I$89,3,0)*VLOOKUP('Données projet'!$B$9,Paramètres!$A$1:$I$89,5,0)</f>
        <v>-1.9065282685915009E-13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302.20483575440988</v>
      </c>
      <c r="T135" s="62">
        <f t="shared" si="142"/>
        <v>275.32862097158687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1.3167598265339426</v>
      </c>
      <c r="AB135" s="23">
        <f>EXP(-LN(2)/2)*AB134+(1-EXP(-LN(2)/2))/(LN(2)/2)*V135*Y135*VLOOKUP('Données projet'!$B$9,Paramètres!$A$1:$I$89,3,0)*0.475*44/12</f>
        <v>4.8884367850045438E-15</v>
      </c>
      <c r="AC135" s="24">
        <f t="shared" si="111"/>
        <v>1.3167598265339475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4</v>
      </c>
      <c r="AI135" s="14">
        <f>IF('Données projet'!$A$62&gt;35,AI134+AH135-AQ134,IF(A135&lt;'Données projet'!$A$62,$AF$205^A135,IF(A135='Données projet'!$A$62,'Données projet'!$B$62,AI134+AH135-AQ134)))</f>
        <v>310.99999999999955</v>
      </c>
      <c r="AJ135" s="14">
        <f>AI135*VLOOKUP('Données projet'!$B$10,Paramètres!$A$1:$I$89,3,0)*VLOOKUP('Données projet'!$B$10,Paramètres!$A$1:$I$89,5,0)</f>
        <v>281.39279999999957</v>
      </c>
      <c r="AK135" s="14">
        <f t="shared" si="143"/>
        <v>67.261262504634587</v>
      </c>
      <c r="AL135" s="22">
        <f t="shared" si="112"/>
        <v>607.23915886223779</v>
      </c>
      <c r="AM135" s="62">
        <f t="shared" si="113"/>
        <v>900.57249219557116</v>
      </c>
      <c r="AN135" s="62">
        <f ca="1">AVERAGE(OFFSET($AM$3,0,0,'Données projet'!$E$10+1,1))-AVERAGE(OFFSET($H$3,0,0,'Données projet'!$E$10+1,1))</f>
        <v>384.44848355636935</v>
      </c>
      <c r="AO135" s="62">
        <f t="shared" si="144"/>
        <v>203.5274665601915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4</v>
      </c>
      <c r="BD135" s="13">
        <f>IF('Données projet'!$A$88&gt;35,BD134+BC135-BL134,IF(A135&lt;'Données projet'!$A$88,$BA$205^A135,IF(A135='Données projet'!$A$88,'Données projet'!$B$88,BD134+BC135-BL134)))</f>
        <v>310.99999999999955</v>
      </c>
      <c r="BE135" s="14">
        <f>BD135*VLOOKUP('Données projet'!$B$11,Paramètres!$A$1:$I$89,3,0)*VLOOKUP('Données projet'!$B$11,Paramètres!$A$1:$I$89,5,0)</f>
        <v>315.35399999999959</v>
      </c>
      <c r="BF135" s="14">
        <f t="shared" si="145"/>
        <v>74.38584171564473</v>
      </c>
      <c r="BG135" s="22">
        <f t="shared" si="115"/>
        <v>678.79689098808058</v>
      </c>
      <c r="BH135" s="62">
        <f t="shared" si="116"/>
        <v>972.13022432141383</v>
      </c>
      <c r="BI135" s="62">
        <f ca="1">AVERAGE(OFFSET($BH$3,0,0,'Données projet'!$E$11+1,1))-AVERAGE(OFFSET($H$3,0,0,'Données projet'!$E$11+1,1))</f>
        <v>440.60698566758532</v>
      </c>
      <c r="BJ135" s="62">
        <f t="shared" si="146"/>
        <v>231.92898690465887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287.29865338866551</v>
      </c>
      <c r="CE135" s="62">
        <f t="shared" si="148"/>
        <v>217.57508587672368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0.64772876755991193</v>
      </c>
      <c r="CM135" s="23">
        <f>EXP(-LN(2)/2)*CM134+(1-EXP(-LN(2)/2))/(LN(2)/2)*CG135*CJ135*VLOOKUP('Données projet'!$B$12,Paramètres!$A$1:$I$89,3,0)*0.475*44/12</f>
        <v>5.7137339537491837E-15</v>
      </c>
      <c r="CN135" s="24">
        <f t="shared" si="120"/>
        <v>0.6477287675599176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175.05987582828078</v>
      </c>
      <c r="CZ135" s="62">
        <f t="shared" si="150"/>
        <v>268.54782308462387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0.53692809352358395</v>
      </c>
      <c r="DH135" s="23">
        <f>EXP(-LN(2)/2)*DH134+(1-EXP(-LN(2)/2))/(LN(2)/2)*DB135*DE135*VLOOKUP('Données projet'!$B$13,Paramètres!$A$1:$I$89,3,0)*0.475*44/12</f>
        <v>5.6172677179447589E-15</v>
      </c>
      <c r="DI135" s="24">
        <f t="shared" si="123"/>
        <v>0.53692809352358961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-5.6843418860808015E-14</v>
      </c>
      <c r="DP135" s="18">
        <f>DO135*VLOOKUP('Données projet'!$B$14,Paramètres!$A$1:$I$89,3,0)*VLOOKUP('Données projet'!$B$14,Paramètres!$A$1:$I$89,5,0)</f>
        <v>-3.2514435588382188E-14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228.06050741667258</v>
      </c>
      <c r="DU135" s="62">
        <f t="shared" si="152"/>
        <v>191.94885821983536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1.111782304890689</v>
      </c>
      <c r="EC135" s="23">
        <f>EXP(-LN(2)/2)*EC134+(1-EXP(-LN(2)/2))/(LN(2)/2)*DW135*DZ135*VLOOKUP('Données projet'!$B$14,Paramètres!$A$1:$I$89,3,0)*0.475*44/12</f>
        <v>4.5571311056690327E-14</v>
      </c>
      <c r="ED135" s="24">
        <f t="shared" si="126"/>
        <v>1.1117823048907345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-5.6843418860808015E-14</v>
      </c>
      <c r="EK135" s="18">
        <f>EJ135*VLOOKUP('Données projet'!$B$15,Paramètres!$A$1:$I$89,3,0)*VLOOKUP('Données projet'!$B$15,Paramètres!$A$1:$I$89,5,0)</f>
        <v>-5.1431925385259088E-14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315.23521260143986</v>
      </c>
      <c r="EP135" s="62">
        <f t="shared" si="154"/>
        <v>439.11021845472641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-3.4106051316484809E-13</v>
      </c>
      <c r="O136" s="14">
        <f>N136*VLOOKUP('Données projet'!$B$9,Paramètres!$A$1:$I$89,3,0)*VLOOKUP('Données projet'!$B$9,Paramètres!$A$1:$I$89,5,0)</f>
        <v>-1.9065282685915009E-13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302.20483575440988</v>
      </c>
      <c r="T136" s="62">
        <f t="shared" si="142"/>
        <v>275.32862097158687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1.2807529598319822</v>
      </c>
      <c r="AB136" s="23">
        <f>EXP(-LN(2)/2)*AB135+(1-EXP(-LN(2)/2))/(LN(2)/2)*V136*Y136*VLOOKUP('Données projet'!$B$9,Paramètres!$A$1:$I$89,3,0)*0.475*44/12</f>
        <v>3.4566468000784779E-15</v>
      </c>
      <c r="AC136" s="24">
        <f t="shared" si="111"/>
        <v>1.2807529598319858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4</v>
      </c>
      <c r="AI136" s="14">
        <f>IF('Données projet'!$A$62&gt;35,AI135+AH136-AQ135,IF(A136&lt;'Données projet'!$A$62,$AF$205^A136,IF(A136='Données projet'!$A$62,'Données projet'!$B$62,AI135+AH136-AQ135)))</f>
        <v>314.99999999999955</v>
      </c>
      <c r="AJ136" s="14">
        <f>AI136*VLOOKUP('Données projet'!$B$10,Paramètres!$A$1:$I$89,3,0)*VLOOKUP('Données projet'!$B$10,Paramètres!$A$1:$I$89,5,0)</f>
        <v>285.0119999999996</v>
      </c>
      <c r="AK136" s="14">
        <f t="shared" si="143"/>
        <v>68.025092408173052</v>
      </c>
      <c r="AL136" s="22">
        <f t="shared" si="112"/>
        <v>614.87293594423409</v>
      </c>
      <c r="AM136" s="62">
        <f t="shared" si="113"/>
        <v>908.20626927756734</v>
      </c>
      <c r="AN136" s="62">
        <f ca="1">AVERAGE(OFFSET($AM$3,0,0,'Données projet'!$E$10+1,1))-AVERAGE(OFFSET($H$3,0,0,'Données projet'!$E$10+1,1))</f>
        <v>384.44848355636935</v>
      </c>
      <c r="AO136" s="62">
        <f t="shared" si="144"/>
        <v>203.5274665601915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4</v>
      </c>
      <c r="BD136" s="13">
        <f>IF('Données projet'!$A$88&gt;35,BD135+BC136-BL135,IF(A136&lt;'Données projet'!$A$88,$BA$205^A136,IF(A136='Données projet'!$A$88,'Données projet'!$B$88,BD135+BC136-BL135)))</f>
        <v>314.99999999999955</v>
      </c>
      <c r="BE136" s="14">
        <f>BD136*VLOOKUP('Données projet'!$B$11,Paramètres!$A$1:$I$89,3,0)*VLOOKUP('Données projet'!$B$11,Paramètres!$A$1:$I$89,5,0)</f>
        <v>319.40999999999957</v>
      </c>
      <c r="BF136" s="14">
        <f t="shared" si="145"/>
        <v>75.230579506559266</v>
      </c>
      <c r="BG136" s="22">
        <f t="shared" si="115"/>
        <v>687.3323426405899</v>
      </c>
      <c r="BH136" s="62">
        <f t="shared" si="116"/>
        <v>980.66567597392327</v>
      </c>
      <c r="BI136" s="62">
        <f ca="1">AVERAGE(OFFSET($BH$3,0,0,'Données projet'!$E$11+1,1))-AVERAGE(OFFSET($H$3,0,0,'Données projet'!$E$11+1,1))</f>
        <v>440.60698566758532</v>
      </c>
      <c r="BJ136" s="62">
        <f t="shared" si="146"/>
        <v>231.92898690465887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287.29865338866551</v>
      </c>
      <c r="CE136" s="62">
        <f t="shared" si="148"/>
        <v>217.57508587672368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0.63001659034841062</v>
      </c>
      <c r="CM136" s="23">
        <f>EXP(-LN(2)/2)*CM135+(1-EXP(-LN(2)/2))/(LN(2)/2)*CG136*CJ136*VLOOKUP('Données projet'!$B$12,Paramètres!$A$1:$I$89,3,0)*0.475*44/12</f>
        <v>4.040220024591871E-15</v>
      </c>
      <c r="CN136" s="24">
        <f t="shared" si="120"/>
        <v>0.63001659034841462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175.05987582828078</v>
      </c>
      <c r="CZ136" s="62">
        <f t="shared" si="150"/>
        <v>268.54782308462387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0.52224576657036026</v>
      </c>
      <c r="DH136" s="23">
        <f>EXP(-LN(2)/2)*DH135+(1-EXP(-LN(2)/2))/(LN(2)/2)*DB136*DE136*VLOOKUP('Données projet'!$B$13,Paramètres!$A$1:$I$89,3,0)*0.475*44/12</f>
        <v>3.9720080950990217E-15</v>
      </c>
      <c r="DI136" s="24">
        <f t="shared" si="123"/>
        <v>0.52224576657036426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-5.6843418860808015E-14</v>
      </c>
      <c r="DP136" s="18">
        <f>DO136*VLOOKUP('Données projet'!$B$14,Paramètres!$A$1:$I$89,3,0)*VLOOKUP('Données projet'!$B$14,Paramètres!$A$1:$I$89,5,0)</f>
        <v>-3.2514435588382188E-14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228.06050741667258</v>
      </c>
      <c r="DU136" s="62">
        <f t="shared" si="152"/>
        <v>191.94885821983536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1.0813805592973627</v>
      </c>
      <c r="EC136" s="23">
        <f>EXP(-LN(2)/2)*EC135+(1-EXP(-LN(2)/2))/(LN(2)/2)*DW136*DZ136*VLOOKUP('Données projet'!$B$14,Paramètres!$A$1:$I$89,3,0)*0.475*44/12</f>
        <v>3.222378307574722E-14</v>
      </c>
      <c r="ED136" s="24">
        <f t="shared" si="126"/>
        <v>1.0813805592973948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-5.6843418860808015E-14</v>
      </c>
      <c r="EK136" s="18">
        <f>EJ136*VLOOKUP('Données projet'!$B$15,Paramètres!$A$1:$I$89,3,0)*VLOOKUP('Données projet'!$B$15,Paramètres!$A$1:$I$89,5,0)</f>
        <v>-5.1431925385259088E-14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315.23521260143986</v>
      </c>
      <c r="EP136" s="62">
        <f t="shared" si="154"/>
        <v>439.11021845472641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-3.4106051316484809E-13</v>
      </c>
      <c r="O137" s="14">
        <f>N137*VLOOKUP('Données projet'!$B$9,Paramètres!$A$1:$I$89,3,0)*VLOOKUP('Données projet'!$B$9,Paramètres!$A$1:$I$89,5,0)</f>
        <v>-1.9065282685915009E-13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302.20483575440988</v>
      </c>
      <c r="T137" s="62">
        <f t="shared" si="142"/>
        <v>275.32862097158687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1.2457307027935056</v>
      </c>
      <c r="AB137" s="23">
        <f>EXP(-LN(2)/2)*AB136+(1-EXP(-LN(2)/2))/(LN(2)/2)*V137*Y137*VLOOKUP('Données projet'!$B$9,Paramètres!$A$1:$I$89,3,0)*0.475*44/12</f>
        <v>2.4442183925022723E-15</v>
      </c>
      <c r="AC137" s="24">
        <f t="shared" si="111"/>
        <v>1.2457307027935081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4</v>
      </c>
      <c r="AI137" s="14">
        <f>IF('Données projet'!$A$62&gt;35,AI136+AH137-AQ136,IF(A137&lt;'Données projet'!$A$62,$AF$205^A137,IF(A137='Données projet'!$A$62,'Données projet'!$B$62,AI136+AH137-AQ136)))</f>
        <v>318.99999999999955</v>
      </c>
      <c r="AJ137" s="14">
        <f>AI137*VLOOKUP('Données projet'!$B$10,Paramètres!$A$1:$I$89,3,0)*VLOOKUP('Données projet'!$B$10,Paramètres!$A$1:$I$89,5,0)</f>
        <v>288.63119999999958</v>
      </c>
      <c r="AK137" s="14">
        <f t="shared" si="143"/>
        <v>68.787794100289148</v>
      </c>
      <c r="AL137" s="22">
        <f t="shared" si="112"/>
        <v>622.50474805800286</v>
      </c>
      <c r="AM137" s="62">
        <f t="shared" si="113"/>
        <v>915.83808139133612</v>
      </c>
      <c r="AN137" s="62">
        <f ca="1">AVERAGE(OFFSET($AM$3,0,0,'Données projet'!$E$10+1,1))-AVERAGE(OFFSET($H$3,0,0,'Données projet'!$E$10+1,1))</f>
        <v>384.44848355636935</v>
      </c>
      <c r="AO137" s="62">
        <f t="shared" si="144"/>
        <v>203.5274665601915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4</v>
      </c>
      <c r="BD137" s="13">
        <f>IF('Données projet'!$A$88&gt;35,BD136+BC137-BL136,IF(A137&lt;'Données projet'!$A$88,$BA$205^A137,IF(A137='Données projet'!$A$88,'Données projet'!$B$88,BD136+BC137-BL136)))</f>
        <v>318.99999999999955</v>
      </c>
      <c r="BE137" s="14">
        <f>BD137*VLOOKUP('Données projet'!$B$11,Paramètres!$A$1:$I$89,3,0)*VLOOKUP('Données projet'!$B$11,Paramètres!$A$1:$I$89,5,0)</f>
        <v>323.46599999999955</v>
      </c>
      <c r="BF137" s="14">
        <f t="shared" si="145"/>
        <v>76.07406958143109</v>
      </c>
      <c r="BG137" s="22">
        <f t="shared" si="115"/>
        <v>695.86562118765835</v>
      </c>
      <c r="BH137" s="62">
        <f t="shared" si="116"/>
        <v>989.19895452099172</v>
      </c>
      <c r="BI137" s="62">
        <f ca="1">AVERAGE(OFFSET($BH$3,0,0,'Données projet'!$E$11+1,1))-AVERAGE(OFFSET($H$3,0,0,'Données projet'!$E$11+1,1))</f>
        <v>440.60698566758532</v>
      </c>
      <c r="BJ137" s="62">
        <f t="shared" si="146"/>
        <v>231.92898690465887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287.29865338866551</v>
      </c>
      <c r="CE137" s="62">
        <f t="shared" si="148"/>
        <v>217.57508587672368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0.61278875355420082</v>
      </c>
      <c r="CM137" s="23">
        <f>EXP(-LN(2)/2)*CM136+(1-EXP(-LN(2)/2))/(LN(2)/2)*CG137*CJ137*VLOOKUP('Données projet'!$B$12,Paramètres!$A$1:$I$89,3,0)*0.475*44/12</f>
        <v>2.8568669768745918E-15</v>
      </c>
      <c r="CN137" s="24">
        <f t="shared" si="120"/>
        <v>0.6127887535542037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175.05987582828078</v>
      </c>
      <c r="CZ137" s="62">
        <f t="shared" si="150"/>
        <v>268.54782308462387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0.50796492861978249</v>
      </c>
      <c r="DH137" s="23">
        <f>EXP(-LN(2)/2)*DH136+(1-EXP(-LN(2)/2))/(LN(2)/2)*DB137*DE137*VLOOKUP('Données projet'!$B$13,Paramètres!$A$1:$I$89,3,0)*0.475*44/12</f>
        <v>2.8086338589723794E-15</v>
      </c>
      <c r="DI137" s="24">
        <f t="shared" si="123"/>
        <v>0.50796492861978526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-5.6843418860808015E-14</v>
      </c>
      <c r="DP137" s="18">
        <f>DO137*VLOOKUP('Données projet'!$B$14,Paramètres!$A$1:$I$89,3,0)*VLOOKUP('Données projet'!$B$14,Paramètres!$A$1:$I$89,5,0)</f>
        <v>-3.2514435588382188E-14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228.06050741667258</v>
      </c>
      <c r="DU137" s="62">
        <f t="shared" si="152"/>
        <v>191.94885821983536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1.0518101510360442</v>
      </c>
      <c r="EC137" s="23">
        <f>EXP(-LN(2)/2)*EC136+(1-EXP(-LN(2)/2))/(LN(2)/2)*DW137*DZ137*VLOOKUP('Données projet'!$B$14,Paramètres!$A$1:$I$89,3,0)*0.475*44/12</f>
        <v>2.2785655528345163E-14</v>
      </c>
      <c r="ED137" s="24">
        <f t="shared" si="126"/>
        <v>1.0518101510360671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-5.6843418860808015E-14</v>
      </c>
      <c r="EK137" s="18">
        <f>EJ137*VLOOKUP('Données projet'!$B$15,Paramètres!$A$1:$I$89,3,0)*VLOOKUP('Données projet'!$B$15,Paramètres!$A$1:$I$89,5,0)</f>
        <v>-5.1431925385259088E-14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315.23521260143986</v>
      </c>
      <c r="EP137" s="62">
        <f t="shared" si="154"/>
        <v>439.11021845472641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-3.4106051316484809E-13</v>
      </c>
      <c r="O138" s="14">
        <f>N138*VLOOKUP('Données projet'!$B$9,Paramètres!$A$1:$I$89,3,0)*VLOOKUP('Données projet'!$B$9,Paramètres!$A$1:$I$89,5,0)</f>
        <v>-1.9065282685915009E-13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302.20483575440988</v>
      </c>
      <c r="T138" s="62">
        <f t="shared" si="142"/>
        <v>275.32862097158687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1.2116661312154866</v>
      </c>
      <c r="AB138" s="23">
        <f>EXP(-LN(2)/2)*AB137+(1-EXP(-LN(2)/2))/(LN(2)/2)*V138*Y138*VLOOKUP('Données projet'!$B$9,Paramètres!$A$1:$I$89,3,0)*0.475*44/12</f>
        <v>1.7283234000392393E-15</v>
      </c>
      <c r="AC138" s="24">
        <f t="shared" si="111"/>
        <v>1.2116661312154884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4</v>
      </c>
      <c r="AI138" s="14">
        <f>IF('Données projet'!$A$62&gt;35,AI137+AH138-AQ137,IF(A138&lt;'Données projet'!$A$62,$AF$205^A138,IF(A138='Données projet'!$A$62,'Données projet'!$B$62,AI137+AH138-AQ137)))</f>
        <v>322.99999999999955</v>
      </c>
      <c r="AJ138" s="14">
        <f>AI138*VLOOKUP('Données projet'!$B$10,Paramètres!$A$1:$I$89,3,0)*VLOOKUP('Données projet'!$B$10,Paramètres!$A$1:$I$89,5,0)</f>
        <v>292.25039999999956</v>
      </c>
      <c r="AK138" s="14">
        <f t="shared" si="143"/>
        <v>69.549383363839866</v>
      </c>
      <c r="AL138" s="22">
        <f t="shared" si="112"/>
        <v>630.13462269202034</v>
      </c>
      <c r="AM138" s="62">
        <f t="shared" si="113"/>
        <v>923.46795602535371</v>
      </c>
      <c r="AN138" s="62">
        <f ca="1">AVERAGE(OFFSET($AM$3,0,0,'Données projet'!$E$10+1,1))-AVERAGE(OFFSET($H$3,0,0,'Données projet'!$E$10+1,1))</f>
        <v>384.44848355636935</v>
      </c>
      <c r="AO138" s="62">
        <f t="shared" si="144"/>
        <v>203.5274665601915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4</v>
      </c>
      <c r="BD138" s="13">
        <f>IF('Données projet'!$A$88&gt;35,BD137+BC138-BL137,IF(A138&lt;'Données projet'!$A$88,$BA$205^A138,IF(A138='Données projet'!$A$88,'Données projet'!$B$88,BD137+BC138-BL137)))</f>
        <v>322.99999999999955</v>
      </c>
      <c r="BE138" s="14">
        <f>BD138*VLOOKUP('Données projet'!$B$11,Paramètres!$A$1:$I$89,3,0)*VLOOKUP('Données projet'!$B$11,Paramètres!$A$1:$I$89,5,0)</f>
        <v>327.52199999999954</v>
      </c>
      <c r="BF138" s="14">
        <f t="shared" si="145"/>
        <v>76.916329394899719</v>
      </c>
      <c r="BG138" s="22">
        <f t="shared" si="115"/>
        <v>704.39675702944942</v>
      </c>
      <c r="BH138" s="62">
        <f t="shared" si="116"/>
        <v>997.73009036278268</v>
      </c>
      <c r="BI138" s="62">
        <f ca="1">AVERAGE(OFFSET($BH$3,0,0,'Données projet'!$E$11+1,1))-AVERAGE(OFFSET($H$3,0,0,'Données projet'!$E$11+1,1))</f>
        <v>440.60698566758532</v>
      </c>
      <c r="BJ138" s="62">
        <f t="shared" si="146"/>
        <v>231.92898690465887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287.29865338866551</v>
      </c>
      <c r="CE138" s="62">
        <f t="shared" si="148"/>
        <v>217.57508587672368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0.59603201286310115</v>
      </c>
      <c r="CM138" s="23">
        <f>EXP(-LN(2)/2)*CM137+(1-EXP(-LN(2)/2))/(LN(2)/2)*CG138*CJ138*VLOOKUP('Données projet'!$B$12,Paramètres!$A$1:$I$89,3,0)*0.475*44/12</f>
        <v>2.0201100122959355E-15</v>
      </c>
      <c r="CN138" s="24">
        <f t="shared" si="120"/>
        <v>0.59603201286310314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175.05987582828078</v>
      </c>
      <c r="CZ138" s="62">
        <f t="shared" si="150"/>
        <v>268.54782308462387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0.49407460093395988</v>
      </c>
      <c r="DH138" s="23">
        <f>EXP(-LN(2)/2)*DH137+(1-EXP(-LN(2)/2))/(LN(2)/2)*DB138*DE138*VLOOKUP('Données projet'!$B$13,Paramètres!$A$1:$I$89,3,0)*0.475*44/12</f>
        <v>1.9860040475495109E-15</v>
      </c>
      <c r="DI138" s="24">
        <f t="shared" si="123"/>
        <v>0.49407460093396188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-5.6843418860808015E-14</v>
      </c>
      <c r="DP138" s="18">
        <f>DO138*VLOOKUP('Données projet'!$B$14,Paramètres!$A$1:$I$89,3,0)*VLOOKUP('Données projet'!$B$14,Paramètres!$A$1:$I$89,5,0)</f>
        <v>-3.2514435588382188E-14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228.06050741667258</v>
      </c>
      <c r="DU138" s="62">
        <f t="shared" si="152"/>
        <v>191.94885821983536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1.0230483471436718</v>
      </c>
      <c r="EC138" s="23">
        <f>EXP(-LN(2)/2)*EC137+(1-EXP(-LN(2)/2))/(LN(2)/2)*DW138*DZ138*VLOOKUP('Données projet'!$B$14,Paramètres!$A$1:$I$89,3,0)*0.475*44/12</f>
        <v>1.611189153787361E-14</v>
      </c>
      <c r="ED138" s="24">
        <f t="shared" si="126"/>
        <v>1.023048347143688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-5.6843418860808015E-14</v>
      </c>
      <c r="EK138" s="18">
        <f>EJ138*VLOOKUP('Données projet'!$B$15,Paramètres!$A$1:$I$89,3,0)*VLOOKUP('Données projet'!$B$15,Paramètres!$A$1:$I$89,5,0)</f>
        <v>-5.1431925385259088E-14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315.23521260143986</v>
      </c>
      <c r="EP138" s="62">
        <f t="shared" si="154"/>
        <v>439.11021845472641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-3.4106051316484809E-13</v>
      </c>
      <c r="O139" s="14">
        <f>N139*VLOOKUP('Données projet'!$B$9,Paramètres!$A$1:$I$89,3,0)*VLOOKUP('Données projet'!$B$9,Paramètres!$A$1:$I$89,5,0)</f>
        <v>-1.9065282685915009E-13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302.20483575440988</v>
      </c>
      <c r="T139" s="62">
        <f t="shared" si="142"/>
        <v>275.32862097158687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1.1785330571386465</v>
      </c>
      <c r="AB139" s="23">
        <f>EXP(-LN(2)/2)*AB138+(1-EXP(-LN(2)/2))/(LN(2)/2)*V139*Y139*VLOOKUP('Données projet'!$B$9,Paramètres!$A$1:$I$89,3,0)*0.475*44/12</f>
        <v>1.2221091962511364E-15</v>
      </c>
      <c r="AC139" s="24">
        <f t="shared" si="111"/>
        <v>1.1785330571386479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4</v>
      </c>
      <c r="AI139" s="14">
        <f>IF('Données projet'!$A$62&gt;35,AI138+AH139-AQ138,IF(A139&lt;'Données projet'!$A$62,$AF$205^A139,IF(A139='Données projet'!$A$62,'Données projet'!$B$62,AI138+AH139-AQ138)))</f>
        <v>326.99999999999955</v>
      </c>
      <c r="AJ139" s="14">
        <f>AI139*VLOOKUP('Données projet'!$B$10,Paramètres!$A$1:$I$89,3,0)*VLOOKUP('Données projet'!$B$10,Paramètres!$A$1:$I$89,5,0)</f>
        <v>295.86959999999954</v>
      </c>
      <c r="AK139" s="14">
        <f t="shared" si="143"/>
        <v>70.309875568291091</v>
      </c>
      <c r="AL139" s="22">
        <f t="shared" si="112"/>
        <v>637.76258661477277</v>
      </c>
      <c r="AM139" s="62">
        <f t="shared" si="113"/>
        <v>931.09591994810603</v>
      </c>
      <c r="AN139" s="62">
        <f ca="1">AVERAGE(OFFSET($AM$3,0,0,'Données projet'!$E$10+1,1))-AVERAGE(OFFSET($H$3,0,0,'Données projet'!$E$10+1,1))</f>
        <v>384.44848355636935</v>
      </c>
      <c r="AO139" s="62">
        <f t="shared" si="144"/>
        <v>203.5274665601915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4</v>
      </c>
      <c r="BD139" s="13">
        <f>IF('Données projet'!$A$88&gt;35,BD138+BC139-BL138,IF(A139&lt;'Données projet'!$A$88,$BA$205^A139,IF(A139='Données projet'!$A$88,'Données projet'!$B$88,BD138+BC139-BL138)))</f>
        <v>326.99999999999955</v>
      </c>
      <c r="BE139" s="14">
        <f>BD139*VLOOKUP('Données projet'!$B$11,Paramètres!$A$1:$I$89,3,0)*VLOOKUP('Données projet'!$B$11,Paramètres!$A$1:$I$89,5,0)</f>
        <v>331.57799999999952</v>
      </c>
      <c r="BF139" s="14">
        <f t="shared" si="145"/>
        <v>77.757375944425789</v>
      </c>
      <c r="BG139" s="22">
        <f t="shared" si="115"/>
        <v>712.92577976987411</v>
      </c>
      <c r="BH139" s="62">
        <f t="shared" si="116"/>
        <v>1006.2591131032075</v>
      </c>
      <c r="BI139" s="62">
        <f ca="1">AVERAGE(OFFSET($BH$3,0,0,'Données projet'!$E$11+1,1))-AVERAGE(OFFSET($H$3,0,0,'Données projet'!$E$11+1,1))</f>
        <v>440.60698566758532</v>
      </c>
      <c r="BJ139" s="62">
        <f t="shared" si="146"/>
        <v>231.92898690465887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287.29865338866551</v>
      </c>
      <c r="CE139" s="62">
        <f t="shared" si="148"/>
        <v>217.57508587672368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0.57973348612739839</v>
      </c>
      <c r="CM139" s="23">
        <f>EXP(-LN(2)/2)*CM138+(1-EXP(-LN(2)/2))/(LN(2)/2)*CG139*CJ139*VLOOKUP('Données projet'!$B$12,Paramètres!$A$1:$I$89,3,0)*0.475*44/12</f>
        <v>1.4284334884372959E-15</v>
      </c>
      <c r="CN139" s="24">
        <f t="shared" si="120"/>
        <v>0.57973348612739983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175.05987582828078</v>
      </c>
      <c r="CZ139" s="62">
        <f t="shared" si="150"/>
        <v>268.54782308462387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0.48056410498916668</v>
      </c>
      <c r="DH139" s="23">
        <f>EXP(-LN(2)/2)*DH138+(1-EXP(-LN(2)/2))/(LN(2)/2)*DB139*DE139*VLOOKUP('Données projet'!$B$13,Paramètres!$A$1:$I$89,3,0)*0.475*44/12</f>
        <v>1.4043169294861897E-15</v>
      </c>
      <c r="DI139" s="24">
        <f t="shared" si="123"/>
        <v>0.48056410498916807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-5.6843418860808015E-14</v>
      </c>
      <c r="DP139" s="18">
        <f>DO139*VLOOKUP('Données projet'!$B$14,Paramètres!$A$1:$I$89,3,0)*VLOOKUP('Données projet'!$B$14,Paramètres!$A$1:$I$89,5,0)</f>
        <v>-3.2514435588382188E-14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228.06050741667258</v>
      </c>
      <c r="DU139" s="62">
        <f t="shared" si="152"/>
        <v>191.94885821983536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0.99507303629125365</v>
      </c>
      <c r="EC139" s="23">
        <f>EXP(-LN(2)/2)*EC138+(1-EXP(-LN(2)/2))/(LN(2)/2)*DW139*DZ139*VLOOKUP('Données projet'!$B$14,Paramètres!$A$1:$I$89,3,0)*0.475*44/12</f>
        <v>1.1392827764172582E-14</v>
      </c>
      <c r="ED139" s="24">
        <f t="shared" si="126"/>
        <v>0.99507303629126509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-5.6843418860808015E-14</v>
      </c>
      <c r="EK139" s="18">
        <f>EJ139*VLOOKUP('Données projet'!$B$15,Paramètres!$A$1:$I$89,3,0)*VLOOKUP('Données projet'!$B$15,Paramètres!$A$1:$I$89,5,0)</f>
        <v>-5.1431925385259088E-14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315.23521260143986</v>
      </c>
      <c r="EP139" s="62">
        <f t="shared" si="154"/>
        <v>439.11021845472641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-3.4106051316484809E-13</v>
      </c>
      <c r="O140" s="14">
        <f>N140*VLOOKUP('Données projet'!$B$9,Paramètres!$A$1:$I$89,3,0)*VLOOKUP('Données projet'!$B$9,Paramètres!$A$1:$I$89,5,0)</f>
        <v>-1.9065282685915009E-13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302.20483575440988</v>
      </c>
      <c r="T140" s="62">
        <f t="shared" si="142"/>
        <v>275.32862097158687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1.1463060087148302</v>
      </c>
      <c r="AB140" s="23">
        <f>EXP(-LN(2)/2)*AB139+(1-EXP(-LN(2)/2))/(LN(2)/2)*V140*Y140*VLOOKUP('Données projet'!$B$9,Paramètres!$A$1:$I$89,3,0)*0.475*44/12</f>
        <v>8.6416170001961977E-16</v>
      </c>
      <c r="AC140" s="24">
        <f t="shared" si="111"/>
        <v>1.1463060087148311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4</v>
      </c>
      <c r="AI140" s="14">
        <f>IF('Données projet'!$A$62&gt;35,AI139+AH140-AQ139,IF(A140&lt;'Données projet'!$A$62,$AF$205^A140,IF(A140='Données projet'!$A$62,'Données projet'!$B$62,AI139+AH140-AQ139)))</f>
        <v>330.99999999999955</v>
      </c>
      <c r="AJ140" s="14">
        <f>AI140*VLOOKUP('Données projet'!$B$10,Paramètres!$A$1:$I$89,3,0)*VLOOKUP('Données projet'!$B$10,Paramètres!$A$1:$I$89,5,0)</f>
        <v>299.48879999999957</v>
      </c>
      <c r="AK140" s="14">
        <f t="shared" si="143"/>
        <v>71.069285685467236</v>
      </c>
      <c r="AL140" s="22">
        <f t="shared" si="112"/>
        <v>645.38866590218811</v>
      </c>
      <c r="AM140" s="62">
        <f t="shared" si="113"/>
        <v>938.72199923552148</v>
      </c>
      <c r="AN140" s="62">
        <f ca="1">AVERAGE(OFFSET($AM$3,0,0,'Données projet'!$E$10+1,1))-AVERAGE(OFFSET($H$3,0,0,'Données projet'!$E$10+1,1))</f>
        <v>384.44848355636935</v>
      </c>
      <c r="AO140" s="62">
        <f t="shared" si="144"/>
        <v>203.5274665601915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4</v>
      </c>
      <c r="BD140" s="13">
        <f>IF('Données projet'!$A$88&gt;35,BD139+BC140-BL139,IF(A140&lt;'Données projet'!$A$88,$BA$205^A140,IF(A140='Données projet'!$A$88,'Données projet'!$B$88,BD139+BC140-BL139)))</f>
        <v>330.99999999999955</v>
      </c>
      <c r="BE140" s="14">
        <f>BD140*VLOOKUP('Données projet'!$B$11,Paramètres!$A$1:$I$89,3,0)*VLOOKUP('Données projet'!$B$11,Paramètres!$A$1:$I$89,5,0)</f>
        <v>335.63399999999956</v>
      </c>
      <c r="BF140" s="14">
        <f t="shared" si="145"/>
        <v>78.597225787708567</v>
      </c>
      <c r="BG140" s="22">
        <f t="shared" si="115"/>
        <v>721.45271824692497</v>
      </c>
      <c r="BH140" s="62">
        <f t="shared" si="116"/>
        <v>1014.7860515802583</v>
      </c>
      <c r="BI140" s="62">
        <f ca="1">AVERAGE(OFFSET($BH$3,0,0,'Données projet'!$E$11+1,1))-AVERAGE(OFFSET($H$3,0,0,'Données projet'!$E$11+1,1))</f>
        <v>440.60698566758532</v>
      </c>
      <c r="BJ140" s="62">
        <f t="shared" si="146"/>
        <v>231.92898690465887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287.29865338866551</v>
      </c>
      <c r="CE140" s="62">
        <f t="shared" si="148"/>
        <v>217.57508587672368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0.56388064346238564</v>
      </c>
      <c r="CM140" s="23">
        <f>EXP(-LN(2)/2)*CM139+(1-EXP(-LN(2)/2))/(LN(2)/2)*CG140*CJ140*VLOOKUP('Données projet'!$B$12,Paramètres!$A$1:$I$89,3,0)*0.475*44/12</f>
        <v>1.0100550061479677E-15</v>
      </c>
      <c r="CN140" s="24">
        <f t="shared" si="120"/>
        <v>0.56388064346238664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175.05987582828078</v>
      </c>
      <c r="CZ140" s="62">
        <f t="shared" si="150"/>
        <v>268.54782308462387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0.46742305426646996</v>
      </c>
      <c r="DH140" s="23">
        <f>EXP(-LN(2)/2)*DH139+(1-EXP(-LN(2)/2))/(LN(2)/2)*DB140*DE140*VLOOKUP('Données projet'!$B$13,Paramètres!$A$1:$I$89,3,0)*0.475*44/12</f>
        <v>9.9300202377475544E-16</v>
      </c>
      <c r="DI140" s="24">
        <f t="shared" si="123"/>
        <v>0.46742305426647096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-5.6843418860808015E-14</v>
      </c>
      <c r="DP140" s="18">
        <f>DO140*VLOOKUP('Données projet'!$B$14,Paramètres!$A$1:$I$89,3,0)*VLOOKUP('Données projet'!$B$14,Paramètres!$A$1:$I$89,5,0)</f>
        <v>-3.2514435588382188E-14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228.06050741667258</v>
      </c>
      <c r="DU140" s="62">
        <f t="shared" si="152"/>
        <v>191.94885821983536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0.96786271178525263</v>
      </c>
      <c r="EC140" s="23">
        <f>EXP(-LN(2)/2)*EC139+(1-EXP(-LN(2)/2))/(LN(2)/2)*DW140*DZ140*VLOOKUP('Données projet'!$B$14,Paramètres!$A$1:$I$89,3,0)*0.475*44/12</f>
        <v>8.0559457689368051E-15</v>
      </c>
      <c r="ED140" s="24">
        <f t="shared" si="126"/>
        <v>0.96786271178526073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-5.6843418860808015E-14</v>
      </c>
      <c r="EK140" s="18">
        <f>EJ140*VLOOKUP('Données projet'!$B$15,Paramètres!$A$1:$I$89,3,0)*VLOOKUP('Données projet'!$B$15,Paramètres!$A$1:$I$89,5,0)</f>
        <v>-5.1431925385259088E-14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315.23521260143986</v>
      </c>
      <c r="EP140" s="62">
        <f t="shared" si="154"/>
        <v>439.11021845472641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-3.4106051316484809E-13</v>
      </c>
      <c r="O141" s="14">
        <f>N141*VLOOKUP('Données projet'!$B$9,Paramètres!$A$1:$I$89,3,0)*VLOOKUP('Données projet'!$B$9,Paramètres!$A$1:$I$89,5,0)</f>
        <v>-1.9065282685915009E-13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302.20483575440988</v>
      </c>
      <c r="T141" s="62">
        <f t="shared" si="142"/>
        <v>275.32862097158687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1.1149602106249101</v>
      </c>
      <c r="AB141" s="23">
        <f>EXP(-LN(2)/2)*AB140+(1-EXP(-LN(2)/2))/(LN(2)/2)*V141*Y141*VLOOKUP('Données projet'!$B$9,Paramètres!$A$1:$I$89,3,0)*0.475*44/12</f>
        <v>6.1105459812556828E-16</v>
      </c>
      <c r="AC141" s="24">
        <f t="shared" si="111"/>
        <v>1.1149602106249108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4</v>
      </c>
      <c r="AI141" s="14">
        <f>IF('Données projet'!$A$62&gt;35,AI140+AH141-AQ140,IF(A141&lt;'Données projet'!$A$62,$AF$205^A141,IF(A141='Données projet'!$A$62,'Données projet'!$B$62,AI140+AH141-AQ140)))</f>
        <v>334.99999999999955</v>
      </c>
      <c r="AJ141" s="14">
        <f>AI141*VLOOKUP('Données projet'!$B$10,Paramètres!$A$1:$I$89,3,0)*VLOOKUP('Données projet'!$B$10,Paramètres!$A$1:$I$89,5,0)</f>
        <v>303.10799999999961</v>
      </c>
      <c r="AK141" s="14">
        <f t="shared" si="143"/>
        <v>71.827628304517162</v>
      </c>
      <c r="AL141" s="22">
        <f t="shared" si="112"/>
        <v>653.0128859637</v>
      </c>
      <c r="AM141" s="62">
        <f t="shared" si="113"/>
        <v>946.34621929703326</v>
      </c>
      <c r="AN141" s="62">
        <f ca="1">AVERAGE(OFFSET($AM$3,0,0,'Données projet'!$E$10+1,1))-AVERAGE(OFFSET($H$3,0,0,'Données projet'!$E$10+1,1))</f>
        <v>384.44848355636935</v>
      </c>
      <c r="AO141" s="62">
        <f t="shared" si="144"/>
        <v>203.5274665601915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4</v>
      </c>
      <c r="BD141" s="13">
        <f>IF('Données projet'!$A$88&gt;35,BD140+BC141-BL140,IF(A141&lt;'Données projet'!$A$88,$BA$205^A141,IF(A141='Données projet'!$A$88,'Données projet'!$B$88,BD140+BC141-BL140)))</f>
        <v>334.99999999999955</v>
      </c>
      <c r="BE141" s="14">
        <f>BD141*VLOOKUP('Données projet'!$B$11,Paramètres!$A$1:$I$89,3,0)*VLOOKUP('Données projet'!$B$11,Paramètres!$A$1:$I$89,5,0)</f>
        <v>339.68999999999954</v>
      </c>
      <c r="BF141" s="14">
        <f t="shared" si="145"/>
        <v>79.435895059237467</v>
      </c>
      <c r="BG141" s="22">
        <f t="shared" si="115"/>
        <v>729.97760056150446</v>
      </c>
      <c r="BH141" s="62">
        <f t="shared" si="116"/>
        <v>1023.3109338948377</v>
      </c>
      <c r="BI141" s="62">
        <f ca="1">AVERAGE(OFFSET($BH$3,0,0,'Données projet'!$E$11+1,1))-AVERAGE(OFFSET($H$3,0,0,'Données projet'!$E$11+1,1))</f>
        <v>440.60698566758532</v>
      </c>
      <c r="BJ141" s="62">
        <f t="shared" si="146"/>
        <v>231.92898690465887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287.29865338866551</v>
      </c>
      <c r="CE141" s="62">
        <f t="shared" si="148"/>
        <v>217.57508587672368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0.54846129761371243</v>
      </c>
      <c r="CM141" s="23">
        <f>EXP(-LN(2)/2)*CM140+(1-EXP(-LN(2)/2))/(LN(2)/2)*CG141*CJ141*VLOOKUP('Données projet'!$B$12,Paramètres!$A$1:$I$89,3,0)*0.475*44/12</f>
        <v>7.1421674421864796E-16</v>
      </c>
      <c r="CN141" s="24">
        <f t="shared" si="120"/>
        <v>0.54846129761371309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175.05987582828078</v>
      </c>
      <c r="CZ141" s="62">
        <f t="shared" si="150"/>
        <v>268.54782308462387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0.45464134626684322</v>
      </c>
      <c r="DH141" s="23">
        <f>EXP(-LN(2)/2)*DH140+(1-EXP(-LN(2)/2))/(LN(2)/2)*DB141*DE141*VLOOKUP('Données projet'!$B$13,Paramètres!$A$1:$I$89,3,0)*0.475*44/12</f>
        <v>7.0215846474309486E-16</v>
      </c>
      <c r="DI141" s="24">
        <f t="shared" si="123"/>
        <v>0.45464134626684394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-5.6843418860808015E-14</v>
      </c>
      <c r="DP141" s="18">
        <f>DO141*VLOOKUP('Données projet'!$B$14,Paramètres!$A$1:$I$89,3,0)*VLOOKUP('Données projet'!$B$14,Paramètres!$A$1:$I$89,5,0)</f>
        <v>-3.2514435588382188E-14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228.06050741667258</v>
      </c>
      <c r="DU141" s="62">
        <f t="shared" si="152"/>
        <v>191.94885821983536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0.94139645503379699</v>
      </c>
      <c r="EC141" s="23">
        <f>EXP(-LN(2)/2)*EC140+(1-EXP(-LN(2)/2))/(LN(2)/2)*DW141*DZ141*VLOOKUP('Données projet'!$B$14,Paramètres!$A$1:$I$89,3,0)*0.475*44/12</f>
        <v>5.6964138820862909E-15</v>
      </c>
      <c r="ED141" s="24">
        <f t="shared" si="126"/>
        <v>0.94139645503380265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-5.6843418860808015E-14</v>
      </c>
      <c r="EK141" s="18">
        <f>EJ141*VLOOKUP('Données projet'!$B$15,Paramètres!$A$1:$I$89,3,0)*VLOOKUP('Données projet'!$B$15,Paramètres!$A$1:$I$89,5,0)</f>
        <v>-5.1431925385259088E-14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315.23521260143986</v>
      </c>
      <c r="EP141" s="62">
        <f t="shared" si="154"/>
        <v>439.11021845472641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-3.4106051316484809E-13</v>
      </c>
      <c r="O142" s="14">
        <f>N142*VLOOKUP('Données projet'!$B$9,Paramètres!$A$1:$I$89,3,0)*VLOOKUP('Données projet'!$B$9,Paramètres!$A$1:$I$89,5,0)</f>
        <v>-1.9065282685915009E-13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302.20483575440988</v>
      </c>
      <c r="T142" s="62">
        <f t="shared" si="142"/>
        <v>275.32862097158687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1.0844715650321628</v>
      </c>
      <c r="AB142" s="23">
        <f>EXP(-LN(2)/2)*AB141+(1-EXP(-LN(2)/2))/(LN(2)/2)*V142*Y142*VLOOKUP('Données projet'!$B$9,Paramètres!$A$1:$I$89,3,0)*0.475*44/12</f>
        <v>4.3208085000980999E-16</v>
      </c>
      <c r="AC142" s="24">
        <f t="shared" si="111"/>
        <v>1.0844715650321632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4</v>
      </c>
      <c r="AI142" s="14">
        <f>IF('Données projet'!$A$62&gt;35,AI141+AH142-AQ141,IF(A142&lt;'Données projet'!$A$62,$AF$205^A142,IF(A142='Données projet'!$A$62,'Données projet'!$B$62,AI141+AH142-AQ141)))</f>
        <v>338.99999999999955</v>
      </c>
      <c r="AJ142" s="14">
        <f>AI142*VLOOKUP('Données projet'!$B$10,Paramètres!$A$1:$I$89,3,0)*VLOOKUP('Données projet'!$B$10,Paramètres!$A$1:$I$89,5,0)</f>
        <v>306.72719999999958</v>
      </c>
      <c r="AK142" s="14">
        <f t="shared" si="143"/>
        <v>72.584917646145513</v>
      </c>
      <c r="AL142" s="22">
        <f t="shared" si="112"/>
        <v>660.63527156703606</v>
      </c>
      <c r="AM142" s="62">
        <f t="shared" si="113"/>
        <v>953.96860490036943</v>
      </c>
      <c r="AN142" s="62">
        <f ca="1">AVERAGE(OFFSET($AM$3,0,0,'Données projet'!$E$10+1,1))-AVERAGE(OFFSET($H$3,0,0,'Données projet'!$E$10+1,1))</f>
        <v>384.44848355636935</v>
      </c>
      <c r="AO142" s="62">
        <f t="shared" si="144"/>
        <v>203.5274665601915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4</v>
      </c>
      <c r="BD142" s="13">
        <f>IF('Données projet'!$A$88&gt;35,BD141+BC142-BL141,IF(A142&lt;'Données projet'!$A$88,$BA$205^A142,IF(A142='Données projet'!$A$88,'Données projet'!$B$88,BD141+BC142-BL141)))</f>
        <v>338.99999999999955</v>
      </c>
      <c r="BE142" s="14">
        <f>BD142*VLOOKUP('Données projet'!$B$11,Paramètres!$A$1:$I$89,3,0)*VLOOKUP('Données projet'!$B$11,Paramètres!$A$1:$I$89,5,0)</f>
        <v>343.74599999999958</v>
      </c>
      <c r="BF142" s="14">
        <f t="shared" si="145"/>
        <v>80.273399486030371</v>
      </c>
      <c r="BG142" s="22">
        <f t="shared" si="115"/>
        <v>738.50045410483551</v>
      </c>
      <c r="BH142" s="62">
        <f t="shared" si="116"/>
        <v>1031.8337874381689</v>
      </c>
      <c r="BI142" s="62">
        <f ca="1">AVERAGE(OFFSET($BH$3,0,0,'Données projet'!$E$11+1,1))-AVERAGE(OFFSET($H$3,0,0,'Données projet'!$E$11+1,1))</f>
        <v>440.60698566758532</v>
      </c>
      <c r="BJ142" s="62">
        <f t="shared" si="146"/>
        <v>231.92898690465887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287.29865338866551</v>
      </c>
      <c r="CE142" s="62">
        <f t="shared" si="148"/>
        <v>217.57508587672368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0.5334635945881393</v>
      </c>
      <c r="CM142" s="23">
        <f>EXP(-LN(2)/2)*CM141+(1-EXP(-LN(2)/2))/(LN(2)/2)*CG142*CJ142*VLOOKUP('Données projet'!$B$12,Paramètres!$A$1:$I$89,3,0)*0.475*44/12</f>
        <v>5.0502750307398387E-16</v>
      </c>
      <c r="CN142" s="24">
        <f t="shared" si="120"/>
        <v>0.53346359458813986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175.05987582828078</v>
      </c>
      <c r="CZ142" s="62">
        <f t="shared" si="150"/>
        <v>268.54782308462387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0.44220915474462708</v>
      </c>
      <c r="DH142" s="23">
        <f>EXP(-LN(2)/2)*DH141+(1-EXP(-LN(2)/2))/(LN(2)/2)*DB142*DE142*VLOOKUP('Données projet'!$B$13,Paramètres!$A$1:$I$89,3,0)*0.475*44/12</f>
        <v>4.9650101188737772E-16</v>
      </c>
      <c r="DI142" s="24">
        <f t="shared" si="123"/>
        <v>0.44220915474462757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-5.6843418860808015E-14</v>
      </c>
      <c r="DP142" s="18">
        <f>DO142*VLOOKUP('Données projet'!$B$14,Paramètres!$A$1:$I$89,3,0)*VLOOKUP('Données projet'!$B$14,Paramètres!$A$1:$I$89,5,0)</f>
        <v>-3.2514435588382188E-14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228.06050741667258</v>
      </c>
      <c r="DU142" s="62">
        <f t="shared" si="152"/>
        <v>191.94885821983536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0.91565391946500985</v>
      </c>
      <c r="EC142" s="23">
        <f>EXP(-LN(2)/2)*EC141+(1-EXP(-LN(2)/2))/(LN(2)/2)*DW142*DZ142*VLOOKUP('Données projet'!$B$14,Paramètres!$A$1:$I$89,3,0)*0.475*44/12</f>
        <v>4.0279728844684025E-15</v>
      </c>
      <c r="ED142" s="24">
        <f t="shared" si="126"/>
        <v>0.91565391946501384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-5.6843418860808015E-14</v>
      </c>
      <c r="EK142" s="18">
        <f>EJ142*VLOOKUP('Données projet'!$B$15,Paramètres!$A$1:$I$89,3,0)*VLOOKUP('Données projet'!$B$15,Paramètres!$A$1:$I$89,5,0)</f>
        <v>-5.1431925385259088E-14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315.23521260143986</v>
      </c>
      <c r="EP142" s="62">
        <f t="shared" si="154"/>
        <v>439.11021845472641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-3.4106051316484809E-13</v>
      </c>
      <c r="O143" s="14">
        <f>N143*VLOOKUP('Données projet'!$B$9,Paramètres!$A$1:$I$89,3,0)*VLOOKUP('Données projet'!$B$9,Paramètres!$A$1:$I$89,5,0)</f>
        <v>-1.9065282685915009E-13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302.20483575440988</v>
      </c>
      <c r="T143" s="62">
        <f t="shared" si="142"/>
        <v>275.32862097158687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1.0548166330564772</v>
      </c>
      <c r="AB143" s="23">
        <f>EXP(-LN(2)/2)*AB142+(1-EXP(-LN(2)/2))/(LN(2)/2)*V143*Y143*VLOOKUP('Données projet'!$B$9,Paramètres!$A$1:$I$89,3,0)*0.475*44/12</f>
        <v>3.0552729906278419E-16</v>
      </c>
      <c r="AC143" s="24">
        <f t="shared" si="111"/>
        <v>1.0548166330564774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343</v>
      </c>
      <c r="AG143" s="13">
        <f>VLOOKUP(A143,'Données projet'!$A$61:$I$81,9,0)</f>
        <v>4</v>
      </c>
      <c r="AH143" s="13">
        <f t="array" ref="AH143">INDEX(AG:AG,MIN(IF(ISNUMBER(AG143:AG339),ROW(AG143:AG339),"")))</f>
        <v>4</v>
      </c>
      <c r="AI143" s="14">
        <f>IF('Données projet'!$A$62&gt;35,AI142+AH143-AQ142,IF(A143&lt;'Données projet'!$A$62,$AF$205^A143,IF(A143='Données projet'!$A$62,'Données projet'!$B$62,AI142+AH143-AQ142)))</f>
        <v>342.99999999999955</v>
      </c>
      <c r="AJ143" s="14">
        <f>AI143*VLOOKUP('Données projet'!$B$10,Paramètres!$A$1:$I$89,3,0)*VLOOKUP('Données projet'!$B$10,Paramètres!$A$1:$I$89,5,0)</f>
        <v>310.34639999999956</v>
      </c>
      <c r="AK143" s="14">
        <f t="shared" si="143"/>
        <v>73.341167576152927</v>
      </c>
      <c r="AL143" s="22">
        <f t="shared" si="112"/>
        <v>668.25584686179889</v>
      </c>
      <c r="AM143" s="62">
        <f t="shared" si="113"/>
        <v>961.58918019513226</v>
      </c>
      <c r="AN143" s="62">
        <f ca="1">AVERAGE(OFFSET($AM$3,0,0,'Données projet'!$E$10+1,1))-AVERAGE(OFFSET($H$3,0,0,'Données projet'!$E$10+1,1))</f>
        <v>384.44848355636935</v>
      </c>
      <c r="AO143" s="62">
        <f t="shared" si="144"/>
        <v>203.5274665601915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43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343</v>
      </c>
      <c r="BB143" s="13">
        <f>VLOOKUP(A143,'Données projet'!$A$87:$I$107,9,0)</f>
        <v>4</v>
      </c>
      <c r="BC143" s="13">
        <f t="array" ref="BC143">INDEX(BB:BB,MIN(IF(ISNUMBER(BB143:BB339),ROW(BB143:BB339),"")))</f>
        <v>4</v>
      </c>
      <c r="BD143" s="13">
        <f>IF('Données projet'!$A$88&gt;35,BD142+BC143-BL142,IF(A143&lt;'Données projet'!$A$88,$BA$205^A143,IF(A143='Données projet'!$A$88,'Données projet'!$B$88,BD142+BC143-BL142)))</f>
        <v>342.99999999999955</v>
      </c>
      <c r="BE143" s="14">
        <f>BD143*VLOOKUP('Données projet'!$B$11,Paramètres!$A$1:$I$89,3,0)*VLOOKUP('Données projet'!$B$11,Paramètres!$A$1:$I$89,5,0)</f>
        <v>347.80199999999957</v>
      </c>
      <c r="BF143" s="14">
        <f t="shared" si="145"/>
        <v>81.109754402608502</v>
      </c>
      <c r="BG143" s="22">
        <f t="shared" si="115"/>
        <v>747.02130558454235</v>
      </c>
      <c r="BH143" s="62">
        <f t="shared" si="116"/>
        <v>1040.3546389178757</v>
      </c>
      <c r="BI143" s="62">
        <f ca="1">AVERAGE(OFFSET($BH$3,0,0,'Données projet'!$E$11+1,1))-AVERAGE(OFFSET($H$3,0,0,'Données projet'!$E$11+1,1))</f>
        <v>440.60698566758532</v>
      </c>
      <c r="BJ143" s="62">
        <f t="shared" si="146"/>
        <v>231.92898690465887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43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287.29865338866551</v>
      </c>
      <c r="CE143" s="62">
        <f t="shared" si="148"/>
        <v>217.57508587672368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0.51887600454049543</v>
      </c>
      <c r="CM143" s="23">
        <f>EXP(-LN(2)/2)*CM142+(1-EXP(-LN(2)/2))/(LN(2)/2)*CG143*CJ143*VLOOKUP('Données projet'!$B$12,Paramètres!$A$1:$I$89,3,0)*0.475*44/12</f>
        <v>3.5710837210932398E-16</v>
      </c>
      <c r="CN143" s="24">
        <f t="shared" si="120"/>
        <v>0.51887600454049576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175.05987582828078</v>
      </c>
      <c r="CZ143" s="62">
        <f t="shared" si="150"/>
        <v>268.54782308462387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0.4301169221533665</v>
      </c>
      <c r="DH143" s="23">
        <f>EXP(-LN(2)/2)*DH142+(1-EXP(-LN(2)/2))/(LN(2)/2)*DB143*DE143*VLOOKUP('Données projet'!$B$13,Paramètres!$A$1:$I$89,3,0)*0.475*44/12</f>
        <v>3.5107923237154743E-16</v>
      </c>
      <c r="DI143" s="24">
        <f t="shared" si="123"/>
        <v>0.43011692215336683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-5.6843418860808015E-14</v>
      </c>
      <c r="DP143" s="18">
        <f>DO143*VLOOKUP('Données projet'!$B$14,Paramètres!$A$1:$I$89,3,0)*VLOOKUP('Données projet'!$B$14,Paramètres!$A$1:$I$89,5,0)</f>
        <v>-3.2514435588382188E-14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228.06050741667258</v>
      </c>
      <c r="DU143" s="62">
        <f t="shared" si="152"/>
        <v>191.94885821983536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0.89061531488509227</v>
      </c>
      <c r="EC143" s="23">
        <f>EXP(-LN(2)/2)*EC142+(1-EXP(-LN(2)/2))/(LN(2)/2)*DW143*DZ143*VLOOKUP('Données projet'!$B$14,Paramètres!$A$1:$I$89,3,0)*0.475*44/12</f>
        <v>2.8482069410431454E-15</v>
      </c>
      <c r="ED143" s="24">
        <f t="shared" si="126"/>
        <v>0.89061531488509516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-5.6843418860808015E-14</v>
      </c>
      <c r="EK143" s="18">
        <f>EJ143*VLOOKUP('Données projet'!$B$15,Paramètres!$A$1:$I$89,3,0)*VLOOKUP('Données projet'!$B$15,Paramètres!$A$1:$I$89,5,0)</f>
        <v>-5.1431925385259088E-14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315.23521260143986</v>
      </c>
      <c r="EP143" s="62">
        <f t="shared" si="154"/>
        <v>439.11021845472641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-3.4106051316484809E-13</v>
      </c>
      <c r="O144" s="14">
        <f>N144*VLOOKUP('Données projet'!$B$9,Paramètres!$A$1:$I$89,3,0)*VLOOKUP('Données projet'!$B$9,Paramètres!$A$1:$I$89,5,0)</f>
        <v>-1.9065282685915009E-13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302.20483575440988</v>
      </c>
      <c r="T144" s="62">
        <f t="shared" si="142"/>
        <v>275.32862097158687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1.0259726167551519</v>
      </c>
      <c r="AB144" s="23">
        <f>EXP(-LN(2)/2)*AB143+(1-EXP(-LN(2)/2))/(LN(2)/2)*V144*Y144*VLOOKUP('Données projet'!$B$9,Paramètres!$A$1:$I$89,3,0)*0.475*44/12</f>
        <v>2.1604042500490502E-16</v>
      </c>
      <c r="AC144" s="24">
        <f t="shared" si="111"/>
        <v>1.0259726167551522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3.5</v>
      </c>
      <c r="AI144" s="14">
        <f>IF('Données projet'!$A$62&gt;35,AI143+AH144-AQ143,IF(A144&lt;'Données projet'!$A$62,$AF$205^A144,IF(A144='Données projet'!$A$62,'Données projet'!$B$62,AI143+AH144-AQ143)))</f>
        <v>303.49999999999955</v>
      </c>
      <c r="AJ144" s="14">
        <f>AI144*VLOOKUP('Données projet'!$B$10,Paramètres!$A$1:$I$89,3,0)*VLOOKUP('Données projet'!$B$10,Paramètres!$A$1:$I$89,5,0)</f>
        <v>274.60679999999957</v>
      </c>
      <c r="AK144" s="14">
        <f t="shared" si="143"/>
        <v>65.825983768649721</v>
      </c>
      <c r="AL144" s="22">
        <f t="shared" si="112"/>
        <v>592.92043173039758</v>
      </c>
      <c r="AM144" s="62">
        <f t="shared" si="113"/>
        <v>886.25376506373095</v>
      </c>
      <c r="AN144" s="62">
        <f ca="1">AVERAGE(OFFSET($AM$3,0,0,'Données projet'!$E$10+1,1))-AVERAGE(OFFSET($H$3,0,0,'Données projet'!$E$10+1,1))</f>
        <v>384.44848355636935</v>
      </c>
      <c r="AO144" s="62">
        <f t="shared" si="144"/>
        <v>203.5274665601915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3.5</v>
      </c>
      <c r="BD144" s="13">
        <f>IF('Données projet'!$A$88&gt;35,BD143+BC144-BL143,IF(A144&lt;'Données projet'!$A$88,$BA$205^A144,IF(A144='Données projet'!$A$88,'Données projet'!$B$88,BD143+BC144-BL143)))</f>
        <v>303.49999999999955</v>
      </c>
      <c r="BE144" s="14">
        <f>BD144*VLOOKUP('Données projet'!$B$11,Paramètres!$A$1:$I$89,3,0)*VLOOKUP('Données projet'!$B$11,Paramètres!$A$1:$I$89,5,0)</f>
        <v>307.74899999999957</v>
      </c>
      <c r="BF144" s="14">
        <f t="shared" si="145"/>
        <v>72.798532573693379</v>
      </c>
      <c r="BG144" s="22">
        <f t="shared" si="115"/>
        <v>662.78695256584854</v>
      </c>
      <c r="BH144" s="62">
        <f t="shared" si="116"/>
        <v>956.12028589918191</v>
      </c>
      <c r="BI144" s="62">
        <f ca="1">AVERAGE(OFFSET($BH$3,0,0,'Données projet'!$E$11+1,1))-AVERAGE(OFFSET($H$3,0,0,'Données projet'!$E$11+1,1))</f>
        <v>440.60698566758532</v>
      </c>
      <c r="BJ144" s="62">
        <f t="shared" si="146"/>
        <v>231.92898690465887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287.29865338866551</v>
      </c>
      <c r="CE144" s="62">
        <f t="shared" si="148"/>
        <v>217.57508587672368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0.50468731290983238</v>
      </c>
      <c r="CM144" s="23">
        <f>EXP(-LN(2)/2)*CM143+(1-EXP(-LN(2)/2))/(LN(2)/2)*CG144*CJ144*VLOOKUP('Données projet'!$B$12,Paramètres!$A$1:$I$89,3,0)*0.475*44/12</f>
        <v>2.5251375153699194E-16</v>
      </c>
      <c r="CN144" s="24">
        <f t="shared" si="120"/>
        <v>0.5046873129098326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175.05987582828078</v>
      </c>
      <c r="CZ144" s="62">
        <f t="shared" si="150"/>
        <v>268.54782308462387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0.4183553522982168</v>
      </c>
      <c r="DH144" s="23">
        <f>EXP(-LN(2)/2)*DH143+(1-EXP(-LN(2)/2))/(LN(2)/2)*DB144*DE144*VLOOKUP('Données projet'!$B$13,Paramètres!$A$1:$I$89,3,0)*0.475*44/12</f>
        <v>2.4825050594368886E-16</v>
      </c>
      <c r="DI144" s="24">
        <f t="shared" si="123"/>
        <v>0.41835535229821702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-5.6843418860808015E-14</v>
      </c>
      <c r="DP144" s="18">
        <f>DO144*VLOOKUP('Données projet'!$B$14,Paramètres!$A$1:$I$89,3,0)*VLOOKUP('Données projet'!$B$14,Paramètres!$A$1:$I$89,5,0)</f>
        <v>-3.2514435588382188E-14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228.06050741667258</v>
      </c>
      <c r="DU144" s="62">
        <f t="shared" si="152"/>
        <v>191.94885821983536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0.86626139226413557</v>
      </c>
      <c r="EC144" s="23">
        <f>EXP(-LN(2)/2)*EC143+(1-EXP(-LN(2)/2))/(LN(2)/2)*DW144*DZ144*VLOOKUP('Données projet'!$B$14,Paramètres!$A$1:$I$89,3,0)*0.475*44/12</f>
        <v>2.0139864422342013E-15</v>
      </c>
      <c r="ED144" s="24">
        <f t="shared" si="126"/>
        <v>0.86626139226413756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-5.6843418860808015E-14</v>
      </c>
      <c r="EK144" s="18">
        <f>EJ144*VLOOKUP('Données projet'!$B$15,Paramètres!$A$1:$I$89,3,0)*VLOOKUP('Données projet'!$B$15,Paramètres!$A$1:$I$89,5,0)</f>
        <v>-5.1431925385259088E-14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315.23521260143986</v>
      </c>
      <c r="EP144" s="62">
        <f t="shared" si="154"/>
        <v>439.11021845472641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-3.4106051316484809E-13</v>
      </c>
      <c r="O145" s="14">
        <f>N145*VLOOKUP('Données projet'!$B$9,Paramètres!$A$1:$I$89,3,0)*VLOOKUP('Données projet'!$B$9,Paramètres!$A$1:$I$89,5,0)</f>
        <v>-1.9065282685915009E-13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302.20483575440988</v>
      </c>
      <c r="T145" s="62">
        <f t="shared" si="142"/>
        <v>275.32862097158687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0.99791734159642731</v>
      </c>
      <c r="AB145" s="23">
        <f>EXP(-LN(2)/2)*AB144+(1-EXP(-LN(2)/2))/(LN(2)/2)*V145*Y145*VLOOKUP('Données projet'!$B$9,Paramètres!$A$1:$I$89,3,0)*0.475*44/12</f>
        <v>1.5276364953139212E-16</v>
      </c>
      <c r="AC145" s="24">
        <f t="shared" si="111"/>
        <v>0.99791734159642742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3.5</v>
      </c>
      <c r="AI145" s="14">
        <f>IF('Données projet'!$A$62&gt;35,AI144+AH145-AQ144,IF(A145&lt;'Données projet'!$A$62,$AF$205^A145,IF(A145='Données projet'!$A$62,'Données projet'!$B$62,AI144+AH145-AQ144)))</f>
        <v>306.99999999999955</v>
      </c>
      <c r="AJ145" s="14">
        <f>AI145*VLOOKUP('Données projet'!$B$10,Paramètres!$A$1:$I$89,3,0)*VLOOKUP('Données projet'!$B$10,Paramètres!$A$1:$I$89,5,0)</f>
        <v>277.77359999999959</v>
      </c>
      <c r="AK145" s="14">
        <f t="shared" si="143"/>
        <v>66.496288176842299</v>
      </c>
      <c r="AL145" s="22">
        <f t="shared" si="112"/>
        <v>599.60338857466627</v>
      </c>
      <c r="AM145" s="62">
        <f t="shared" si="113"/>
        <v>892.93672190799953</v>
      </c>
      <c r="AN145" s="62">
        <f ca="1">AVERAGE(OFFSET($AM$3,0,0,'Données projet'!$E$10+1,1))-AVERAGE(OFFSET($H$3,0,0,'Données projet'!$E$10+1,1))</f>
        <v>384.44848355636935</v>
      </c>
      <c r="AO145" s="62">
        <f t="shared" si="144"/>
        <v>203.5274665601915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3.5</v>
      </c>
      <c r="BD145" s="13">
        <f>IF('Données projet'!$A$88&gt;35,BD144+BC145-BL144,IF(A145&lt;'Données projet'!$A$88,$BA$205^A145,IF(A145='Données projet'!$A$88,'Données projet'!$B$88,BD144+BC145-BL144)))</f>
        <v>306.99999999999955</v>
      </c>
      <c r="BE145" s="14">
        <f>BD145*VLOOKUP('Données projet'!$B$11,Paramètres!$A$1:$I$89,3,0)*VLOOKUP('Données projet'!$B$11,Paramètres!$A$1:$I$89,5,0)</f>
        <v>311.29799999999955</v>
      </c>
      <c r="BF145" s="14">
        <f t="shared" si="145"/>
        <v>73.53983827852862</v>
      </c>
      <c r="BG145" s="22">
        <f t="shared" si="115"/>
        <v>670.25923500176987</v>
      </c>
      <c r="BH145" s="62">
        <f t="shared" si="116"/>
        <v>963.59256833510312</v>
      </c>
      <c r="BI145" s="62">
        <f ca="1">AVERAGE(OFFSET($BH$3,0,0,'Données projet'!$E$11+1,1))-AVERAGE(OFFSET($H$3,0,0,'Données projet'!$E$11+1,1))</f>
        <v>440.60698566758532</v>
      </c>
      <c r="BJ145" s="62">
        <f t="shared" si="146"/>
        <v>231.92898690465887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287.29865338866551</v>
      </c>
      <c r="CE145" s="62">
        <f t="shared" si="148"/>
        <v>217.57508587672368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0.49088661179796073</v>
      </c>
      <c r="CM145" s="23">
        <f>EXP(-LN(2)/2)*CM144+(1-EXP(-LN(2)/2))/(LN(2)/2)*CG145*CJ145*VLOOKUP('Données projet'!$B$12,Paramètres!$A$1:$I$89,3,0)*0.475*44/12</f>
        <v>1.7855418605466199E-16</v>
      </c>
      <c r="CN145" s="24">
        <f t="shared" si="120"/>
        <v>0.49088661179796089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175.05987582828078</v>
      </c>
      <c r="CZ145" s="62">
        <f t="shared" si="150"/>
        <v>268.54782308462387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0.40691540318927022</v>
      </c>
      <c r="DH145" s="23">
        <f>EXP(-LN(2)/2)*DH144+(1-EXP(-LN(2)/2))/(LN(2)/2)*DB145*DE145*VLOOKUP('Données projet'!$B$13,Paramètres!$A$1:$I$89,3,0)*0.475*44/12</f>
        <v>1.7553961618577371E-16</v>
      </c>
      <c r="DI145" s="24">
        <f t="shared" si="123"/>
        <v>0.40691540318927039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-5.6843418860808015E-14</v>
      </c>
      <c r="DP145" s="18">
        <f>DO145*VLOOKUP('Données projet'!$B$14,Paramètres!$A$1:$I$89,3,0)*VLOOKUP('Données projet'!$B$14,Paramètres!$A$1:$I$89,5,0)</f>
        <v>-3.2514435588382188E-14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228.06050741667258</v>
      </c>
      <c r="DU145" s="62">
        <f t="shared" si="152"/>
        <v>191.94885821983536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0.84257342893796605</v>
      </c>
      <c r="EC145" s="23">
        <f>EXP(-LN(2)/2)*EC144+(1-EXP(-LN(2)/2))/(LN(2)/2)*DW145*DZ145*VLOOKUP('Données projet'!$B$14,Paramètres!$A$1:$I$89,3,0)*0.475*44/12</f>
        <v>1.4241034705215727E-15</v>
      </c>
      <c r="ED145" s="24">
        <f t="shared" si="126"/>
        <v>0.84257342893796749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-5.6843418860808015E-14</v>
      </c>
      <c r="EK145" s="18">
        <f>EJ145*VLOOKUP('Données projet'!$B$15,Paramètres!$A$1:$I$89,3,0)*VLOOKUP('Données projet'!$B$15,Paramètres!$A$1:$I$89,5,0)</f>
        <v>-5.1431925385259088E-14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315.23521260143986</v>
      </c>
      <c r="EP145" s="62">
        <f t="shared" si="154"/>
        <v>439.11021845472641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-3.4106051316484809E-13</v>
      </c>
      <c r="O146" s="14">
        <f>N146*VLOOKUP('Données projet'!$B$9,Paramètres!$A$1:$I$89,3,0)*VLOOKUP('Données projet'!$B$9,Paramètres!$A$1:$I$89,5,0)</f>
        <v>-1.9065282685915009E-13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302.20483575440988</v>
      </c>
      <c r="T146" s="62">
        <f t="shared" si="142"/>
        <v>275.32862097158687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0.97062923941228074</v>
      </c>
      <c r="AB146" s="23">
        <f>EXP(-LN(2)/2)*AB145+(1-EXP(-LN(2)/2))/(LN(2)/2)*V146*Y146*VLOOKUP('Données projet'!$B$9,Paramètres!$A$1:$I$89,3,0)*0.475*44/12</f>
        <v>1.0802021250245253E-16</v>
      </c>
      <c r="AC146" s="24">
        <f t="shared" si="111"/>
        <v>0.97062923941228085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3.5</v>
      </c>
      <c r="AI146" s="14">
        <f>IF('Données projet'!$A$62&gt;35,AI145+AH146-AQ145,IF(A146&lt;'Données projet'!$A$62,$AF$205^A146,IF(A146='Données projet'!$A$62,'Données projet'!$B$62,AI145+AH146-AQ145)))</f>
        <v>310.49999999999955</v>
      </c>
      <c r="AJ146" s="14">
        <f>AI146*VLOOKUP('Données projet'!$B$10,Paramètres!$A$1:$I$89,3,0)*VLOOKUP('Données projet'!$B$10,Paramètres!$A$1:$I$89,5,0)</f>
        <v>280.94039999999956</v>
      </c>
      <c r="AK146" s="14">
        <f t="shared" si="143"/>
        <v>67.165703636653078</v>
      </c>
      <c r="AL146" s="22">
        <f t="shared" si="112"/>
        <v>606.28479716716993</v>
      </c>
      <c r="AM146" s="62">
        <f t="shared" si="113"/>
        <v>899.61813050050318</v>
      </c>
      <c r="AN146" s="62">
        <f ca="1">AVERAGE(OFFSET($AM$3,0,0,'Données projet'!$E$10+1,1))-AVERAGE(OFFSET($H$3,0,0,'Données projet'!$E$10+1,1))</f>
        <v>384.44848355636935</v>
      </c>
      <c r="AO146" s="62">
        <f t="shared" si="144"/>
        <v>203.5274665601915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3.5</v>
      </c>
      <c r="BD146" s="13">
        <f>IF('Données projet'!$A$88&gt;35,BD145+BC146-BL145,IF(A146&lt;'Données projet'!$A$88,$BA$205^A146,IF(A146='Données projet'!$A$88,'Données projet'!$B$88,BD145+BC146-BL145)))</f>
        <v>310.49999999999955</v>
      </c>
      <c r="BE146" s="14">
        <f>BD146*VLOOKUP('Données projet'!$B$11,Paramètres!$A$1:$I$89,3,0)*VLOOKUP('Données projet'!$B$11,Paramètres!$A$1:$I$89,5,0)</f>
        <v>314.84699999999953</v>
      </c>
      <c r="BF146" s="14">
        <f t="shared" si="145"/>
        <v>74.280160874050353</v>
      </c>
      <c r="BG146" s="22">
        <f t="shared" si="115"/>
        <v>677.7298051889702</v>
      </c>
      <c r="BH146" s="62">
        <f t="shared" si="116"/>
        <v>971.06313852230346</v>
      </c>
      <c r="BI146" s="62">
        <f ca="1">AVERAGE(OFFSET($BH$3,0,0,'Données projet'!$E$11+1,1))-AVERAGE(OFFSET($H$3,0,0,'Données projet'!$E$11+1,1))</f>
        <v>440.60698566758532</v>
      </c>
      <c r="BJ146" s="62">
        <f t="shared" si="146"/>
        <v>231.92898690465887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287.29865338866551</v>
      </c>
      <c r="CE146" s="62">
        <f t="shared" si="148"/>
        <v>217.57508587672368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0.47746329158374051</v>
      </c>
      <c r="CM146" s="23">
        <f>EXP(-LN(2)/2)*CM145+(1-EXP(-LN(2)/2))/(LN(2)/2)*CG146*CJ146*VLOOKUP('Données projet'!$B$12,Paramètres!$A$1:$I$89,3,0)*0.475*44/12</f>
        <v>1.2625687576849597E-16</v>
      </c>
      <c r="CN146" s="24">
        <f t="shared" si="120"/>
        <v>0.47746329158374062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175.05987582828078</v>
      </c>
      <c r="CZ146" s="62">
        <f t="shared" si="150"/>
        <v>268.54782308462387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0.39578828009030859</v>
      </c>
      <c r="DH146" s="23">
        <f>EXP(-LN(2)/2)*DH145+(1-EXP(-LN(2)/2))/(LN(2)/2)*DB146*DE146*VLOOKUP('Données projet'!$B$13,Paramètres!$A$1:$I$89,3,0)*0.475*44/12</f>
        <v>1.2412525297184443E-16</v>
      </c>
      <c r="DI146" s="24">
        <f t="shared" si="123"/>
        <v>0.3957882800903087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-5.6843418860808015E-14</v>
      </c>
      <c r="DP146" s="18">
        <f>DO146*VLOOKUP('Données projet'!$B$14,Paramètres!$A$1:$I$89,3,0)*VLOOKUP('Données projet'!$B$14,Paramètres!$A$1:$I$89,5,0)</f>
        <v>-3.2514435588382188E-14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228.06050741667258</v>
      </c>
      <c r="DU146" s="62">
        <f t="shared" si="152"/>
        <v>191.94885821983536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0.81953321421464642</v>
      </c>
      <c r="EC146" s="23">
        <f>EXP(-LN(2)/2)*EC145+(1-EXP(-LN(2)/2))/(LN(2)/2)*DW146*DZ146*VLOOKUP('Données projet'!$B$14,Paramètres!$A$1:$I$89,3,0)*0.475*44/12</f>
        <v>1.0069932211171006E-15</v>
      </c>
      <c r="ED146" s="24">
        <f t="shared" si="126"/>
        <v>0.81953321421464742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-5.6843418860808015E-14</v>
      </c>
      <c r="EK146" s="18">
        <f>EJ146*VLOOKUP('Données projet'!$B$15,Paramètres!$A$1:$I$89,3,0)*VLOOKUP('Données projet'!$B$15,Paramètres!$A$1:$I$89,5,0)</f>
        <v>-5.1431925385259088E-14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315.23521260143986</v>
      </c>
      <c r="EP146" s="62">
        <f t="shared" si="154"/>
        <v>439.11021845472641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-3.4106051316484809E-13</v>
      </c>
      <c r="O147" s="14">
        <f>N147*VLOOKUP('Données projet'!$B$9,Paramètres!$A$1:$I$89,3,0)*VLOOKUP('Données projet'!$B$9,Paramètres!$A$1:$I$89,5,0)</f>
        <v>-1.9065282685915009E-13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302.20483575440988</v>
      </c>
      <c r="T147" s="62">
        <f t="shared" si="142"/>
        <v>275.32862097158687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0.94408733181737858</v>
      </c>
      <c r="AB147" s="23">
        <f>EXP(-LN(2)/2)*AB146+(1-EXP(-LN(2)/2))/(LN(2)/2)*V147*Y147*VLOOKUP('Données projet'!$B$9,Paramètres!$A$1:$I$89,3,0)*0.475*44/12</f>
        <v>7.6381824765696071E-17</v>
      </c>
      <c r="AC147" s="24">
        <f t="shared" si="111"/>
        <v>0.94408733181737869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3.5</v>
      </c>
      <c r="AI147" s="14">
        <f>IF('Données projet'!$A$62&gt;35,AI146+AH147-AQ146,IF(A147&lt;'Données projet'!$A$62,$AF$205^A147,IF(A147='Données projet'!$A$62,'Données projet'!$B$62,AI146+AH147-AQ146)))</f>
        <v>313.99999999999955</v>
      </c>
      <c r="AJ147" s="14">
        <f>AI147*VLOOKUP('Données projet'!$B$10,Paramètres!$A$1:$I$89,3,0)*VLOOKUP('Données projet'!$B$10,Paramètres!$A$1:$I$89,5,0)</f>
        <v>284.10719999999958</v>
      </c>
      <c r="AK147" s="14">
        <f t="shared" si="143"/>
        <v>67.834241327943658</v>
      </c>
      <c r="AL147" s="22">
        <f t="shared" si="112"/>
        <v>612.96467697950118</v>
      </c>
      <c r="AM147" s="62">
        <f t="shared" si="113"/>
        <v>906.29801031283455</v>
      </c>
      <c r="AN147" s="62">
        <f ca="1">AVERAGE(OFFSET($AM$3,0,0,'Données projet'!$E$10+1,1))-AVERAGE(OFFSET($H$3,0,0,'Données projet'!$E$10+1,1))</f>
        <v>384.44848355636935</v>
      </c>
      <c r="AO147" s="62">
        <f t="shared" si="144"/>
        <v>203.5274665601915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3.5</v>
      </c>
      <c r="BD147" s="13">
        <f>IF('Données projet'!$A$88&gt;35,BD146+BC147-BL146,IF(A147&lt;'Données projet'!$A$88,$BA$205^A147,IF(A147='Données projet'!$A$88,'Données projet'!$B$88,BD146+BC147-BL146)))</f>
        <v>313.99999999999955</v>
      </c>
      <c r="BE147" s="14">
        <f>BD147*VLOOKUP('Données projet'!$B$11,Paramètres!$A$1:$I$89,3,0)*VLOOKUP('Données projet'!$B$11,Paramètres!$A$1:$I$89,5,0)</f>
        <v>318.39599999999956</v>
      </c>
      <c r="BF147" s="14">
        <f t="shared" si="145"/>
        <v>75.019512724334874</v>
      </c>
      <c r="BG147" s="22">
        <f t="shared" si="115"/>
        <v>685.19868466154912</v>
      </c>
      <c r="BH147" s="62">
        <f t="shared" si="116"/>
        <v>978.53201799488238</v>
      </c>
      <c r="BI147" s="62">
        <f ca="1">AVERAGE(OFFSET($BH$3,0,0,'Données projet'!$E$11+1,1))-AVERAGE(OFFSET($H$3,0,0,'Données projet'!$E$11+1,1))</f>
        <v>440.60698566758532</v>
      </c>
      <c r="BJ147" s="62">
        <f t="shared" si="146"/>
        <v>231.92898690465887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287.29865338866551</v>
      </c>
      <c r="CE147" s="62">
        <f t="shared" si="148"/>
        <v>217.57508587672368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0.46440703276667988</v>
      </c>
      <c r="CM147" s="23">
        <f>EXP(-LN(2)/2)*CM146+(1-EXP(-LN(2)/2))/(LN(2)/2)*CG147*CJ147*VLOOKUP('Données projet'!$B$12,Paramètres!$A$1:$I$89,3,0)*0.475*44/12</f>
        <v>8.9277093027330995E-17</v>
      </c>
      <c r="CN147" s="24">
        <f t="shared" si="120"/>
        <v>0.46440703276667999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175.05987582828078</v>
      </c>
      <c r="CZ147" s="62">
        <f t="shared" si="150"/>
        <v>268.54782308462387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0.38496542875763806</v>
      </c>
      <c r="DH147" s="23">
        <f>EXP(-LN(2)/2)*DH146+(1-EXP(-LN(2)/2))/(LN(2)/2)*DB147*DE147*VLOOKUP('Données projet'!$B$13,Paramètres!$A$1:$I$89,3,0)*0.475*44/12</f>
        <v>8.7769808092886857E-17</v>
      </c>
      <c r="DI147" s="24">
        <f t="shared" si="123"/>
        <v>0.38496542875763817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-5.6843418860808015E-14</v>
      </c>
      <c r="DP147" s="18">
        <f>DO147*VLOOKUP('Données projet'!$B$14,Paramètres!$A$1:$I$89,3,0)*VLOOKUP('Données projet'!$B$14,Paramètres!$A$1:$I$89,5,0)</f>
        <v>-3.2514435588382188E-14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228.06050741667258</v>
      </c>
      <c r="DU147" s="62">
        <f t="shared" si="152"/>
        <v>191.94885821983536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0.7971230353745683</v>
      </c>
      <c r="EC147" s="23">
        <f>EXP(-LN(2)/2)*EC146+(1-EXP(-LN(2)/2))/(LN(2)/2)*DW147*DZ147*VLOOKUP('Données projet'!$B$14,Paramètres!$A$1:$I$89,3,0)*0.475*44/12</f>
        <v>7.1205173526078636E-16</v>
      </c>
      <c r="ED147" s="24">
        <f t="shared" si="126"/>
        <v>0.79712303537456897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-5.6843418860808015E-14</v>
      </c>
      <c r="EK147" s="18">
        <f>EJ147*VLOOKUP('Données projet'!$B$15,Paramètres!$A$1:$I$89,3,0)*VLOOKUP('Données projet'!$B$15,Paramètres!$A$1:$I$89,5,0)</f>
        <v>-5.1431925385259088E-14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315.23521260143986</v>
      </c>
      <c r="EP147" s="62">
        <f t="shared" si="154"/>
        <v>439.11021845472641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-3.4106051316484809E-13</v>
      </c>
      <c r="O148" s="14">
        <f>N148*VLOOKUP('Données projet'!$B$9,Paramètres!$A$1:$I$89,3,0)*VLOOKUP('Données projet'!$B$9,Paramètres!$A$1:$I$89,5,0)</f>
        <v>-1.9065282685915009E-13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302.20483575440988</v>
      </c>
      <c r="T148" s="62">
        <f t="shared" si="142"/>
        <v>275.32862097158687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0.9182712140814373</v>
      </c>
      <c r="AB148" s="23">
        <f>EXP(-LN(2)/2)*AB147+(1-EXP(-LN(2)/2))/(LN(2)/2)*V148*Y148*VLOOKUP('Données projet'!$B$9,Paramètres!$A$1:$I$89,3,0)*0.475*44/12</f>
        <v>5.4010106251226273E-17</v>
      </c>
      <c r="AC148" s="24">
        <f t="shared" si="111"/>
        <v>0.9182712140814373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3.5</v>
      </c>
      <c r="AI148" s="14">
        <f>IF('Données projet'!$A$62&gt;35,AI147+AH148-AQ147,IF(A148&lt;'Données projet'!$A$62,$AF$205^A148,IF(A148='Données projet'!$A$62,'Données projet'!$B$62,AI147+AH148-AQ147)))</f>
        <v>317.49999999999955</v>
      </c>
      <c r="AJ148" s="14">
        <f>AI148*VLOOKUP('Données projet'!$B$10,Paramètres!$A$1:$I$89,3,0)*VLOOKUP('Données projet'!$B$10,Paramètres!$A$1:$I$89,5,0)</f>
        <v>287.2739999999996</v>
      </c>
      <c r="AK148" s="14">
        <f t="shared" si="143"/>
        <v>68.501912166991971</v>
      </c>
      <c r="AL148" s="22">
        <f t="shared" si="112"/>
        <v>619.64304702417701</v>
      </c>
      <c r="AM148" s="62">
        <f t="shared" si="113"/>
        <v>912.97638035751038</v>
      </c>
      <c r="AN148" s="62">
        <f ca="1">AVERAGE(OFFSET($AM$3,0,0,'Données projet'!$E$10+1,1))-AVERAGE(OFFSET($H$3,0,0,'Données projet'!$E$10+1,1))</f>
        <v>384.44848355636935</v>
      </c>
      <c r="AO148" s="62">
        <f t="shared" si="144"/>
        <v>203.5274665601915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3.5</v>
      </c>
      <c r="BD148" s="13">
        <f>IF('Données projet'!$A$88&gt;35,BD147+BC148-BL147,IF(A148&lt;'Données projet'!$A$88,$BA$205^A148,IF(A148='Données projet'!$A$88,'Données projet'!$B$88,BD147+BC148-BL147)))</f>
        <v>317.49999999999955</v>
      </c>
      <c r="BE148" s="14">
        <f>BD148*VLOOKUP('Données projet'!$B$11,Paramètres!$A$1:$I$89,3,0)*VLOOKUP('Données projet'!$B$11,Paramètres!$A$1:$I$89,5,0)</f>
        <v>321.9449999999996</v>
      </c>
      <c r="BF148" s="14">
        <f t="shared" si="145"/>
        <v>75.757905901955908</v>
      </c>
      <c r="BG148" s="22">
        <f t="shared" si="115"/>
        <v>692.66589444590579</v>
      </c>
      <c r="BH148" s="62">
        <f t="shared" si="116"/>
        <v>985.99922777923916</v>
      </c>
      <c r="BI148" s="62">
        <f ca="1">AVERAGE(OFFSET($BH$3,0,0,'Données projet'!$E$11+1,1))-AVERAGE(OFFSET($H$3,0,0,'Données projet'!$E$11+1,1))</f>
        <v>440.60698566758532</v>
      </c>
      <c r="BJ148" s="62">
        <f t="shared" si="146"/>
        <v>231.92898690465887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287.29865338866551</v>
      </c>
      <c r="CE148" s="62">
        <f t="shared" si="148"/>
        <v>217.57508587672368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0.45170779803357058</v>
      </c>
      <c r="CM148" s="23">
        <f>EXP(-LN(2)/2)*CM147+(1-EXP(-LN(2)/2))/(LN(2)/2)*CG148*CJ148*VLOOKUP('Données projet'!$B$12,Paramètres!$A$1:$I$89,3,0)*0.475*44/12</f>
        <v>6.3128437884247984E-17</v>
      </c>
      <c r="CN148" s="24">
        <f t="shared" si="120"/>
        <v>0.45170779803357064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175.05987582828078</v>
      </c>
      <c r="CZ148" s="62">
        <f t="shared" si="150"/>
        <v>268.54782308462387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0.37443852886380841</v>
      </c>
      <c r="DH148" s="23">
        <f>EXP(-LN(2)/2)*DH147+(1-EXP(-LN(2)/2))/(LN(2)/2)*DB148*DE148*VLOOKUP('Données projet'!$B$13,Paramètres!$A$1:$I$89,3,0)*0.475*44/12</f>
        <v>6.2062626485922215E-17</v>
      </c>
      <c r="DI148" s="24">
        <f t="shared" si="123"/>
        <v>0.37443852886380846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-5.6843418860808015E-14</v>
      </c>
      <c r="DP148" s="18">
        <f>DO148*VLOOKUP('Données projet'!$B$14,Paramètres!$A$1:$I$89,3,0)*VLOOKUP('Données projet'!$B$14,Paramètres!$A$1:$I$89,5,0)</f>
        <v>-3.2514435588382188E-14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228.06050741667258</v>
      </c>
      <c r="DU148" s="62">
        <f t="shared" si="152"/>
        <v>191.94885821983536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0.77532566405337211</v>
      </c>
      <c r="EC148" s="23">
        <f>EXP(-LN(2)/2)*EC147+(1-EXP(-LN(2)/2))/(LN(2)/2)*DW148*DZ148*VLOOKUP('Données projet'!$B$14,Paramètres!$A$1:$I$89,3,0)*0.475*44/12</f>
        <v>5.0349661055855032E-16</v>
      </c>
      <c r="ED148" s="24">
        <f t="shared" si="126"/>
        <v>0.77532566405337267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-5.6843418860808015E-14</v>
      </c>
      <c r="EK148" s="18">
        <f>EJ148*VLOOKUP('Données projet'!$B$15,Paramètres!$A$1:$I$89,3,0)*VLOOKUP('Données projet'!$B$15,Paramètres!$A$1:$I$89,5,0)</f>
        <v>-5.1431925385259088E-14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315.23521260143986</v>
      </c>
      <c r="EP148" s="62">
        <f t="shared" si="154"/>
        <v>439.11021845472641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-3.4106051316484809E-13</v>
      </c>
      <c r="O149" s="14">
        <f>N149*VLOOKUP('Données projet'!$B$9,Paramètres!$A$1:$I$89,3,0)*VLOOKUP('Données projet'!$B$9,Paramètres!$A$1:$I$89,5,0)</f>
        <v>-1.9065282685915009E-13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302.20483575440988</v>
      </c>
      <c r="T149" s="62">
        <f t="shared" si="142"/>
        <v>275.32862097158687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0.89316103944259595</v>
      </c>
      <c r="AB149" s="23">
        <f>EXP(-LN(2)/2)*AB148+(1-EXP(-LN(2)/2))/(LN(2)/2)*V149*Y149*VLOOKUP('Données projet'!$B$9,Paramètres!$A$1:$I$89,3,0)*0.475*44/12</f>
        <v>3.8190912382848042E-17</v>
      </c>
      <c r="AC149" s="24">
        <f t="shared" si="111"/>
        <v>0.89316103944259595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3.5</v>
      </c>
      <c r="AI149" s="14">
        <f>IF('Données projet'!$A$62&gt;35,AI148+AH149-AQ148,IF(A149&lt;'Données projet'!$A$62,$AF$205^A149,IF(A149='Données projet'!$A$62,'Données projet'!$B$62,AI148+AH149-AQ148)))</f>
        <v>320.99999999999955</v>
      </c>
      <c r="AJ149" s="14">
        <f>AI149*VLOOKUP('Données projet'!$B$10,Paramètres!$A$1:$I$89,3,0)*VLOOKUP('Données projet'!$B$10,Paramètres!$A$1:$I$89,5,0)</f>
        <v>290.44079999999957</v>
      </c>
      <c r="AK149" s="14">
        <f t="shared" si="143"/>
        <v>69.168726815543238</v>
      </c>
      <c r="AL149" s="22">
        <f t="shared" si="112"/>
        <v>626.31992587040372</v>
      </c>
      <c r="AM149" s="62">
        <f t="shared" si="113"/>
        <v>919.65325920373698</v>
      </c>
      <c r="AN149" s="62">
        <f ca="1">AVERAGE(OFFSET($AM$3,0,0,'Données projet'!$E$10+1,1))-AVERAGE(OFFSET($H$3,0,0,'Données projet'!$E$10+1,1))</f>
        <v>384.44848355636935</v>
      </c>
      <c r="AO149" s="62">
        <f t="shared" si="144"/>
        <v>203.5274665601915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3.5</v>
      </c>
      <c r="BD149" s="13">
        <f>IF('Données projet'!$A$88&gt;35,BD148+BC149-BL148,IF(A149&lt;'Données projet'!$A$88,$BA$205^A149,IF(A149='Données projet'!$A$88,'Données projet'!$B$88,BD148+BC149-BL148)))</f>
        <v>320.99999999999955</v>
      </c>
      <c r="BE149" s="14">
        <f>BD149*VLOOKUP('Données projet'!$B$11,Paramètres!$A$1:$I$89,3,0)*VLOOKUP('Données projet'!$B$11,Paramètres!$A$1:$I$89,5,0)</f>
        <v>325.49399999999957</v>
      </c>
      <c r="BF149" s="14">
        <f t="shared" si="145"/>
        <v>76.495352197992801</v>
      </c>
      <c r="BG149" s="22">
        <f t="shared" si="115"/>
        <v>700.13145507817001</v>
      </c>
      <c r="BH149" s="62">
        <f t="shared" si="116"/>
        <v>993.46478841150338</v>
      </c>
      <c r="BI149" s="62">
        <f ca="1">AVERAGE(OFFSET($BH$3,0,0,'Données projet'!$E$11+1,1))-AVERAGE(OFFSET($H$3,0,0,'Données projet'!$E$11+1,1))</f>
        <v>440.60698566758532</v>
      </c>
      <c r="BJ149" s="62">
        <f t="shared" si="146"/>
        <v>231.92898690465887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287.29865338866551</v>
      </c>
      <c r="CE149" s="62">
        <f t="shared" si="148"/>
        <v>217.57508587672368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0.4393558245420619</v>
      </c>
      <c r="CM149" s="23">
        <f>EXP(-LN(2)/2)*CM148+(1-EXP(-LN(2)/2))/(LN(2)/2)*CG149*CJ149*VLOOKUP('Données projet'!$B$12,Paramètres!$A$1:$I$89,3,0)*0.475*44/12</f>
        <v>4.4638546513665497E-17</v>
      </c>
      <c r="CN149" s="24">
        <f t="shared" si="120"/>
        <v>0.43935582454206196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175.05987582828078</v>
      </c>
      <c r="CZ149" s="62">
        <f t="shared" si="150"/>
        <v>268.54782308462387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0.36419948760116111</v>
      </c>
      <c r="DH149" s="23">
        <f>EXP(-LN(2)/2)*DH148+(1-EXP(-LN(2)/2))/(LN(2)/2)*DB149*DE149*VLOOKUP('Données projet'!$B$13,Paramètres!$A$1:$I$89,3,0)*0.475*44/12</f>
        <v>4.3884904046443429E-17</v>
      </c>
      <c r="DI149" s="24">
        <f t="shared" si="123"/>
        <v>0.36419948760116116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-5.6843418860808015E-14</v>
      </c>
      <c r="DP149" s="18">
        <f>DO149*VLOOKUP('Données projet'!$B$14,Paramètres!$A$1:$I$89,3,0)*VLOOKUP('Données projet'!$B$14,Paramètres!$A$1:$I$89,5,0)</f>
        <v>-3.2514435588382188E-14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228.06050741667258</v>
      </c>
      <c r="DU149" s="62">
        <f t="shared" si="152"/>
        <v>191.94885821983536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0.75412434299722797</v>
      </c>
      <c r="EC149" s="23">
        <f>EXP(-LN(2)/2)*EC148+(1-EXP(-LN(2)/2))/(LN(2)/2)*DW149*DZ149*VLOOKUP('Données projet'!$B$14,Paramètres!$A$1:$I$89,3,0)*0.475*44/12</f>
        <v>3.5602586763039318E-16</v>
      </c>
      <c r="ED149" s="24">
        <f t="shared" si="126"/>
        <v>0.7541243429972283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-5.6843418860808015E-14</v>
      </c>
      <c r="EK149" s="18">
        <f>EJ149*VLOOKUP('Données projet'!$B$15,Paramètres!$A$1:$I$89,3,0)*VLOOKUP('Données projet'!$B$15,Paramètres!$A$1:$I$89,5,0)</f>
        <v>-5.1431925385259088E-14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315.23521260143986</v>
      </c>
      <c r="EP149" s="62">
        <f t="shared" si="154"/>
        <v>439.11021845472641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-3.4106051316484809E-13</v>
      </c>
      <c r="O150" s="14">
        <f>N150*VLOOKUP('Données projet'!$B$9,Paramètres!$A$1:$I$89,3,0)*VLOOKUP('Données projet'!$B$9,Paramètres!$A$1:$I$89,5,0)</f>
        <v>-1.9065282685915009E-13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302.20483575440988</v>
      </c>
      <c r="T150" s="62">
        <f t="shared" si="142"/>
        <v>275.32862097158687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0.86873750384974047</v>
      </c>
      <c r="AB150" s="23">
        <f>EXP(-LN(2)/2)*AB149+(1-EXP(-LN(2)/2))/(LN(2)/2)*V150*Y150*VLOOKUP('Données projet'!$B$9,Paramètres!$A$1:$I$89,3,0)*0.475*44/12</f>
        <v>2.7005053125613139E-17</v>
      </c>
      <c r="AC150" s="24">
        <f t="shared" si="111"/>
        <v>0.86873750384974047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3.5</v>
      </c>
      <c r="AI150" s="14">
        <f>IF('Données projet'!$A$62&gt;35,AI149+AH150-AQ149,IF(A150&lt;'Données projet'!$A$62,$AF$205^A150,IF(A150='Données projet'!$A$62,'Données projet'!$B$62,AI149+AH150-AQ149)))</f>
        <v>324.49999999999955</v>
      </c>
      <c r="AJ150" s="14">
        <f>AI150*VLOOKUP('Données projet'!$B$10,Paramètres!$A$1:$I$89,3,0)*VLOOKUP('Données projet'!$B$10,Paramètres!$A$1:$I$89,5,0)</f>
        <v>293.60759999999959</v>
      </c>
      <c r="AK150" s="14">
        <f t="shared" si="143"/>
        <v>69.834695689453554</v>
      </c>
      <c r="AL150" s="22">
        <f t="shared" si="112"/>
        <v>632.99533165913078</v>
      </c>
      <c r="AM150" s="62">
        <f t="shared" si="113"/>
        <v>926.32866499246416</v>
      </c>
      <c r="AN150" s="62">
        <f ca="1">AVERAGE(OFFSET($AM$3,0,0,'Données projet'!$E$10+1,1))-AVERAGE(OFFSET($H$3,0,0,'Données projet'!$E$10+1,1))</f>
        <v>384.44848355636935</v>
      </c>
      <c r="AO150" s="62">
        <f t="shared" si="144"/>
        <v>203.5274665601915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3.5</v>
      </c>
      <c r="BD150" s="13">
        <f>IF('Données projet'!$A$88&gt;35,BD149+BC150-BL149,IF(A150&lt;'Données projet'!$A$88,$BA$205^A150,IF(A150='Données projet'!$A$88,'Données projet'!$B$88,BD149+BC150-BL149)))</f>
        <v>324.49999999999955</v>
      </c>
      <c r="BE150" s="14">
        <f>BD150*VLOOKUP('Données projet'!$B$11,Paramètres!$A$1:$I$89,3,0)*VLOOKUP('Données projet'!$B$11,Paramètres!$A$1:$I$89,5,0)</f>
        <v>329.04299999999955</v>
      </c>
      <c r="BF150" s="14">
        <f t="shared" si="145"/>
        <v>77.231863131590359</v>
      </c>
      <c r="BG150" s="22">
        <f t="shared" si="115"/>
        <v>707.59538662085242</v>
      </c>
      <c r="BH150" s="62">
        <f t="shared" si="116"/>
        <v>1000.9287199541857</v>
      </c>
      <c r="BI150" s="62">
        <f ca="1">AVERAGE(OFFSET($BH$3,0,0,'Données projet'!$E$11+1,1))-AVERAGE(OFFSET($H$3,0,0,'Données projet'!$E$11+1,1))</f>
        <v>440.60698566758532</v>
      </c>
      <c r="BJ150" s="62">
        <f t="shared" si="146"/>
        <v>231.92898690465887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287.29865338866551</v>
      </c>
      <c r="CE150" s="62">
        <f t="shared" si="148"/>
        <v>217.57508587672368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0.42734161641524054</v>
      </c>
      <c r="CM150" s="23">
        <f>EXP(-LN(2)/2)*CM149+(1-EXP(-LN(2)/2))/(LN(2)/2)*CG150*CJ150*VLOOKUP('Données projet'!$B$12,Paramètres!$A$1:$I$89,3,0)*0.475*44/12</f>
        <v>3.1564218942123992E-17</v>
      </c>
      <c r="CN150" s="24">
        <f t="shared" si="120"/>
        <v>0.4273416164152406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175.05987582828078</v>
      </c>
      <c r="CZ150" s="62">
        <f t="shared" si="150"/>
        <v>268.54782308462387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0.35424043346028872</v>
      </c>
      <c r="DH150" s="23">
        <f>EXP(-LN(2)/2)*DH149+(1-EXP(-LN(2)/2))/(LN(2)/2)*DB150*DE150*VLOOKUP('Données projet'!$B$13,Paramètres!$A$1:$I$89,3,0)*0.475*44/12</f>
        <v>3.1031313242961107E-17</v>
      </c>
      <c r="DI150" s="24">
        <f t="shared" si="123"/>
        <v>0.35424043346028877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-5.6843418860808015E-14</v>
      </c>
      <c r="DP150" s="18">
        <f>DO150*VLOOKUP('Données projet'!$B$14,Paramètres!$A$1:$I$89,3,0)*VLOOKUP('Données projet'!$B$14,Paramètres!$A$1:$I$89,5,0)</f>
        <v>-3.2514435588382188E-14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228.06050741667258</v>
      </c>
      <c r="DU150" s="62">
        <f t="shared" si="152"/>
        <v>191.94885821983536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0.73350277318029311</v>
      </c>
      <c r="EC150" s="23">
        <f>EXP(-LN(2)/2)*EC149+(1-EXP(-LN(2)/2))/(LN(2)/2)*DW150*DZ150*VLOOKUP('Données projet'!$B$14,Paramètres!$A$1:$I$89,3,0)*0.475*44/12</f>
        <v>2.5174830527927516E-16</v>
      </c>
      <c r="ED150" s="24">
        <f t="shared" si="126"/>
        <v>0.73350277318029333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-5.6843418860808015E-14</v>
      </c>
      <c r="EK150" s="18">
        <f>EJ150*VLOOKUP('Données projet'!$B$15,Paramètres!$A$1:$I$89,3,0)*VLOOKUP('Données projet'!$B$15,Paramètres!$A$1:$I$89,5,0)</f>
        <v>-5.1431925385259088E-14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315.23521260143986</v>
      </c>
      <c r="EP150" s="62">
        <f t="shared" si="154"/>
        <v>439.11021845472641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-3.4106051316484809E-13</v>
      </c>
      <c r="O151" s="14">
        <f>N151*VLOOKUP('Données projet'!$B$9,Paramètres!$A$1:$I$89,3,0)*VLOOKUP('Données projet'!$B$9,Paramètres!$A$1:$I$89,5,0)</f>
        <v>-1.9065282685915009E-13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302.20483575440988</v>
      </c>
      <c r="T151" s="62">
        <f t="shared" si="142"/>
        <v>275.32862097158687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0.8449818311220495</v>
      </c>
      <c r="AB151" s="23">
        <f>EXP(-LN(2)/2)*AB150+(1-EXP(-LN(2)/2))/(LN(2)/2)*V151*Y151*VLOOKUP('Données projet'!$B$9,Paramètres!$A$1:$I$89,3,0)*0.475*44/12</f>
        <v>1.9095456191424024E-17</v>
      </c>
      <c r="AC151" s="24">
        <f t="shared" si="111"/>
        <v>0.8449818311220495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3.5</v>
      </c>
      <c r="AI151" s="14">
        <f>IF('Données projet'!$A$62&gt;35,AI150+AH151-AQ150,IF(A151&lt;'Données projet'!$A$62,$AF$205^A151,IF(A151='Données projet'!$A$62,'Données projet'!$B$62,AI150+AH151-AQ150)))</f>
        <v>327.99999999999955</v>
      </c>
      <c r="AJ151" s="14">
        <f>AI151*VLOOKUP('Données projet'!$B$10,Paramètres!$A$1:$I$89,3,0)*VLOOKUP('Données projet'!$B$10,Paramètres!$A$1:$I$89,5,0)</f>
        <v>296.77439999999956</v>
      </c>
      <c r="AK151" s="14">
        <f t="shared" si="143"/>
        <v>70.499828966950616</v>
      </c>
      <c r="AL151" s="22">
        <f t="shared" si="112"/>
        <v>639.66928211743823</v>
      </c>
      <c r="AM151" s="62">
        <f t="shared" si="113"/>
        <v>933.0026154507716</v>
      </c>
      <c r="AN151" s="62">
        <f ca="1">AVERAGE(OFFSET($AM$3,0,0,'Données projet'!$E$10+1,1))-AVERAGE(OFFSET($H$3,0,0,'Données projet'!$E$10+1,1))</f>
        <v>384.44848355636935</v>
      </c>
      <c r="AO151" s="62">
        <f t="shared" si="144"/>
        <v>203.5274665601915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3.5</v>
      </c>
      <c r="BD151" s="13">
        <f>IF('Données projet'!$A$88&gt;35,BD150+BC151-BL150,IF(A151&lt;'Données projet'!$A$88,$BA$205^A151,IF(A151='Données projet'!$A$88,'Données projet'!$B$88,BD150+BC151-BL150)))</f>
        <v>327.99999999999955</v>
      </c>
      <c r="BE151" s="14">
        <f>BD151*VLOOKUP('Données projet'!$B$11,Paramètres!$A$1:$I$89,3,0)*VLOOKUP('Données projet'!$B$11,Paramètres!$A$1:$I$89,5,0)</f>
        <v>332.59199999999953</v>
      </c>
      <c r="BF151" s="14">
        <f t="shared" si="145"/>
        <v>77.967449959094523</v>
      </c>
      <c r="BG151" s="22">
        <f t="shared" si="115"/>
        <v>715.05770867875538</v>
      </c>
      <c r="BH151" s="62">
        <f t="shared" si="116"/>
        <v>1008.3910420120887</v>
      </c>
      <c r="BI151" s="62">
        <f ca="1">AVERAGE(OFFSET($BH$3,0,0,'Données projet'!$E$11+1,1))-AVERAGE(OFFSET($H$3,0,0,'Données projet'!$E$11+1,1))</f>
        <v>440.60698566758532</v>
      </c>
      <c r="BJ151" s="62">
        <f t="shared" si="146"/>
        <v>231.92898690465887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287.29865338866551</v>
      </c>
      <c r="CE151" s="62">
        <f t="shared" si="148"/>
        <v>217.57508587672368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0.41565593744144691</v>
      </c>
      <c r="CM151" s="23">
        <f>EXP(-LN(2)/2)*CM150+(1-EXP(-LN(2)/2))/(LN(2)/2)*CG151*CJ151*VLOOKUP('Données projet'!$B$12,Paramètres!$A$1:$I$89,3,0)*0.475*44/12</f>
        <v>2.2319273256832749E-17</v>
      </c>
      <c r="CN151" s="24">
        <f t="shared" si="120"/>
        <v>0.41565593744144691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175.05987582828078</v>
      </c>
      <c r="CZ151" s="62">
        <f t="shared" si="150"/>
        <v>268.54782308462387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0.34455371017862235</v>
      </c>
      <c r="DH151" s="23">
        <f>EXP(-LN(2)/2)*DH150+(1-EXP(-LN(2)/2))/(LN(2)/2)*DB151*DE151*VLOOKUP('Données projet'!$B$13,Paramètres!$A$1:$I$89,3,0)*0.475*44/12</f>
        <v>2.1942452023221714E-17</v>
      </c>
      <c r="DI151" s="24">
        <f t="shared" si="123"/>
        <v>0.34455371017862235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-5.6843418860808015E-14</v>
      </c>
      <c r="DP151" s="18">
        <f>DO151*VLOOKUP('Données projet'!$B$14,Paramètres!$A$1:$I$89,3,0)*VLOOKUP('Données projet'!$B$14,Paramètres!$A$1:$I$89,5,0)</f>
        <v>-3.2514435588382188E-14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228.06050741667258</v>
      </c>
      <c r="DU151" s="62">
        <f t="shared" si="152"/>
        <v>191.94885821983536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0.7134451012744436</v>
      </c>
      <c r="EC151" s="23">
        <f>EXP(-LN(2)/2)*EC150+(1-EXP(-LN(2)/2))/(LN(2)/2)*DW151*DZ151*VLOOKUP('Données projet'!$B$14,Paramètres!$A$1:$I$89,3,0)*0.475*44/12</f>
        <v>1.7801293381519659E-16</v>
      </c>
      <c r="ED151" s="24">
        <f t="shared" si="126"/>
        <v>0.71344510127444383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-5.6843418860808015E-14</v>
      </c>
      <c r="EK151" s="18">
        <f>EJ151*VLOOKUP('Données projet'!$B$15,Paramètres!$A$1:$I$89,3,0)*VLOOKUP('Données projet'!$B$15,Paramètres!$A$1:$I$89,5,0)</f>
        <v>-5.1431925385259088E-14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315.23521260143986</v>
      </c>
      <c r="EP151" s="62">
        <f t="shared" si="154"/>
        <v>439.11021845472641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-3.4106051316484809E-13</v>
      </c>
      <c r="O152" s="14">
        <f>N152*VLOOKUP('Données projet'!$B$9,Paramètres!$A$1:$I$89,3,0)*VLOOKUP('Données projet'!$B$9,Paramètres!$A$1:$I$89,5,0)</f>
        <v>-1.9065282685915009E-13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302.20483575440988</v>
      </c>
      <c r="T152" s="62">
        <f t="shared" si="142"/>
        <v>275.32862097158687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0.82187575851435379</v>
      </c>
      <c r="AB152" s="23">
        <f>EXP(-LN(2)/2)*AB151+(1-EXP(-LN(2)/2))/(LN(2)/2)*V152*Y152*VLOOKUP('Données projet'!$B$9,Paramètres!$A$1:$I$89,3,0)*0.475*44/12</f>
        <v>1.3502526562806573E-17</v>
      </c>
      <c r="AC152" s="24">
        <f t="shared" si="111"/>
        <v>0.82187575851435379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3.5</v>
      </c>
      <c r="AI152" s="14">
        <f>IF('Données projet'!$A$62&gt;35,AI151+AH152-AQ151,IF(A152&lt;'Données projet'!$A$62,$AF$205^A152,IF(A152='Données projet'!$A$62,'Données projet'!$B$62,AI151+AH152-AQ151)))</f>
        <v>331.49999999999955</v>
      </c>
      <c r="AJ152" s="14">
        <f>AI152*VLOOKUP('Données projet'!$B$10,Paramètres!$A$1:$I$89,3,0)*VLOOKUP('Données projet'!$B$10,Paramètres!$A$1:$I$89,5,0)</f>
        <v>299.94119999999958</v>
      </c>
      <c r="AK152" s="14">
        <f t="shared" si="143"/>
        <v>71.164136596531449</v>
      </c>
      <c r="AL152" s="22">
        <f t="shared" si="112"/>
        <v>646.34179457229163</v>
      </c>
      <c r="AM152" s="62">
        <f t="shared" si="113"/>
        <v>939.675127905625</v>
      </c>
      <c r="AN152" s="62">
        <f ca="1">AVERAGE(OFFSET($AM$3,0,0,'Données projet'!$E$10+1,1))-AVERAGE(OFFSET($H$3,0,0,'Données projet'!$E$10+1,1))</f>
        <v>384.44848355636935</v>
      </c>
      <c r="AO152" s="62">
        <f t="shared" si="144"/>
        <v>203.5274665601915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3.5</v>
      </c>
      <c r="BD152" s="13">
        <f>IF('Données projet'!$A$88&gt;35,BD151+BC152-BL151,IF(A152&lt;'Données projet'!$A$88,$BA$205^A152,IF(A152='Données projet'!$A$88,'Données projet'!$B$88,BD151+BC152-BL151)))</f>
        <v>331.49999999999955</v>
      </c>
      <c r="BE152" s="14">
        <f>BD152*VLOOKUP('Données projet'!$B$11,Paramètres!$A$1:$I$89,3,0)*VLOOKUP('Données projet'!$B$11,Paramètres!$A$1:$I$89,5,0)</f>
        <v>336.14099999999956</v>
      </c>
      <c r="BF152" s="14">
        <f t="shared" si="145"/>
        <v>78.702123682786379</v>
      </c>
      <c r="BG152" s="22">
        <f t="shared" si="115"/>
        <v>722.51844041418553</v>
      </c>
      <c r="BH152" s="62">
        <f t="shared" si="116"/>
        <v>1015.8517737475188</v>
      </c>
      <c r="BI152" s="62">
        <f ca="1">AVERAGE(OFFSET($BH$3,0,0,'Données projet'!$E$11+1,1))-AVERAGE(OFFSET($H$3,0,0,'Données projet'!$E$11+1,1))</f>
        <v>440.60698566758532</v>
      </c>
      <c r="BJ152" s="62">
        <f t="shared" si="146"/>
        <v>231.92898690465887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287.29865338866551</v>
      </c>
      <c r="CE152" s="62">
        <f t="shared" si="148"/>
        <v>217.57508587672368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0.40428980397371478</v>
      </c>
      <c r="CM152" s="23">
        <f>EXP(-LN(2)/2)*CM151+(1-EXP(-LN(2)/2))/(LN(2)/2)*CG152*CJ152*VLOOKUP('Données projet'!$B$12,Paramètres!$A$1:$I$89,3,0)*0.475*44/12</f>
        <v>1.5782109471061996E-17</v>
      </c>
      <c r="CN152" s="24">
        <f t="shared" si="120"/>
        <v>0.40428980397371478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175.05987582828078</v>
      </c>
      <c r="CZ152" s="62">
        <f t="shared" si="150"/>
        <v>268.54782308462387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0.33513187085449581</v>
      </c>
      <c r="DH152" s="23">
        <f>EXP(-LN(2)/2)*DH151+(1-EXP(-LN(2)/2))/(LN(2)/2)*DB152*DE152*VLOOKUP('Données projet'!$B$13,Paramètres!$A$1:$I$89,3,0)*0.475*44/12</f>
        <v>1.5515656621480554E-17</v>
      </c>
      <c r="DI152" s="24">
        <f t="shared" si="123"/>
        <v>0.33513187085449581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-5.6843418860808015E-14</v>
      </c>
      <c r="DP152" s="18">
        <f>DO152*VLOOKUP('Données projet'!$B$14,Paramètres!$A$1:$I$89,3,0)*VLOOKUP('Données projet'!$B$14,Paramètres!$A$1:$I$89,5,0)</f>
        <v>-3.2514435588382188E-14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228.06050741667258</v>
      </c>
      <c r="DU152" s="62">
        <f t="shared" si="152"/>
        <v>191.94885821983536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0.69393590746164668</v>
      </c>
      <c r="EC152" s="23">
        <f>EXP(-LN(2)/2)*EC151+(1-EXP(-LN(2)/2))/(LN(2)/2)*DW152*DZ152*VLOOKUP('Données projet'!$B$14,Paramètres!$A$1:$I$89,3,0)*0.475*44/12</f>
        <v>1.2587415263963758E-16</v>
      </c>
      <c r="ED152" s="24">
        <f t="shared" si="126"/>
        <v>0.69393590746164679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-5.6843418860808015E-14</v>
      </c>
      <c r="EK152" s="18">
        <f>EJ152*VLOOKUP('Données projet'!$B$15,Paramètres!$A$1:$I$89,3,0)*VLOOKUP('Données projet'!$B$15,Paramètres!$A$1:$I$89,5,0)</f>
        <v>-5.1431925385259088E-14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315.23521260143986</v>
      </c>
      <c r="EP152" s="62">
        <f t="shared" si="154"/>
        <v>439.11021845472641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-3.4106051316484809E-13</v>
      </c>
      <c r="O153" s="14">
        <f>N153*VLOOKUP('Données projet'!$B$9,Paramètres!$A$1:$I$89,3,0)*VLOOKUP('Données projet'!$B$9,Paramètres!$A$1:$I$89,5,0)</f>
        <v>-1.9065282685915009E-13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302.20483575440988</v>
      </c>
      <c r="T153" s="62">
        <f t="shared" si="142"/>
        <v>275.32862097158687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0.7994015226772111</v>
      </c>
      <c r="AB153" s="23">
        <f>EXP(-LN(2)/2)*AB152+(1-EXP(-LN(2)/2))/(LN(2)/2)*V153*Y153*VLOOKUP('Données projet'!$B$9,Paramètres!$A$1:$I$89,3,0)*0.475*44/12</f>
        <v>9.5477280957120135E-18</v>
      </c>
      <c r="AC153" s="24">
        <f t="shared" si="111"/>
        <v>0.7994015226772111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335</v>
      </c>
      <c r="AG153" s="13">
        <f>VLOOKUP(A153,'Données projet'!$A$61:$I$81,9,0)</f>
        <v>3.5</v>
      </c>
      <c r="AH153" s="13">
        <f t="array" ref="AH153">INDEX(AG:AG,MIN(IF(ISNUMBER(AG153:AG349),ROW(AG153:AG349),"")))</f>
        <v>3.5</v>
      </c>
      <c r="AI153" s="14">
        <f>IF('Données projet'!$A$62&gt;35,AI152+AH153-AQ152,IF(A153&lt;'Données projet'!$A$62,$AF$205^A153,IF(A153='Données projet'!$A$62,'Données projet'!$B$62,AI152+AH153-AQ152)))</f>
        <v>334.99999999999955</v>
      </c>
      <c r="AJ153" s="14">
        <f>AI153*VLOOKUP('Données projet'!$B$10,Paramètres!$A$1:$I$89,3,0)*VLOOKUP('Données projet'!$B$10,Paramètres!$A$1:$I$89,5,0)</f>
        <v>303.10799999999961</v>
      </c>
      <c r="AK153" s="14">
        <f t="shared" si="143"/>
        <v>71.827628304517162</v>
      </c>
      <c r="AL153" s="22">
        <f t="shared" si="112"/>
        <v>653.0128859637</v>
      </c>
      <c r="AM153" s="62">
        <f t="shared" si="113"/>
        <v>946.34621929703326</v>
      </c>
      <c r="AN153" s="62">
        <f ca="1">AVERAGE(OFFSET($AM$3,0,0,'Données projet'!$E$10+1,1))-AVERAGE(OFFSET($H$3,0,0,'Données projet'!$E$10+1,1))</f>
        <v>384.44848355636935</v>
      </c>
      <c r="AO153" s="62">
        <f t="shared" si="144"/>
        <v>203.5274665601915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335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335</v>
      </c>
      <c r="BB153" s="13">
        <f>VLOOKUP(A153,'Données projet'!$A$87:$I$107,9,0)</f>
        <v>3.5</v>
      </c>
      <c r="BC153" s="13">
        <f t="array" ref="BC153">INDEX(BB:BB,MIN(IF(ISNUMBER(BB153:BB349),ROW(BB153:BB349),"")))</f>
        <v>3.5</v>
      </c>
      <c r="BD153" s="13">
        <f>IF('Données projet'!$A$88&gt;35,BD152+BC153-BL152,IF(A153&lt;'Données projet'!$A$88,$BA$205^A153,IF(A153='Données projet'!$A$88,'Données projet'!$B$88,BD152+BC153-BL152)))</f>
        <v>334.99999999999955</v>
      </c>
      <c r="BE153" s="14">
        <f>BD153*VLOOKUP('Données projet'!$B$11,Paramètres!$A$1:$I$89,3,0)*VLOOKUP('Données projet'!$B$11,Paramètres!$A$1:$I$89,5,0)</f>
        <v>339.68999999999954</v>
      </c>
      <c r="BF153" s="14">
        <f t="shared" si="145"/>
        <v>79.435895059237467</v>
      </c>
      <c r="BG153" s="22">
        <f t="shared" si="115"/>
        <v>729.97760056150446</v>
      </c>
      <c r="BH153" s="62">
        <f t="shared" si="116"/>
        <v>1023.3109338948377</v>
      </c>
      <c r="BI153" s="62">
        <f ca="1">AVERAGE(OFFSET($BH$3,0,0,'Données projet'!$E$11+1,1))-AVERAGE(OFFSET($H$3,0,0,'Données projet'!$E$11+1,1))</f>
        <v>440.60698566758532</v>
      </c>
      <c r="BJ153" s="62">
        <f t="shared" si="146"/>
        <v>231.92898690465887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335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287.29865338866551</v>
      </c>
      <c r="CE153" s="62">
        <f t="shared" si="148"/>
        <v>217.57508587672368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0.3932344780233768</v>
      </c>
      <c r="CM153" s="23">
        <f>EXP(-LN(2)/2)*CM152+(1-EXP(-LN(2)/2))/(LN(2)/2)*CG153*CJ153*VLOOKUP('Données projet'!$B$12,Paramètres!$A$1:$I$89,3,0)*0.475*44/12</f>
        <v>1.1159636628416374E-17</v>
      </c>
      <c r="CN153" s="24">
        <f t="shared" si="120"/>
        <v>0.3932344780233768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175.05987582828078</v>
      </c>
      <c r="CZ153" s="62">
        <f t="shared" si="150"/>
        <v>268.54782308462387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0.3259676722221605</v>
      </c>
      <c r="DH153" s="23">
        <f>EXP(-LN(2)/2)*DH152+(1-EXP(-LN(2)/2))/(LN(2)/2)*DB153*DE153*VLOOKUP('Données projet'!$B$13,Paramètres!$A$1:$I$89,3,0)*0.475*44/12</f>
        <v>1.0971226011610857E-17</v>
      </c>
      <c r="DI153" s="24">
        <f t="shared" si="123"/>
        <v>0.3259676722221605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-5.6843418860808015E-14</v>
      </c>
      <c r="DP153" s="18">
        <f>DO153*VLOOKUP('Données projet'!$B$14,Paramètres!$A$1:$I$89,3,0)*VLOOKUP('Données projet'!$B$14,Paramètres!$A$1:$I$89,5,0)</f>
        <v>-3.2514435588382188E-14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228.06050741667258</v>
      </c>
      <c r="DU153" s="62">
        <f t="shared" si="152"/>
        <v>191.94885821983536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0.67496019357960457</v>
      </c>
      <c r="EC153" s="23">
        <f>EXP(-LN(2)/2)*EC152+(1-EXP(-LN(2)/2))/(LN(2)/2)*DW153*DZ153*VLOOKUP('Données projet'!$B$14,Paramètres!$A$1:$I$89,3,0)*0.475*44/12</f>
        <v>8.9006466907598295E-17</v>
      </c>
      <c r="ED153" s="24">
        <f t="shared" si="126"/>
        <v>0.67496019357960468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-5.6843418860808015E-14</v>
      </c>
      <c r="EK153" s="18">
        <f>EJ153*VLOOKUP('Données projet'!$B$15,Paramètres!$A$1:$I$89,3,0)*VLOOKUP('Données projet'!$B$15,Paramètres!$A$1:$I$89,5,0)</f>
        <v>-5.1431925385259088E-14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315.23521260143986</v>
      </c>
      <c r="EP153" s="62">
        <f t="shared" si="154"/>
        <v>439.11021845472641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-1.9065282685915009E-13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302.20483575440988</v>
      </c>
      <c r="T154" s="62">
        <f t="shared" si="142"/>
        <v>275.32862097158687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0.7775418460009037</v>
      </c>
      <c r="AB154" s="23">
        <f>EXP(-LN(2)/2)*AB153+(1-EXP(-LN(2)/2))/(LN(2)/2)*V154*Y154*VLOOKUP('Données projet'!$B$9,Paramètres!$A$1:$I$89,3,0)*0.475*44/12</f>
        <v>6.7512632814032872E-18</v>
      </c>
      <c r="AC154" s="24">
        <f t="shared" ref="AC154:AC203" si="163">SUM(Z154:AB154)</f>
        <v>0.7775418460009037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-4.5474735088646412E-13</v>
      </c>
      <c r="AJ154" s="14">
        <f>AI154*VLOOKUP('Données projet'!$B$10,Paramètres!$A$1:$I$89,3,0)*VLOOKUP('Données projet'!$B$10,Paramètres!$A$1:$I$89,5,0)</f>
        <v>-4.1145540308207271E-13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384.44848355636935</v>
      </c>
      <c r="AO154" s="62">
        <f t="shared" si="144"/>
        <v>203.5274665601915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-4.5474735088646412E-13</v>
      </c>
      <c r="BE154" s="14">
        <f>BD154*VLOOKUP('Données projet'!$B$11,Paramètres!$A$1:$I$89,3,0)*VLOOKUP('Données projet'!$B$11,Paramètres!$A$1:$I$89,5,0)</f>
        <v>-4.6111381379887462E-13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440.60698566758532</v>
      </c>
      <c r="BJ154" s="62">
        <f t="shared" si="146"/>
        <v>231.92898690465887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287.29865338866551</v>
      </c>
      <c r="CE154" s="62">
        <f t="shared" si="148"/>
        <v>217.57508587672368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0.38248146054252513</v>
      </c>
      <c r="CM154" s="23">
        <f>EXP(-LN(2)/2)*CM153+(1-EXP(-LN(2)/2))/(LN(2)/2)*CG154*CJ154*VLOOKUP('Données projet'!$B$12,Paramètres!$A$1:$I$89,3,0)*0.475*44/12</f>
        <v>7.891054735530998E-18</v>
      </c>
      <c r="CN154" s="24">
        <f t="shared" ref="CN154:CN203" si="172">SUM(CK154:CM154)</f>
        <v>0.38248146054252513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175.05987582828078</v>
      </c>
      <c r="CZ154" s="62">
        <f t="shared" si="150"/>
        <v>268.54782308462387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0.31705406908335065</v>
      </c>
      <c r="DH154" s="23">
        <f>EXP(-LN(2)/2)*DH153+(1-EXP(-LN(2)/2))/(LN(2)/2)*DB154*DE154*VLOOKUP('Données projet'!$B$13,Paramètres!$A$1:$I$89,3,0)*0.475*44/12</f>
        <v>7.7578283107402768E-18</v>
      </c>
      <c r="DI154" s="24">
        <f t="shared" ref="DI154:DI203" si="175">SUM(DF154:DH154)</f>
        <v>0.31705406908335065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-5.6843418860808015E-14</v>
      </c>
      <c r="DP154" s="18">
        <f>DO154*VLOOKUP('Données projet'!$B$14,Paramètres!$A$1:$I$89,3,0)*VLOOKUP('Données projet'!$B$14,Paramètres!$A$1:$I$89,5,0)</f>
        <v>-3.2514435588382188E-14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228.06050741667258</v>
      </c>
      <c r="DU154" s="62">
        <f t="shared" si="152"/>
        <v>191.94885821983536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0.65650337159155636</v>
      </c>
      <c r="EC154" s="23">
        <f>EXP(-LN(2)/2)*EC153+(1-EXP(-LN(2)/2))/(LN(2)/2)*DW154*DZ154*VLOOKUP('Données projet'!$B$14,Paramètres!$A$1:$I$89,3,0)*0.475*44/12</f>
        <v>6.293707631981879E-17</v>
      </c>
      <c r="ED154" s="24">
        <f t="shared" ref="ED154:ED203" si="178">SUM(EA154:EC154)</f>
        <v>0.65650337159155647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-5.6843418860808015E-14</v>
      </c>
      <c r="EK154" s="18">
        <f>EJ154*VLOOKUP('Données projet'!$B$15,Paramètres!$A$1:$I$89,3,0)*VLOOKUP('Données projet'!$B$15,Paramètres!$A$1:$I$89,5,0)</f>
        <v>-5.1431925385259088E-14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315.23521260143986</v>
      </c>
      <c r="EP154" s="62">
        <f t="shared" si="154"/>
        <v>439.11021845472641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-1.9065282685915009E-13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302.20483575440988</v>
      </c>
      <c r="T155" s="62">
        <f t="shared" si="142"/>
        <v>275.32862097158687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0.75627992333286043</v>
      </c>
      <c r="AB155" s="23">
        <f>EXP(-LN(2)/2)*AB154+(1-EXP(-LN(2)/2))/(LN(2)/2)*V155*Y155*VLOOKUP('Données projet'!$B$9,Paramètres!$A$1:$I$89,3,0)*0.475*44/12</f>
        <v>4.7738640478560075E-18</v>
      </c>
      <c r="AC155" s="24">
        <f t="shared" si="163"/>
        <v>0.75627992333286043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-4.5474735088646412E-13</v>
      </c>
      <c r="AJ155" s="14">
        <f>AI155*VLOOKUP('Données projet'!$B$10,Paramètres!$A$1:$I$89,3,0)*VLOOKUP('Données projet'!$B$10,Paramètres!$A$1:$I$89,5,0)</f>
        <v>-4.1145540308207271E-13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384.44848355636935</v>
      </c>
      <c r="AO155" s="62">
        <f t="shared" si="144"/>
        <v>203.5274665601915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-4.5474735088646412E-13</v>
      </c>
      <c r="BE155" s="14">
        <f>BD155*VLOOKUP('Données projet'!$B$11,Paramètres!$A$1:$I$89,3,0)*VLOOKUP('Données projet'!$B$11,Paramètres!$A$1:$I$89,5,0)</f>
        <v>-4.6111381379887462E-13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440.60698566758532</v>
      </c>
      <c r="BJ155" s="62">
        <f t="shared" si="146"/>
        <v>231.92898690465887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287.29865338866551</v>
      </c>
      <c r="CE155" s="62">
        <f t="shared" si="148"/>
        <v>217.57508587672368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0.37202248489016393</v>
      </c>
      <c r="CM155" s="23">
        <f>EXP(-LN(2)/2)*CM154+(1-EXP(-LN(2)/2))/(LN(2)/2)*CG155*CJ155*VLOOKUP('Données projet'!$B$12,Paramètres!$A$1:$I$89,3,0)*0.475*44/12</f>
        <v>5.5798183142081872E-18</v>
      </c>
      <c r="CN155" s="24">
        <f t="shared" si="172"/>
        <v>0.37202248489016393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175.05987582828078</v>
      </c>
      <c r="CZ155" s="62">
        <f t="shared" si="150"/>
        <v>268.54782308462387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0.30838420889111756</v>
      </c>
      <c r="DH155" s="23">
        <f>EXP(-LN(2)/2)*DH154+(1-EXP(-LN(2)/2))/(LN(2)/2)*DB155*DE155*VLOOKUP('Données projet'!$B$13,Paramètres!$A$1:$I$89,3,0)*0.475*44/12</f>
        <v>5.4856130058054286E-18</v>
      </c>
      <c r="DI155" s="24">
        <f t="shared" si="175"/>
        <v>0.30838420889111756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-5.6843418860808015E-14</v>
      </c>
      <c r="DP155" s="18">
        <f>DO155*VLOOKUP('Données projet'!$B$14,Paramètres!$A$1:$I$89,3,0)*VLOOKUP('Données projet'!$B$14,Paramètres!$A$1:$I$89,5,0)</f>
        <v>-3.2514435588382188E-14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228.06050741667258</v>
      </c>
      <c r="DU155" s="62">
        <f t="shared" si="152"/>
        <v>191.94885821983536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0.63855125237137345</v>
      </c>
      <c r="EC155" s="23">
        <f>EXP(-LN(2)/2)*EC154+(1-EXP(-LN(2)/2))/(LN(2)/2)*DW155*DZ155*VLOOKUP('Données projet'!$B$14,Paramètres!$A$1:$I$89,3,0)*0.475*44/12</f>
        <v>4.4503233453799147E-17</v>
      </c>
      <c r="ED155" s="24">
        <f t="shared" si="178"/>
        <v>0.63855125237137345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-5.6843418860808015E-14</v>
      </c>
      <c r="EK155" s="18">
        <f>EJ155*VLOOKUP('Données projet'!$B$15,Paramètres!$A$1:$I$89,3,0)*VLOOKUP('Données projet'!$B$15,Paramètres!$A$1:$I$89,5,0)</f>
        <v>-5.1431925385259088E-14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315.23521260143986</v>
      </c>
      <c r="EP155" s="62">
        <f t="shared" si="154"/>
        <v>439.11021845472641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-1.9065282685915009E-13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302.20483575440988</v>
      </c>
      <c r="T156" s="62">
        <f t="shared" si="142"/>
        <v>275.32862097158687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0.73559940905829069</v>
      </c>
      <c r="AB156" s="23">
        <f>EXP(-LN(2)/2)*AB155+(1-EXP(-LN(2)/2))/(LN(2)/2)*V156*Y156*VLOOKUP('Données projet'!$B$9,Paramètres!$A$1:$I$89,3,0)*0.475*44/12</f>
        <v>3.3756316407016444E-18</v>
      </c>
      <c r="AC156" s="24">
        <f t="shared" si="163"/>
        <v>0.73559940905829069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-4.5474735088646412E-13</v>
      </c>
      <c r="AJ156" s="14">
        <f>AI156*VLOOKUP('Données projet'!$B$10,Paramètres!$A$1:$I$89,3,0)*VLOOKUP('Données projet'!$B$10,Paramètres!$A$1:$I$89,5,0)</f>
        <v>-4.1145540308207271E-13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384.44848355636935</v>
      </c>
      <c r="AO156" s="62">
        <f t="shared" si="144"/>
        <v>203.5274665601915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-4.5474735088646412E-13</v>
      </c>
      <c r="BE156" s="14">
        <f>BD156*VLOOKUP('Données projet'!$B$11,Paramètres!$A$1:$I$89,3,0)*VLOOKUP('Données projet'!$B$11,Paramètres!$A$1:$I$89,5,0)</f>
        <v>-4.6111381379887462E-13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440.60698566758532</v>
      </c>
      <c r="BJ156" s="62">
        <f t="shared" si="146"/>
        <v>231.92898690465887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287.29865338866551</v>
      </c>
      <c r="CE156" s="62">
        <f t="shared" si="148"/>
        <v>217.57508587672368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0.36184951047703018</v>
      </c>
      <c r="CM156" s="23">
        <f>EXP(-LN(2)/2)*CM155+(1-EXP(-LN(2)/2))/(LN(2)/2)*CG156*CJ156*VLOOKUP('Données projet'!$B$12,Paramètres!$A$1:$I$89,3,0)*0.475*44/12</f>
        <v>3.945527367765499E-18</v>
      </c>
      <c r="CN156" s="24">
        <f t="shared" si="172"/>
        <v>0.36184951047703018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175.05987582828078</v>
      </c>
      <c r="CZ156" s="62">
        <f t="shared" si="150"/>
        <v>268.54782308462387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0.2999514264817692</v>
      </c>
      <c r="DH156" s="23">
        <f>EXP(-LN(2)/2)*DH155+(1-EXP(-LN(2)/2))/(LN(2)/2)*DB156*DE156*VLOOKUP('Données projet'!$B$13,Paramètres!$A$1:$I$89,3,0)*0.475*44/12</f>
        <v>3.8789141553701384E-18</v>
      </c>
      <c r="DI156" s="24">
        <f t="shared" si="175"/>
        <v>0.2999514264817692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-5.6843418860808015E-14</v>
      </c>
      <c r="DP156" s="18">
        <f>DO156*VLOOKUP('Données projet'!$B$14,Paramètres!$A$1:$I$89,3,0)*VLOOKUP('Données projet'!$B$14,Paramètres!$A$1:$I$89,5,0)</f>
        <v>-3.2514435588382188E-14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228.06050741667258</v>
      </c>
      <c r="DU156" s="62">
        <f t="shared" si="152"/>
        <v>191.94885821983536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0.62109003479532732</v>
      </c>
      <c r="EC156" s="23">
        <f>EXP(-LN(2)/2)*EC155+(1-EXP(-LN(2)/2))/(LN(2)/2)*DW156*DZ156*VLOOKUP('Données projet'!$B$14,Paramètres!$A$1:$I$89,3,0)*0.475*44/12</f>
        <v>3.1468538159909395E-17</v>
      </c>
      <c r="ED156" s="24">
        <f t="shared" si="178"/>
        <v>0.62109003479532732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-5.6843418860808015E-14</v>
      </c>
      <c r="EK156" s="18">
        <f>EJ156*VLOOKUP('Données projet'!$B$15,Paramètres!$A$1:$I$89,3,0)*VLOOKUP('Données projet'!$B$15,Paramètres!$A$1:$I$89,5,0)</f>
        <v>-5.1431925385259088E-14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315.23521260143986</v>
      </c>
      <c r="EP156" s="62">
        <f t="shared" si="154"/>
        <v>439.11021845472641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-1.9065282685915009E-13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302.20483575440988</v>
      </c>
      <c r="T157" s="62">
        <f t="shared" si="142"/>
        <v>275.32862097158687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0.7154844045341</v>
      </c>
      <c r="AB157" s="23">
        <f>EXP(-LN(2)/2)*AB156+(1-EXP(-LN(2)/2))/(LN(2)/2)*V157*Y157*VLOOKUP('Données projet'!$B$9,Paramètres!$A$1:$I$89,3,0)*0.475*44/12</f>
        <v>2.3869320239280042E-18</v>
      </c>
      <c r="AC157" s="24">
        <f t="shared" si="163"/>
        <v>0.7154844045341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-4.5474735088646412E-13</v>
      </c>
      <c r="AJ157" s="14">
        <f>AI157*VLOOKUP('Données projet'!$B$10,Paramètres!$A$1:$I$89,3,0)*VLOOKUP('Données projet'!$B$10,Paramètres!$A$1:$I$89,5,0)</f>
        <v>-4.1145540308207271E-13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384.44848355636935</v>
      </c>
      <c r="AO157" s="62">
        <f t="shared" si="144"/>
        <v>203.5274665601915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-4.5474735088646412E-13</v>
      </c>
      <c r="BE157" s="14">
        <f>BD157*VLOOKUP('Données projet'!$B$11,Paramètres!$A$1:$I$89,3,0)*VLOOKUP('Données projet'!$B$11,Paramètres!$A$1:$I$89,5,0)</f>
        <v>-4.6111381379887462E-13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440.60698566758532</v>
      </c>
      <c r="BJ157" s="62">
        <f t="shared" si="146"/>
        <v>231.92898690465887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287.29865338866551</v>
      </c>
      <c r="CE157" s="62">
        <f t="shared" si="148"/>
        <v>217.57508587672368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0.35195471658419702</v>
      </c>
      <c r="CM157" s="23">
        <f>EXP(-LN(2)/2)*CM156+(1-EXP(-LN(2)/2))/(LN(2)/2)*CG157*CJ157*VLOOKUP('Données projet'!$B$12,Paramètres!$A$1:$I$89,3,0)*0.475*44/12</f>
        <v>2.7899091571040936E-18</v>
      </c>
      <c r="CN157" s="24">
        <f t="shared" si="172"/>
        <v>0.35195471658419702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175.05987582828078</v>
      </c>
      <c r="CZ157" s="62">
        <f t="shared" si="150"/>
        <v>268.54782308462387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0.29174923895086524</v>
      </c>
      <c r="DH157" s="23">
        <f>EXP(-LN(2)/2)*DH156+(1-EXP(-LN(2)/2))/(LN(2)/2)*DB157*DE157*VLOOKUP('Données projet'!$B$13,Paramètres!$A$1:$I$89,3,0)*0.475*44/12</f>
        <v>2.7428065029027143E-18</v>
      </c>
      <c r="DI157" s="24">
        <f t="shared" si="175"/>
        <v>0.29174923895086524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-5.6843418860808015E-14</v>
      </c>
      <c r="DP157" s="18">
        <f>DO157*VLOOKUP('Données projet'!$B$14,Paramètres!$A$1:$I$89,3,0)*VLOOKUP('Données projet'!$B$14,Paramètres!$A$1:$I$89,5,0)</f>
        <v>-3.2514435588382188E-14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228.06050741667258</v>
      </c>
      <c r="DU157" s="62">
        <f t="shared" si="152"/>
        <v>191.94885821983536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0.60410629513214364</v>
      </c>
      <c r="EC157" s="23">
        <f>EXP(-LN(2)/2)*EC156+(1-EXP(-LN(2)/2))/(LN(2)/2)*DW157*DZ157*VLOOKUP('Données projet'!$B$14,Paramètres!$A$1:$I$89,3,0)*0.475*44/12</f>
        <v>2.2251616726899574E-17</v>
      </c>
      <c r="ED157" s="24">
        <f t="shared" si="178"/>
        <v>0.60410629513214364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-5.6843418860808015E-14</v>
      </c>
      <c r="EK157" s="18">
        <f>EJ157*VLOOKUP('Données projet'!$B$15,Paramètres!$A$1:$I$89,3,0)*VLOOKUP('Données projet'!$B$15,Paramètres!$A$1:$I$89,5,0)</f>
        <v>-5.1431925385259088E-14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315.23521260143986</v>
      </c>
      <c r="EP157" s="62">
        <f t="shared" si="154"/>
        <v>439.11021845472641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-1.9065282685915009E-13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302.20483575440988</v>
      </c>
      <c r="T158" s="62">
        <f t="shared" si="142"/>
        <v>275.32862097158687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0.69591944586642551</v>
      </c>
      <c r="AB158" s="23">
        <f>EXP(-LN(2)/2)*AB157+(1-EXP(-LN(2)/2))/(LN(2)/2)*V158*Y158*VLOOKUP('Données projet'!$B$9,Paramètres!$A$1:$I$89,3,0)*0.475*44/12</f>
        <v>1.6878158203508224E-18</v>
      </c>
      <c r="AC158" s="24">
        <f t="shared" si="163"/>
        <v>0.69591944586642551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-4.5474735088646412E-13</v>
      </c>
      <c r="AJ158" s="14">
        <f>AI158*VLOOKUP('Données projet'!$B$10,Paramètres!$A$1:$I$89,3,0)*VLOOKUP('Données projet'!$B$10,Paramètres!$A$1:$I$89,5,0)</f>
        <v>-4.1145540308207271E-13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384.44848355636935</v>
      </c>
      <c r="AO158" s="62">
        <f t="shared" si="144"/>
        <v>203.5274665601915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-4.5474735088646412E-13</v>
      </c>
      <c r="BE158" s="14">
        <f>BD158*VLOOKUP('Données projet'!$B$11,Paramètres!$A$1:$I$89,3,0)*VLOOKUP('Données projet'!$B$11,Paramètres!$A$1:$I$89,5,0)</f>
        <v>-4.6111381379887462E-13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440.60698566758532</v>
      </c>
      <c r="BJ158" s="62">
        <f t="shared" si="146"/>
        <v>231.92898690465887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287.29865338866551</v>
      </c>
      <c r="CE158" s="62">
        <f t="shared" si="148"/>
        <v>217.57508587672368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0.342330496350708</v>
      </c>
      <c r="CM158" s="23">
        <f>EXP(-LN(2)/2)*CM157+(1-EXP(-LN(2)/2))/(LN(2)/2)*CG158*CJ158*VLOOKUP('Données projet'!$B$12,Paramètres!$A$1:$I$89,3,0)*0.475*44/12</f>
        <v>1.9727636838827495E-18</v>
      </c>
      <c r="CN158" s="24">
        <f t="shared" si="172"/>
        <v>0.342330496350708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175.05987582828078</v>
      </c>
      <c r="CZ158" s="62">
        <f t="shared" si="150"/>
        <v>268.54782308462387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0.28377134066932813</v>
      </c>
      <c r="DH158" s="23">
        <f>EXP(-LN(2)/2)*DH157+(1-EXP(-LN(2)/2))/(LN(2)/2)*DB158*DE158*VLOOKUP('Données projet'!$B$13,Paramètres!$A$1:$I$89,3,0)*0.475*44/12</f>
        <v>1.9394570776850692E-18</v>
      </c>
      <c r="DI158" s="24">
        <f t="shared" si="175"/>
        <v>0.28377134066932813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-5.6843418860808015E-14</v>
      </c>
      <c r="DP158" s="18">
        <f>DO158*VLOOKUP('Données projet'!$B$14,Paramètres!$A$1:$I$89,3,0)*VLOOKUP('Données projet'!$B$14,Paramètres!$A$1:$I$89,5,0)</f>
        <v>-3.2514435588382188E-14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228.06050741667258</v>
      </c>
      <c r="DU158" s="62">
        <f t="shared" si="152"/>
        <v>191.94885821983536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0.58758697672318583</v>
      </c>
      <c r="EC158" s="23">
        <f>EXP(-LN(2)/2)*EC157+(1-EXP(-LN(2)/2))/(LN(2)/2)*DW158*DZ158*VLOOKUP('Données projet'!$B$14,Paramètres!$A$1:$I$89,3,0)*0.475*44/12</f>
        <v>1.5734269079954697E-17</v>
      </c>
      <c r="ED158" s="24">
        <f t="shared" si="178"/>
        <v>0.58758697672318583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-5.6843418860808015E-14</v>
      </c>
      <c r="EK158" s="18">
        <f>EJ158*VLOOKUP('Données projet'!$B$15,Paramètres!$A$1:$I$89,3,0)*VLOOKUP('Données projet'!$B$15,Paramètres!$A$1:$I$89,5,0)</f>
        <v>-5.1431925385259088E-14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315.23521260143986</v>
      </c>
      <c r="EP158" s="62">
        <f t="shared" si="154"/>
        <v>439.11021845472641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-1.9065282685915009E-13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302.20483575440988</v>
      </c>
      <c r="T159" s="62">
        <f t="shared" si="142"/>
        <v>275.32862097158687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0.67688949202239501</v>
      </c>
      <c r="AB159" s="23">
        <f>EXP(-LN(2)/2)*AB158+(1-EXP(-LN(2)/2))/(LN(2)/2)*V159*Y159*VLOOKUP('Données projet'!$B$9,Paramètres!$A$1:$I$89,3,0)*0.475*44/12</f>
        <v>1.1934660119640023E-18</v>
      </c>
      <c r="AC159" s="24">
        <f t="shared" si="163"/>
        <v>0.67688949202239501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-4.5474735088646412E-13</v>
      </c>
      <c r="AJ159" s="14">
        <f>AI159*VLOOKUP('Données projet'!$B$10,Paramètres!$A$1:$I$89,3,0)*VLOOKUP('Données projet'!$B$10,Paramètres!$A$1:$I$89,5,0)</f>
        <v>-4.1145540308207271E-13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384.44848355636935</v>
      </c>
      <c r="AO159" s="62">
        <f t="shared" si="144"/>
        <v>203.5274665601915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-4.5474735088646412E-13</v>
      </c>
      <c r="BE159" s="14">
        <f>BD159*VLOOKUP('Données projet'!$B$11,Paramètres!$A$1:$I$89,3,0)*VLOOKUP('Données projet'!$B$11,Paramètres!$A$1:$I$89,5,0)</f>
        <v>-4.6111381379887462E-13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440.60698566758532</v>
      </c>
      <c r="BJ159" s="62">
        <f t="shared" si="146"/>
        <v>231.92898690465887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287.29865338866551</v>
      </c>
      <c r="CE159" s="62">
        <f t="shared" si="148"/>
        <v>217.57508587672368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0.33296945092561947</v>
      </c>
      <c r="CM159" s="23">
        <f>EXP(-LN(2)/2)*CM158+(1-EXP(-LN(2)/2))/(LN(2)/2)*CG159*CJ159*VLOOKUP('Données projet'!$B$12,Paramètres!$A$1:$I$89,3,0)*0.475*44/12</f>
        <v>1.3949545785520468E-18</v>
      </c>
      <c r="CN159" s="24">
        <f t="shared" si="172"/>
        <v>0.33296945092561947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175.05987582828078</v>
      </c>
      <c r="CZ159" s="62">
        <f t="shared" si="150"/>
        <v>268.54782308462387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0.27601159843583911</v>
      </c>
      <c r="DH159" s="23">
        <f>EXP(-LN(2)/2)*DH158+(1-EXP(-LN(2)/2))/(LN(2)/2)*DB159*DE159*VLOOKUP('Données projet'!$B$13,Paramètres!$A$1:$I$89,3,0)*0.475*44/12</f>
        <v>1.3714032514513571E-18</v>
      </c>
      <c r="DI159" s="24">
        <f t="shared" si="175"/>
        <v>0.27601159843583911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-5.6843418860808015E-14</v>
      </c>
      <c r="DP159" s="18">
        <f>DO159*VLOOKUP('Données projet'!$B$14,Paramètres!$A$1:$I$89,3,0)*VLOOKUP('Données projet'!$B$14,Paramètres!$A$1:$I$89,5,0)</f>
        <v>-3.2514435588382188E-14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228.06050741667258</v>
      </c>
      <c r="DU159" s="62">
        <f t="shared" si="152"/>
        <v>191.94885821983536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0.57151937994483415</v>
      </c>
      <c r="EC159" s="23">
        <f>EXP(-LN(2)/2)*EC158+(1-EXP(-LN(2)/2))/(LN(2)/2)*DW159*DZ159*VLOOKUP('Données projet'!$B$14,Paramètres!$A$1:$I$89,3,0)*0.475*44/12</f>
        <v>1.1125808363449787E-17</v>
      </c>
      <c r="ED159" s="24">
        <f t="shared" si="178"/>
        <v>0.57151937994483415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-5.6843418860808015E-14</v>
      </c>
      <c r="EK159" s="18">
        <f>EJ159*VLOOKUP('Données projet'!$B$15,Paramètres!$A$1:$I$89,3,0)*VLOOKUP('Données projet'!$B$15,Paramètres!$A$1:$I$89,5,0)</f>
        <v>-5.1431925385259088E-14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315.23521260143986</v>
      </c>
      <c r="EP159" s="62">
        <f t="shared" si="154"/>
        <v>439.11021845472641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-1.9065282685915009E-13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302.20483575440988</v>
      </c>
      <c r="T160" s="62">
        <f t="shared" si="142"/>
        <v>275.32862097158687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0.65837991326697132</v>
      </c>
      <c r="AB160" s="23">
        <f>EXP(-LN(2)/2)*AB159+(1-EXP(-LN(2)/2))/(LN(2)/2)*V160*Y160*VLOOKUP('Données projet'!$B$9,Paramètres!$A$1:$I$89,3,0)*0.475*44/12</f>
        <v>8.4390791017541128E-19</v>
      </c>
      <c r="AC160" s="24">
        <f t="shared" si="163"/>
        <v>0.65837991326697132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-4.5474735088646412E-13</v>
      </c>
      <c r="AJ160" s="14">
        <f>AI160*VLOOKUP('Données projet'!$B$10,Paramètres!$A$1:$I$89,3,0)*VLOOKUP('Données projet'!$B$10,Paramètres!$A$1:$I$89,5,0)</f>
        <v>-4.1145540308207271E-13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384.44848355636935</v>
      </c>
      <c r="AO160" s="62">
        <f t="shared" si="144"/>
        <v>203.5274665601915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-4.5474735088646412E-13</v>
      </c>
      <c r="BE160" s="14">
        <f>BD160*VLOOKUP('Données projet'!$B$11,Paramètres!$A$1:$I$89,3,0)*VLOOKUP('Données projet'!$B$11,Paramètres!$A$1:$I$89,5,0)</f>
        <v>-4.6111381379887462E-13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440.60698566758532</v>
      </c>
      <c r="BJ160" s="62">
        <f t="shared" si="146"/>
        <v>231.92898690465887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287.29865338866551</v>
      </c>
      <c r="CE160" s="62">
        <f t="shared" si="148"/>
        <v>217.57508587672368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0.32386438377995597</v>
      </c>
      <c r="CM160" s="23">
        <f>EXP(-LN(2)/2)*CM159+(1-EXP(-LN(2)/2))/(LN(2)/2)*CG160*CJ160*VLOOKUP('Données projet'!$B$12,Paramètres!$A$1:$I$89,3,0)*0.475*44/12</f>
        <v>9.8638184194137475E-19</v>
      </c>
      <c r="CN160" s="24">
        <f t="shared" si="172"/>
        <v>0.32386438377995597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175.05987582828078</v>
      </c>
      <c r="CZ160" s="62">
        <f t="shared" si="150"/>
        <v>268.54782308462387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0.26846404676179197</v>
      </c>
      <c r="DH160" s="23">
        <f>EXP(-LN(2)/2)*DH159+(1-EXP(-LN(2)/2))/(LN(2)/2)*DB160*DE160*VLOOKUP('Données projet'!$B$13,Paramètres!$A$1:$I$89,3,0)*0.475*44/12</f>
        <v>9.697285388425346E-19</v>
      </c>
      <c r="DI160" s="24">
        <f t="shared" si="175"/>
        <v>0.26846404676179197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-5.6843418860808015E-14</v>
      </c>
      <c r="DP160" s="18">
        <f>DO160*VLOOKUP('Données projet'!$B$14,Paramètres!$A$1:$I$89,3,0)*VLOOKUP('Données projet'!$B$14,Paramètres!$A$1:$I$89,5,0)</f>
        <v>-3.2514435588382188E-14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228.06050741667258</v>
      </c>
      <c r="DU160" s="62">
        <f t="shared" si="152"/>
        <v>191.94885821983536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0.55589115244534471</v>
      </c>
      <c r="EC160" s="23">
        <f>EXP(-LN(2)/2)*EC159+(1-EXP(-LN(2)/2))/(LN(2)/2)*DW160*DZ160*VLOOKUP('Données projet'!$B$14,Paramètres!$A$1:$I$89,3,0)*0.475*44/12</f>
        <v>7.8671345399773487E-18</v>
      </c>
      <c r="ED160" s="24">
        <f t="shared" si="178"/>
        <v>0.55589115244534471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-5.6843418860808015E-14</v>
      </c>
      <c r="EK160" s="18">
        <f>EJ160*VLOOKUP('Données projet'!$B$15,Paramètres!$A$1:$I$89,3,0)*VLOOKUP('Données projet'!$B$15,Paramètres!$A$1:$I$89,5,0)</f>
        <v>-5.1431925385259088E-14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315.23521260143986</v>
      </c>
      <c r="EP160" s="62">
        <f t="shared" si="154"/>
        <v>439.11021845472641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-1.9065282685915009E-13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302.20483575440988</v>
      </c>
      <c r="T161" s="62">
        <f t="shared" si="142"/>
        <v>275.32862097158687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0.64037647991599111</v>
      </c>
      <c r="AB161" s="23">
        <f>EXP(-LN(2)/2)*AB160+(1-EXP(-LN(2)/2))/(LN(2)/2)*V161*Y161*VLOOKUP('Données projet'!$B$9,Paramètres!$A$1:$I$89,3,0)*0.475*44/12</f>
        <v>5.9673300598200123E-19</v>
      </c>
      <c r="AC161" s="24">
        <f t="shared" si="163"/>
        <v>0.64037647991599111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-4.5474735088646412E-13</v>
      </c>
      <c r="AJ161" s="14">
        <f>AI161*VLOOKUP('Données projet'!$B$10,Paramètres!$A$1:$I$89,3,0)*VLOOKUP('Données projet'!$B$10,Paramètres!$A$1:$I$89,5,0)</f>
        <v>-4.1145540308207271E-13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384.44848355636935</v>
      </c>
      <c r="AO161" s="62">
        <f t="shared" si="144"/>
        <v>203.5274665601915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-4.5474735088646412E-13</v>
      </c>
      <c r="BE161" s="14">
        <f>BD161*VLOOKUP('Données projet'!$B$11,Paramètres!$A$1:$I$89,3,0)*VLOOKUP('Données projet'!$B$11,Paramètres!$A$1:$I$89,5,0)</f>
        <v>-4.6111381379887462E-13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440.60698566758532</v>
      </c>
      <c r="BJ161" s="62">
        <f t="shared" si="146"/>
        <v>231.92898690465887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287.29865338866551</v>
      </c>
      <c r="CE161" s="62">
        <f t="shared" si="148"/>
        <v>217.57508587672368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0.31500829517420531</v>
      </c>
      <c r="CM161" s="23">
        <f>EXP(-LN(2)/2)*CM160+(1-EXP(-LN(2)/2))/(LN(2)/2)*CG161*CJ161*VLOOKUP('Données projet'!$B$12,Paramètres!$A$1:$I$89,3,0)*0.475*44/12</f>
        <v>6.974772892760234E-19</v>
      </c>
      <c r="CN161" s="24">
        <f t="shared" si="172"/>
        <v>0.31500829517420531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175.05987582828078</v>
      </c>
      <c r="CZ161" s="62">
        <f t="shared" si="150"/>
        <v>268.54782308462387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0.26112288328518013</v>
      </c>
      <c r="DH161" s="23">
        <f>EXP(-LN(2)/2)*DH160+(1-EXP(-LN(2)/2))/(LN(2)/2)*DB161*DE161*VLOOKUP('Données projet'!$B$13,Paramètres!$A$1:$I$89,3,0)*0.475*44/12</f>
        <v>6.8570162572567857E-19</v>
      </c>
      <c r="DI161" s="24">
        <f t="shared" si="175"/>
        <v>0.26112288328518013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-5.6843418860808015E-14</v>
      </c>
      <c r="DP161" s="18">
        <f>DO161*VLOOKUP('Données projet'!$B$14,Paramètres!$A$1:$I$89,3,0)*VLOOKUP('Données projet'!$B$14,Paramètres!$A$1:$I$89,5,0)</f>
        <v>-3.2514435588382188E-14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228.06050741667258</v>
      </c>
      <c r="DU161" s="62">
        <f t="shared" si="152"/>
        <v>191.94885821983536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0.54069027964868155</v>
      </c>
      <c r="EC161" s="23">
        <f>EXP(-LN(2)/2)*EC160+(1-EXP(-LN(2)/2))/(LN(2)/2)*DW161*DZ161*VLOOKUP('Données projet'!$B$14,Paramètres!$A$1:$I$89,3,0)*0.475*44/12</f>
        <v>5.5629041817248934E-18</v>
      </c>
      <c r="ED161" s="24">
        <f t="shared" si="178"/>
        <v>0.54069027964868155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-5.6843418860808015E-14</v>
      </c>
      <c r="EK161" s="18">
        <f>EJ161*VLOOKUP('Données projet'!$B$15,Paramètres!$A$1:$I$89,3,0)*VLOOKUP('Données projet'!$B$15,Paramètres!$A$1:$I$89,5,0)</f>
        <v>-5.1431925385259088E-14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315.23521260143986</v>
      </c>
      <c r="EP161" s="62">
        <f t="shared" si="154"/>
        <v>439.11021845472641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-1.9065282685915009E-13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302.20483575440988</v>
      </c>
      <c r="T162" s="62">
        <f t="shared" si="142"/>
        <v>275.32862097158687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0.62286535139675281</v>
      </c>
      <c r="AB162" s="23">
        <f>EXP(-LN(2)/2)*AB161+(1-EXP(-LN(2)/2))/(LN(2)/2)*V162*Y162*VLOOKUP('Données projet'!$B$9,Paramètres!$A$1:$I$89,3,0)*0.475*44/12</f>
        <v>4.2195395508770574E-19</v>
      </c>
      <c r="AC162" s="24">
        <f t="shared" si="163"/>
        <v>0.62286535139675281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-4.5474735088646412E-13</v>
      </c>
      <c r="AJ162" s="14">
        <f>AI162*VLOOKUP('Données projet'!$B$10,Paramètres!$A$1:$I$89,3,0)*VLOOKUP('Données projet'!$B$10,Paramètres!$A$1:$I$89,5,0)</f>
        <v>-4.1145540308207271E-13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384.44848355636935</v>
      </c>
      <c r="AO162" s="62">
        <f t="shared" si="144"/>
        <v>203.5274665601915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-4.5474735088646412E-13</v>
      </c>
      <c r="BE162" s="14">
        <f>BD162*VLOOKUP('Données projet'!$B$11,Paramètres!$A$1:$I$89,3,0)*VLOOKUP('Données projet'!$B$11,Paramètres!$A$1:$I$89,5,0)</f>
        <v>-4.6111381379887462E-13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440.60698566758532</v>
      </c>
      <c r="BJ162" s="62">
        <f t="shared" si="146"/>
        <v>231.92898690465887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287.29865338866551</v>
      </c>
      <c r="CE162" s="62">
        <f t="shared" si="148"/>
        <v>217.57508587672368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0.30639437677710041</v>
      </c>
      <c r="CM162" s="23">
        <f>EXP(-LN(2)/2)*CM161+(1-EXP(-LN(2)/2))/(LN(2)/2)*CG162*CJ162*VLOOKUP('Données projet'!$B$12,Paramètres!$A$1:$I$89,3,0)*0.475*44/12</f>
        <v>4.9319092097068738E-19</v>
      </c>
      <c r="CN162" s="24">
        <f t="shared" si="172"/>
        <v>0.30639437677710041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175.05987582828078</v>
      </c>
      <c r="CZ162" s="62">
        <f t="shared" si="150"/>
        <v>268.54782308462387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0.25398246430989124</v>
      </c>
      <c r="DH162" s="23">
        <f>EXP(-LN(2)/2)*DH161+(1-EXP(-LN(2)/2))/(LN(2)/2)*DB162*DE162*VLOOKUP('Données projet'!$B$13,Paramètres!$A$1:$I$89,3,0)*0.475*44/12</f>
        <v>4.848642694212673E-19</v>
      </c>
      <c r="DI162" s="24">
        <f t="shared" si="175"/>
        <v>0.25398246430989124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-5.6843418860808015E-14</v>
      </c>
      <c r="DP162" s="18">
        <f>DO162*VLOOKUP('Données projet'!$B$14,Paramètres!$A$1:$I$89,3,0)*VLOOKUP('Données projet'!$B$14,Paramètres!$A$1:$I$89,5,0)</f>
        <v>-3.2514435588382188E-14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228.06050741667258</v>
      </c>
      <c r="DU162" s="62">
        <f t="shared" si="152"/>
        <v>191.94885821983536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0.52590507551802235</v>
      </c>
      <c r="EC162" s="23">
        <f>EXP(-LN(2)/2)*EC161+(1-EXP(-LN(2)/2))/(LN(2)/2)*DW162*DZ162*VLOOKUP('Données projet'!$B$14,Paramètres!$A$1:$I$89,3,0)*0.475*44/12</f>
        <v>3.9335672699886744E-18</v>
      </c>
      <c r="ED162" s="24">
        <f t="shared" si="178"/>
        <v>0.52590507551802235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-5.6843418860808015E-14</v>
      </c>
      <c r="EK162" s="18">
        <f>EJ162*VLOOKUP('Données projet'!$B$15,Paramètres!$A$1:$I$89,3,0)*VLOOKUP('Données projet'!$B$15,Paramètres!$A$1:$I$89,5,0)</f>
        <v>-5.1431925385259088E-14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315.23521260143986</v>
      </c>
      <c r="EP162" s="62">
        <f t="shared" si="154"/>
        <v>439.11021845472641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-1.9065282685915009E-13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302.20483575440988</v>
      </c>
      <c r="T163" s="62">
        <f t="shared" si="142"/>
        <v>275.32862097158687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0.6058330656077433</v>
      </c>
      <c r="AB163" s="23">
        <f>EXP(-LN(2)/2)*AB162+(1-EXP(-LN(2)/2))/(LN(2)/2)*V163*Y163*VLOOKUP('Données projet'!$B$9,Paramètres!$A$1:$I$89,3,0)*0.475*44/12</f>
        <v>2.9836650299100066E-19</v>
      </c>
      <c r="AC163" s="24">
        <f t="shared" si="163"/>
        <v>0.6058330656077433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-4.5474735088646412E-13</v>
      </c>
      <c r="AJ163" s="14">
        <f>AI163*VLOOKUP('Données projet'!$B$10,Paramètres!$A$1:$I$89,3,0)*VLOOKUP('Données projet'!$B$10,Paramètres!$A$1:$I$89,5,0)</f>
        <v>-4.1145540308207271E-13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384.44848355636935</v>
      </c>
      <c r="AO163" s="62">
        <f t="shared" si="144"/>
        <v>203.5274665601915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-4.5474735088646412E-13</v>
      </c>
      <c r="BE163" s="14">
        <f>BD163*VLOOKUP('Données projet'!$B$11,Paramètres!$A$1:$I$89,3,0)*VLOOKUP('Données projet'!$B$11,Paramètres!$A$1:$I$89,5,0)</f>
        <v>-4.6111381379887462E-13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440.60698566758532</v>
      </c>
      <c r="BJ163" s="62">
        <f t="shared" si="146"/>
        <v>231.92898690465887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287.29865338866551</v>
      </c>
      <c r="CE163" s="62">
        <f t="shared" si="148"/>
        <v>217.57508587672368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0.29801600643155057</v>
      </c>
      <c r="CM163" s="23">
        <f>EXP(-LN(2)/2)*CM162+(1-EXP(-LN(2)/2))/(LN(2)/2)*CG163*CJ163*VLOOKUP('Données projet'!$B$12,Paramètres!$A$1:$I$89,3,0)*0.475*44/12</f>
        <v>3.487386446380117E-19</v>
      </c>
      <c r="CN163" s="24">
        <f t="shared" si="172"/>
        <v>0.29801600643155057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175.05987582828078</v>
      </c>
      <c r="CZ163" s="62">
        <f t="shared" si="150"/>
        <v>268.54782308462387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0.24703730046697994</v>
      </c>
      <c r="DH163" s="23">
        <f>EXP(-LN(2)/2)*DH162+(1-EXP(-LN(2)/2))/(LN(2)/2)*DB163*DE163*VLOOKUP('Données projet'!$B$13,Paramètres!$A$1:$I$89,3,0)*0.475*44/12</f>
        <v>3.4285081286283929E-19</v>
      </c>
      <c r="DI163" s="24">
        <f t="shared" si="175"/>
        <v>0.24703730046697994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-5.6843418860808015E-14</v>
      </c>
      <c r="DP163" s="18">
        <f>DO163*VLOOKUP('Données projet'!$B$14,Paramètres!$A$1:$I$89,3,0)*VLOOKUP('Données projet'!$B$14,Paramètres!$A$1:$I$89,5,0)</f>
        <v>-3.2514435588382188E-14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228.06050741667258</v>
      </c>
      <c r="DU163" s="62">
        <f t="shared" si="152"/>
        <v>191.94885821983536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0.5115241735718361</v>
      </c>
      <c r="EC163" s="23">
        <f>EXP(-LN(2)/2)*EC162+(1-EXP(-LN(2)/2))/(LN(2)/2)*DW163*DZ163*VLOOKUP('Données projet'!$B$14,Paramètres!$A$1:$I$89,3,0)*0.475*44/12</f>
        <v>2.7814520908624467E-18</v>
      </c>
      <c r="ED163" s="24">
        <f t="shared" si="178"/>
        <v>0.5115241735718361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-5.6843418860808015E-14</v>
      </c>
      <c r="EK163" s="18">
        <f>EJ163*VLOOKUP('Données projet'!$B$15,Paramètres!$A$1:$I$89,3,0)*VLOOKUP('Données projet'!$B$15,Paramètres!$A$1:$I$89,5,0)</f>
        <v>-5.1431925385259088E-14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315.23521260143986</v>
      </c>
      <c r="EP163" s="62">
        <f t="shared" si="154"/>
        <v>439.11021845472641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-1.9065282685915009E-13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302.20483575440988</v>
      </c>
      <c r="T164" s="62">
        <f t="shared" si="142"/>
        <v>275.32862097158687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0.58926652856932327</v>
      </c>
      <c r="AB164" s="23">
        <f>EXP(-LN(2)/2)*AB163+(1-EXP(-LN(2)/2))/(LN(2)/2)*V164*Y164*VLOOKUP('Données projet'!$B$9,Paramètres!$A$1:$I$89,3,0)*0.475*44/12</f>
        <v>2.1097697754385289E-19</v>
      </c>
      <c r="AC164" s="24">
        <f t="shared" si="163"/>
        <v>0.58926652856932327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-4.5474735088646412E-13</v>
      </c>
      <c r="AJ164" s="14">
        <f>AI164*VLOOKUP('Données projet'!$B$10,Paramètres!$A$1:$I$89,3,0)*VLOOKUP('Données projet'!$B$10,Paramètres!$A$1:$I$89,5,0)</f>
        <v>-4.1145540308207271E-13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384.44848355636935</v>
      </c>
      <c r="AO164" s="62">
        <f t="shared" si="144"/>
        <v>203.5274665601915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-4.5474735088646412E-13</v>
      </c>
      <c r="BE164" s="14">
        <f>BD164*VLOOKUP('Données projet'!$B$11,Paramètres!$A$1:$I$89,3,0)*VLOOKUP('Données projet'!$B$11,Paramètres!$A$1:$I$89,5,0)</f>
        <v>-4.6111381379887462E-13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440.60698566758532</v>
      </c>
      <c r="BJ164" s="62">
        <f t="shared" si="146"/>
        <v>231.92898690465887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287.29865338866551</v>
      </c>
      <c r="CE164" s="62">
        <f t="shared" si="148"/>
        <v>217.57508587672368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0.28986674306369919</v>
      </c>
      <c r="CM164" s="23">
        <f>EXP(-LN(2)/2)*CM163+(1-EXP(-LN(2)/2))/(LN(2)/2)*CG164*CJ164*VLOOKUP('Données projet'!$B$12,Paramètres!$A$1:$I$89,3,0)*0.475*44/12</f>
        <v>2.4659546048534369E-19</v>
      </c>
      <c r="CN164" s="24">
        <f t="shared" si="172"/>
        <v>0.28986674306369919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175.05987582828078</v>
      </c>
      <c r="CZ164" s="62">
        <f t="shared" si="150"/>
        <v>268.54782308462387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0.24028205249458334</v>
      </c>
      <c r="DH164" s="23">
        <f>EXP(-LN(2)/2)*DH163+(1-EXP(-LN(2)/2))/(LN(2)/2)*DB164*DE164*VLOOKUP('Données projet'!$B$13,Paramètres!$A$1:$I$89,3,0)*0.475*44/12</f>
        <v>2.4243213471063365E-19</v>
      </c>
      <c r="DI164" s="24">
        <f t="shared" si="175"/>
        <v>0.24028205249458334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-5.6843418860808015E-14</v>
      </c>
      <c r="DP164" s="18">
        <f>DO164*VLOOKUP('Données projet'!$B$14,Paramètres!$A$1:$I$89,3,0)*VLOOKUP('Données projet'!$B$14,Paramètres!$A$1:$I$89,5,0)</f>
        <v>-3.2514435588382188E-14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228.06050741667258</v>
      </c>
      <c r="DU164" s="62">
        <f t="shared" si="152"/>
        <v>191.94885821983536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0.49753651814562705</v>
      </c>
      <c r="EC164" s="23">
        <f>EXP(-LN(2)/2)*EC163+(1-EXP(-LN(2)/2))/(LN(2)/2)*DW164*DZ164*VLOOKUP('Données projet'!$B$14,Paramètres!$A$1:$I$89,3,0)*0.475*44/12</f>
        <v>1.9667836349943372E-18</v>
      </c>
      <c r="ED164" s="24">
        <f t="shared" si="178"/>
        <v>0.49753651814562705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-5.6843418860808015E-14</v>
      </c>
      <c r="EK164" s="18">
        <f>EJ164*VLOOKUP('Données projet'!$B$15,Paramètres!$A$1:$I$89,3,0)*VLOOKUP('Données projet'!$B$15,Paramètres!$A$1:$I$89,5,0)</f>
        <v>-5.1431925385259088E-14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315.23521260143986</v>
      </c>
      <c r="EP164" s="62">
        <f t="shared" si="154"/>
        <v>439.11021845472641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-1.9065282685915009E-13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302.20483575440988</v>
      </c>
      <c r="T165" s="62">
        <f t="shared" si="142"/>
        <v>275.32862097158687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0.57315300435741512</v>
      </c>
      <c r="AB165" s="23">
        <f>EXP(-LN(2)/2)*AB164+(1-EXP(-LN(2)/2))/(LN(2)/2)*V165*Y165*VLOOKUP('Données projet'!$B$9,Paramètres!$A$1:$I$89,3,0)*0.475*44/12</f>
        <v>1.4918325149550036E-19</v>
      </c>
      <c r="AC165" s="24">
        <f t="shared" si="163"/>
        <v>0.57315300435741512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-4.5474735088646412E-13</v>
      </c>
      <c r="AJ165" s="14">
        <f>AI165*VLOOKUP('Données projet'!$B$10,Paramètres!$A$1:$I$89,3,0)*VLOOKUP('Données projet'!$B$10,Paramètres!$A$1:$I$89,5,0)</f>
        <v>-4.1145540308207271E-13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384.44848355636935</v>
      </c>
      <c r="AO165" s="62">
        <f t="shared" si="144"/>
        <v>203.5274665601915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-4.5474735088646412E-13</v>
      </c>
      <c r="BE165" s="14">
        <f>BD165*VLOOKUP('Données projet'!$B$11,Paramètres!$A$1:$I$89,3,0)*VLOOKUP('Données projet'!$B$11,Paramètres!$A$1:$I$89,5,0)</f>
        <v>-4.6111381379887462E-13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440.60698566758532</v>
      </c>
      <c r="BJ165" s="62">
        <f t="shared" si="146"/>
        <v>231.92898690465887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287.29865338866551</v>
      </c>
      <c r="CE165" s="62">
        <f t="shared" si="148"/>
        <v>217.57508587672368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0.28194032173119282</v>
      </c>
      <c r="CM165" s="23">
        <f>EXP(-LN(2)/2)*CM164+(1-EXP(-LN(2)/2))/(LN(2)/2)*CG165*CJ165*VLOOKUP('Données projet'!$B$12,Paramètres!$A$1:$I$89,3,0)*0.475*44/12</f>
        <v>1.7436932231900585E-19</v>
      </c>
      <c r="CN165" s="24">
        <f t="shared" si="172"/>
        <v>0.28194032173119282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175.05987582828078</v>
      </c>
      <c r="CZ165" s="62">
        <f t="shared" si="150"/>
        <v>268.54782308462387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0.23371152713323498</v>
      </c>
      <c r="DH165" s="23">
        <f>EXP(-LN(2)/2)*DH164+(1-EXP(-LN(2)/2))/(LN(2)/2)*DB165*DE165*VLOOKUP('Données projet'!$B$13,Paramètres!$A$1:$I$89,3,0)*0.475*44/12</f>
        <v>1.7142540643141964E-19</v>
      </c>
      <c r="DI165" s="24">
        <f t="shared" si="175"/>
        <v>0.23371152713323498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-5.6843418860808015E-14</v>
      </c>
      <c r="DP165" s="18">
        <f>DO165*VLOOKUP('Données projet'!$B$14,Paramètres!$A$1:$I$89,3,0)*VLOOKUP('Données projet'!$B$14,Paramètres!$A$1:$I$89,5,0)</f>
        <v>-3.2514435588382188E-14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228.06050741667258</v>
      </c>
      <c r="DU165" s="62">
        <f t="shared" si="152"/>
        <v>191.94885821983536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0.48393135589262654</v>
      </c>
      <c r="EC165" s="23">
        <f>EXP(-LN(2)/2)*EC164+(1-EXP(-LN(2)/2))/(LN(2)/2)*DW165*DZ165*VLOOKUP('Données projet'!$B$14,Paramètres!$A$1:$I$89,3,0)*0.475*44/12</f>
        <v>1.3907260454312234E-18</v>
      </c>
      <c r="ED165" s="24">
        <f t="shared" si="178"/>
        <v>0.48393135589262654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-5.6843418860808015E-14</v>
      </c>
      <c r="EK165" s="18">
        <f>EJ165*VLOOKUP('Données projet'!$B$15,Paramètres!$A$1:$I$89,3,0)*VLOOKUP('Données projet'!$B$15,Paramètres!$A$1:$I$89,5,0)</f>
        <v>-5.1431925385259088E-14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315.23521260143986</v>
      </c>
      <c r="EP165" s="62">
        <f t="shared" si="154"/>
        <v>439.11021845472641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-1.9065282685915009E-13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302.20483575440988</v>
      </c>
      <c r="T166" s="62">
        <f t="shared" si="142"/>
        <v>275.32862097158687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0.55748010531245507</v>
      </c>
      <c r="AB166" s="23">
        <f>EXP(-LN(2)/2)*AB165+(1-EXP(-LN(2)/2))/(LN(2)/2)*V166*Y166*VLOOKUP('Données projet'!$B$9,Paramètres!$A$1:$I$89,3,0)*0.475*44/12</f>
        <v>1.0548848877192647E-19</v>
      </c>
      <c r="AC166" s="24">
        <f t="shared" si="163"/>
        <v>0.55748010531245507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-4.5474735088646412E-13</v>
      </c>
      <c r="AJ166" s="14">
        <f>AI166*VLOOKUP('Données projet'!$B$10,Paramètres!$A$1:$I$89,3,0)*VLOOKUP('Données projet'!$B$10,Paramètres!$A$1:$I$89,5,0)</f>
        <v>-4.1145540308207271E-13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384.44848355636935</v>
      </c>
      <c r="AO166" s="62">
        <f t="shared" si="144"/>
        <v>203.5274665601915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-4.5474735088646412E-13</v>
      </c>
      <c r="BE166" s="14">
        <f>BD166*VLOOKUP('Données projet'!$B$11,Paramètres!$A$1:$I$89,3,0)*VLOOKUP('Données projet'!$B$11,Paramètres!$A$1:$I$89,5,0)</f>
        <v>-4.6111381379887462E-13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440.60698566758532</v>
      </c>
      <c r="BJ166" s="62">
        <f t="shared" si="146"/>
        <v>231.92898690465887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287.29865338866551</v>
      </c>
      <c r="CE166" s="62">
        <f t="shared" si="148"/>
        <v>217.57508587672368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0.27423064880685621</v>
      </c>
      <c r="CM166" s="23">
        <f>EXP(-LN(2)/2)*CM165+(1-EXP(-LN(2)/2))/(LN(2)/2)*CG166*CJ166*VLOOKUP('Données projet'!$B$12,Paramètres!$A$1:$I$89,3,0)*0.475*44/12</f>
        <v>1.2329773024267184E-19</v>
      </c>
      <c r="CN166" s="24">
        <f t="shared" si="172"/>
        <v>0.27423064880685621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175.05987582828078</v>
      </c>
      <c r="CZ166" s="62">
        <f t="shared" si="150"/>
        <v>268.54782308462387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0.22732067313342161</v>
      </c>
      <c r="DH166" s="23">
        <f>EXP(-LN(2)/2)*DH165+(1-EXP(-LN(2)/2))/(LN(2)/2)*DB166*DE166*VLOOKUP('Données projet'!$B$13,Paramètres!$A$1:$I$89,3,0)*0.475*44/12</f>
        <v>1.2121606735531683E-19</v>
      </c>
      <c r="DI166" s="24">
        <f t="shared" si="175"/>
        <v>0.22732067313342161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-5.6843418860808015E-14</v>
      </c>
      <c r="DP166" s="18">
        <f>DO166*VLOOKUP('Données projet'!$B$14,Paramètres!$A$1:$I$89,3,0)*VLOOKUP('Données projet'!$B$14,Paramètres!$A$1:$I$89,5,0)</f>
        <v>-3.2514435588382188E-14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228.06050741667258</v>
      </c>
      <c r="DU166" s="62">
        <f t="shared" si="152"/>
        <v>191.94885821983536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0.47069822751689872</v>
      </c>
      <c r="EC166" s="23">
        <f>EXP(-LN(2)/2)*EC165+(1-EXP(-LN(2)/2))/(LN(2)/2)*DW166*DZ166*VLOOKUP('Données projet'!$B$14,Paramètres!$A$1:$I$89,3,0)*0.475*44/12</f>
        <v>9.8339181749716859E-19</v>
      </c>
      <c r="ED166" s="24">
        <f t="shared" si="178"/>
        <v>0.47069822751689872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-5.6843418860808015E-14</v>
      </c>
      <c r="EK166" s="18">
        <f>EJ166*VLOOKUP('Données projet'!$B$15,Paramètres!$A$1:$I$89,3,0)*VLOOKUP('Données projet'!$B$15,Paramètres!$A$1:$I$89,5,0)</f>
        <v>-5.1431925385259088E-14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315.23521260143986</v>
      </c>
      <c r="EP166" s="62">
        <f t="shared" si="154"/>
        <v>439.11021845472641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-1.9065282685915009E-13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302.20483575440988</v>
      </c>
      <c r="T167" s="62">
        <f t="shared" si="142"/>
        <v>275.32862097158687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0.5422357825160814</v>
      </c>
      <c r="AB167" s="23">
        <f>EXP(-LN(2)/2)*AB166+(1-EXP(-LN(2)/2))/(LN(2)/2)*V167*Y167*VLOOKUP('Données projet'!$B$9,Paramètres!$A$1:$I$89,3,0)*0.475*44/12</f>
        <v>7.459162574775019E-20</v>
      </c>
      <c r="AC167" s="24">
        <f t="shared" si="163"/>
        <v>0.5422357825160814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-4.5474735088646412E-13</v>
      </c>
      <c r="AJ167" s="14">
        <f>AI167*VLOOKUP('Données projet'!$B$10,Paramètres!$A$1:$I$89,3,0)*VLOOKUP('Données projet'!$B$10,Paramètres!$A$1:$I$89,5,0)</f>
        <v>-4.1145540308207271E-13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384.44848355636935</v>
      </c>
      <c r="AO167" s="62">
        <f t="shared" si="144"/>
        <v>203.5274665601915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-4.5474735088646412E-13</v>
      </c>
      <c r="BE167" s="14">
        <f>BD167*VLOOKUP('Données projet'!$B$11,Paramètres!$A$1:$I$89,3,0)*VLOOKUP('Données projet'!$B$11,Paramètres!$A$1:$I$89,5,0)</f>
        <v>-4.6111381379887462E-13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440.60698566758532</v>
      </c>
      <c r="BJ167" s="62">
        <f t="shared" si="146"/>
        <v>231.92898690465887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287.29865338866551</v>
      </c>
      <c r="CE167" s="62">
        <f t="shared" si="148"/>
        <v>217.57508587672368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0.26673179729406965</v>
      </c>
      <c r="CM167" s="23">
        <f>EXP(-LN(2)/2)*CM166+(1-EXP(-LN(2)/2))/(LN(2)/2)*CG167*CJ167*VLOOKUP('Données projet'!$B$12,Paramètres!$A$1:$I$89,3,0)*0.475*44/12</f>
        <v>8.7184661159502925E-20</v>
      </c>
      <c r="CN167" s="24">
        <f t="shared" si="172"/>
        <v>0.26673179729406965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175.05987582828078</v>
      </c>
      <c r="CZ167" s="62">
        <f t="shared" si="150"/>
        <v>268.54782308462387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0.22110457737231354</v>
      </c>
      <c r="DH167" s="23">
        <f>EXP(-LN(2)/2)*DH166+(1-EXP(-LN(2)/2))/(LN(2)/2)*DB167*DE167*VLOOKUP('Données projet'!$B$13,Paramètres!$A$1:$I$89,3,0)*0.475*44/12</f>
        <v>8.5712703215709822E-20</v>
      </c>
      <c r="DI167" s="24">
        <f t="shared" si="175"/>
        <v>0.22110457737231354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-5.6843418860808015E-14</v>
      </c>
      <c r="DP167" s="18">
        <f>DO167*VLOOKUP('Données projet'!$B$14,Paramètres!$A$1:$I$89,3,0)*VLOOKUP('Données projet'!$B$14,Paramètres!$A$1:$I$89,5,0)</f>
        <v>-3.2514435588382188E-14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228.06050741667258</v>
      </c>
      <c r="DU167" s="62">
        <f t="shared" si="152"/>
        <v>191.94885821983536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0.45782695973250515</v>
      </c>
      <c r="EC167" s="23">
        <f>EXP(-LN(2)/2)*EC166+(1-EXP(-LN(2)/2))/(LN(2)/2)*DW167*DZ167*VLOOKUP('Données projet'!$B$14,Paramètres!$A$1:$I$89,3,0)*0.475*44/12</f>
        <v>6.9536302271561168E-19</v>
      </c>
      <c r="ED167" s="24">
        <f t="shared" si="178"/>
        <v>0.45782695973250515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-5.6843418860808015E-14</v>
      </c>
      <c r="EK167" s="18">
        <f>EJ167*VLOOKUP('Données projet'!$B$15,Paramètres!$A$1:$I$89,3,0)*VLOOKUP('Données projet'!$B$15,Paramètres!$A$1:$I$89,5,0)</f>
        <v>-5.1431925385259088E-14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315.23521260143986</v>
      </c>
      <c r="EP167" s="62">
        <f t="shared" si="154"/>
        <v>439.11021845472641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-1.9065282685915009E-13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302.20483575440988</v>
      </c>
      <c r="T168" s="62">
        <f t="shared" si="142"/>
        <v>275.32862097158687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0.52740831652823861</v>
      </c>
      <c r="AB168" s="23">
        <f>EXP(-LN(2)/2)*AB167+(1-EXP(-LN(2)/2))/(LN(2)/2)*V168*Y168*VLOOKUP('Données projet'!$B$9,Paramètres!$A$1:$I$89,3,0)*0.475*44/12</f>
        <v>5.2744244385963241E-20</v>
      </c>
      <c r="AC168" s="24">
        <f t="shared" si="163"/>
        <v>0.52740831652823861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-4.5474735088646412E-13</v>
      </c>
      <c r="AJ168" s="14">
        <f>AI168*VLOOKUP('Données projet'!$B$10,Paramètres!$A$1:$I$89,3,0)*VLOOKUP('Données projet'!$B$10,Paramètres!$A$1:$I$89,5,0)</f>
        <v>-4.1145540308207271E-13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384.44848355636935</v>
      </c>
      <c r="AO168" s="62">
        <f t="shared" si="144"/>
        <v>203.5274665601915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-4.5474735088646412E-13</v>
      </c>
      <c r="BE168" s="14">
        <f>BD168*VLOOKUP('Données projet'!$B$11,Paramètres!$A$1:$I$89,3,0)*VLOOKUP('Données projet'!$B$11,Paramètres!$A$1:$I$89,5,0)</f>
        <v>-4.6111381379887462E-13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440.60698566758532</v>
      </c>
      <c r="BJ168" s="62">
        <f t="shared" si="146"/>
        <v>231.92898690465887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287.29865338866551</v>
      </c>
      <c r="CE168" s="62">
        <f t="shared" si="148"/>
        <v>217.57508587672368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0.25943800227024771</v>
      </c>
      <c r="CM168" s="23">
        <f>EXP(-LN(2)/2)*CM167+(1-EXP(-LN(2)/2))/(LN(2)/2)*CG168*CJ168*VLOOKUP('Données projet'!$B$12,Paramètres!$A$1:$I$89,3,0)*0.475*44/12</f>
        <v>6.1648865121335922E-20</v>
      </c>
      <c r="CN168" s="24">
        <f t="shared" si="172"/>
        <v>0.25943800227024771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175.05987582828078</v>
      </c>
      <c r="CZ168" s="62">
        <f t="shared" si="150"/>
        <v>268.54782308462387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0.21505846107668325</v>
      </c>
      <c r="DH168" s="23">
        <f>EXP(-LN(2)/2)*DH167+(1-EXP(-LN(2)/2))/(LN(2)/2)*DB168*DE168*VLOOKUP('Données projet'!$B$13,Paramètres!$A$1:$I$89,3,0)*0.475*44/12</f>
        <v>6.0608033677658413E-20</v>
      </c>
      <c r="DI168" s="24">
        <f t="shared" si="175"/>
        <v>0.21505846107668325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-5.6843418860808015E-14</v>
      </c>
      <c r="DP168" s="18">
        <f>DO168*VLOOKUP('Données projet'!$B$14,Paramètres!$A$1:$I$89,3,0)*VLOOKUP('Données projet'!$B$14,Paramètres!$A$1:$I$89,5,0)</f>
        <v>-3.2514435588382188E-14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228.06050741667258</v>
      </c>
      <c r="DU168" s="62">
        <f t="shared" si="152"/>
        <v>191.94885821983536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0.44530765744254636</v>
      </c>
      <c r="EC168" s="23">
        <f>EXP(-LN(2)/2)*EC167+(1-EXP(-LN(2)/2))/(LN(2)/2)*DW168*DZ168*VLOOKUP('Données projet'!$B$14,Paramètres!$A$1:$I$89,3,0)*0.475*44/12</f>
        <v>4.9169590874858429E-19</v>
      </c>
      <c r="ED168" s="24">
        <f t="shared" si="178"/>
        <v>0.44530765744254636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-5.6843418860808015E-14</v>
      </c>
      <c r="EK168" s="18">
        <f>EJ168*VLOOKUP('Données projet'!$B$15,Paramètres!$A$1:$I$89,3,0)*VLOOKUP('Données projet'!$B$15,Paramètres!$A$1:$I$89,5,0)</f>
        <v>-5.1431925385259088E-14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315.23521260143986</v>
      </c>
      <c r="EP168" s="62">
        <f t="shared" si="154"/>
        <v>439.11021845472641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-1.9065282685915009E-13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302.20483575440988</v>
      </c>
      <c r="T169" s="62">
        <f t="shared" si="142"/>
        <v>275.32862097158687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0.51298630837757597</v>
      </c>
      <c r="AB169" s="23">
        <f>EXP(-LN(2)/2)*AB168+(1-EXP(-LN(2)/2))/(LN(2)/2)*V169*Y169*VLOOKUP('Données projet'!$B$9,Paramètres!$A$1:$I$89,3,0)*0.475*44/12</f>
        <v>3.7295812873875101E-20</v>
      </c>
      <c r="AC169" s="24">
        <f t="shared" si="163"/>
        <v>0.51298630837757597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-4.5474735088646412E-13</v>
      </c>
      <c r="AJ169" s="14">
        <f>AI169*VLOOKUP('Données projet'!$B$10,Paramètres!$A$1:$I$89,3,0)*VLOOKUP('Données projet'!$B$10,Paramètres!$A$1:$I$89,5,0)</f>
        <v>-4.1145540308207271E-13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384.44848355636935</v>
      </c>
      <c r="AO169" s="62">
        <f t="shared" si="144"/>
        <v>203.5274665601915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-4.5474735088646412E-13</v>
      </c>
      <c r="BE169" s="14">
        <f>BD169*VLOOKUP('Données projet'!$B$11,Paramètres!$A$1:$I$89,3,0)*VLOOKUP('Données projet'!$B$11,Paramètres!$A$1:$I$89,5,0)</f>
        <v>-4.6111381379887462E-13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440.60698566758532</v>
      </c>
      <c r="BJ169" s="62">
        <f t="shared" si="146"/>
        <v>231.92898690465887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287.29865338866551</v>
      </c>
      <c r="CE169" s="62">
        <f t="shared" si="148"/>
        <v>217.57508587672368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0.25234365645491619</v>
      </c>
      <c r="CM169" s="23">
        <f>EXP(-LN(2)/2)*CM168+(1-EXP(-LN(2)/2))/(LN(2)/2)*CG169*CJ169*VLOOKUP('Données projet'!$B$12,Paramètres!$A$1:$I$89,3,0)*0.475*44/12</f>
        <v>4.3592330579751462E-20</v>
      </c>
      <c r="CN169" s="24">
        <f t="shared" si="172"/>
        <v>0.25234365645491619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175.05987582828078</v>
      </c>
      <c r="CZ169" s="62">
        <f t="shared" si="150"/>
        <v>268.54782308462387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0.2091776761491084</v>
      </c>
      <c r="DH169" s="23">
        <f>EXP(-LN(2)/2)*DH168+(1-EXP(-LN(2)/2))/(LN(2)/2)*DB169*DE169*VLOOKUP('Données projet'!$B$13,Paramètres!$A$1:$I$89,3,0)*0.475*44/12</f>
        <v>4.2856351607854911E-20</v>
      </c>
      <c r="DI169" s="24">
        <f t="shared" si="175"/>
        <v>0.2091776761491084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-5.6843418860808015E-14</v>
      </c>
      <c r="DP169" s="18">
        <f>DO169*VLOOKUP('Données projet'!$B$14,Paramètres!$A$1:$I$89,3,0)*VLOOKUP('Données projet'!$B$14,Paramètres!$A$1:$I$89,5,0)</f>
        <v>-3.2514435588382188E-14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228.06050741667258</v>
      </c>
      <c r="DU169" s="62">
        <f t="shared" si="152"/>
        <v>191.94885821983536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0.433130696132068</v>
      </c>
      <c r="EC169" s="23">
        <f>EXP(-LN(2)/2)*EC168+(1-EXP(-LN(2)/2))/(LN(2)/2)*DW169*DZ169*VLOOKUP('Données projet'!$B$14,Paramètres!$A$1:$I$89,3,0)*0.475*44/12</f>
        <v>3.4768151135780584E-19</v>
      </c>
      <c r="ED169" s="24">
        <f t="shared" si="178"/>
        <v>0.433130696132068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-5.6843418860808015E-14</v>
      </c>
      <c r="EK169" s="18">
        <f>EJ169*VLOOKUP('Données projet'!$B$15,Paramètres!$A$1:$I$89,3,0)*VLOOKUP('Données projet'!$B$15,Paramètres!$A$1:$I$89,5,0)</f>
        <v>-5.1431925385259088E-14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315.23521260143986</v>
      </c>
      <c r="EP169" s="62">
        <f t="shared" si="154"/>
        <v>439.11021845472641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-1.9065282685915009E-13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302.20483575440988</v>
      </c>
      <c r="T170" s="62">
        <f t="shared" si="142"/>
        <v>275.32862097158687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0.49895867079821365</v>
      </c>
      <c r="AB170" s="23">
        <f>EXP(-LN(2)/2)*AB169+(1-EXP(-LN(2)/2))/(LN(2)/2)*V170*Y170*VLOOKUP('Données projet'!$B$9,Paramètres!$A$1:$I$89,3,0)*0.475*44/12</f>
        <v>2.6372122192981624E-20</v>
      </c>
      <c r="AC170" s="24">
        <f t="shared" si="163"/>
        <v>0.49895867079821365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-4.5474735088646412E-13</v>
      </c>
      <c r="AJ170" s="14">
        <f>AI170*VLOOKUP('Données projet'!$B$10,Paramètres!$A$1:$I$89,3,0)*VLOOKUP('Données projet'!$B$10,Paramètres!$A$1:$I$89,5,0)</f>
        <v>-4.1145540308207271E-13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384.44848355636935</v>
      </c>
      <c r="AO170" s="62">
        <f t="shared" si="144"/>
        <v>203.5274665601915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-4.5474735088646412E-13</v>
      </c>
      <c r="BE170" s="14">
        <f>BD170*VLOOKUP('Données projet'!$B$11,Paramètres!$A$1:$I$89,3,0)*VLOOKUP('Données projet'!$B$11,Paramètres!$A$1:$I$89,5,0)</f>
        <v>-4.6111381379887462E-13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440.60698566758532</v>
      </c>
      <c r="BJ170" s="62">
        <f t="shared" si="146"/>
        <v>231.92898690465887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287.29865338866551</v>
      </c>
      <c r="CE170" s="62">
        <f t="shared" si="148"/>
        <v>217.57508587672368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0.24544330589898036</v>
      </c>
      <c r="CM170" s="23">
        <f>EXP(-LN(2)/2)*CM169+(1-EXP(-LN(2)/2))/(LN(2)/2)*CG170*CJ170*VLOOKUP('Données projet'!$B$12,Paramètres!$A$1:$I$89,3,0)*0.475*44/12</f>
        <v>3.0824432560667961E-20</v>
      </c>
      <c r="CN170" s="24">
        <f t="shared" si="172"/>
        <v>0.24544330589898036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175.05987582828078</v>
      </c>
      <c r="CZ170" s="62">
        <f t="shared" si="150"/>
        <v>268.54782308462387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0.20345770159463511</v>
      </c>
      <c r="DH170" s="23">
        <f>EXP(-LN(2)/2)*DH169+(1-EXP(-LN(2)/2))/(LN(2)/2)*DB170*DE170*VLOOKUP('Données projet'!$B$13,Paramètres!$A$1:$I$89,3,0)*0.475*44/12</f>
        <v>3.0304016838829206E-20</v>
      </c>
      <c r="DI170" s="24">
        <f t="shared" si="175"/>
        <v>0.20345770159463511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-5.6843418860808015E-14</v>
      </c>
      <c r="DP170" s="18">
        <f>DO170*VLOOKUP('Données projet'!$B$14,Paramètres!$A$1:$I$89,3,0)*VLOOKUP('Données projet'!$B$14,Paramètres!$A$1:$I$89,5,0)</f>
        <v>-3.2514435588382188E-14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228.06050741667258</v>
      </c>
      <c r="DU170" s="62">
        <f t="shared" si="152"/>
        <v>191.94885821983536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0.42128671446898325</v>
      </c>
      <c r="EC170" s="23">
        <f>EXP(-LN(2)/2)*EC169+(1-EXP(-LN(2)/2))/(LN(2)/2)*DW170*DZ170*VLOOKUP('Données projet'!$B$14,Paramètres!$A$1:$I$89,3,0)*0.475*44/12</f>
        <v>2.4584795437429215E-19</v>
      </c>
      <c r="ED170" s="24">
        <f t="shared" si="178"/>
        <v>0.42128671446898325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-5.6843418860808015E-14</v>
      </c>
      <c r="EK170" s="18">
        <f>EJ170*VLOOKUP('Données projet'!$B$15,Paramètres!$A$1:$I$89,3,0)*VLOOKUP('Données projet'!$B$15,Paramètres!$A$1:$I$89,5,0)</f>
        <v>-5.1431925385259088E-14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315.23521260143986</v>
      </c>
      <c r="EP170" s="62">
        <f t="shared" si="154"/>
        <v>439.11021845472641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-1.9065282685915009E-13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302.20483575440988</v>
      </c>
      <c r="T171" s="62">
        <f t="shared" si="142"/>
        <v>275.32862097158687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0.48531461970614037</v>
      </c>
      <c r="AB171" s="23">
        <f>EXP(-LN(2)/2)*AB170+(1-EXP(-LN(2)/2))/(LN(2)/2)*V171*Y171*VLOOKUP('Données projet'!$B$9,Paramètres!$A$1:$I$89,3,0)*0.475*44/12</f>
        <v>1.8647906436937554E-20</v>
      </c>
      <c r="AC171" s="24">
        <f t="shared" si="163"/>
        <v>0.48531461970614037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-4.5474735088646412E-13</v>
      </c>
      <c r="AJ171" s="14">
        <f>AI171*VLOOKUP('Données projet'!$B$10,Paramètres!$A$1:$I$89,3,0)*VLOOKUP('Données projet'!$B$10,Paramètres!$A$1:$I$89,5,0)</f>
        <v>-4.1145540308207271E-13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384.44848355636935</v>
      </c>
      <c r="AO171" s="62">
        <f t="shared" si="144"/>
        <v>203.5274665601915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-4.5474735088646412E-13</v>
      </c>
      <c r="BE171" s="14">
        <f>BD171*VLOOKUP('Données projet'!$B$11,Paramètres!$A$1:$I$89,3,0)*VLOOKUP('Données projet'!$B$11,Paramètres!$A$1:$I$89,5,0)</f>
        <v>-4.6111381379887462E-13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440.60698566758532</v>
      </c>
      <c r="BJ171" s="62">
        <f t="shared" si="146"/>
        <v>231.92898690465887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287.29865338866551</v>
      </c>
      <c r="CE171" s="62">
        <f t="shared" si="148"/>
        <v>217.57508587672368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0.23873164579187026</v>
      </c>
      <c r="CM171" s="23">
        <f>EXP(-LN(2)/2)*CM170+(1-EXP(-LN(2)/2))/(LN(2)/2)*CG171*CJ171*VLOOKUP('Données projet'!$B$12,Paramètres!$A$1:$I$89,3,0)*0.475*44/12</f>
        <v>2.1796165289875731E-20</v>
      </c>
      <c r="CN171" s="24">
        <f t="shared" si="172"/>
        <v>0.23873164579187026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175.05987582828078</v>
      </c>
      <c r="CZ171" s="62">
        <f t="shared" si="150"/>
        <v>268.54782308462387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0.19789414004515429</v>
      </c>
      <c r="DH171" s="23">
        <f>EXP(-LN(2)/2)*DH170+(1-EXP(-LN(2)/2))/(LN(2)/2)*DB171*DE171*VLOOKUP('Données projet'!$B$13,Paramètres!$A$1:$I$89,3,0)*0.475*44/12</f>
        <v>2.1428175803927455E-20</v>
      </c>
      <c r="DI171" s="24">
        <f t="shared" si="175"/>
        <v>0.19789414004515429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-5.6843418860808015E-14</v>
      </c>
      <c r="DP171" s="18">
        <f>DO171*VLOOKUP('Données projet'!$B$14,Paramètres!$A$1:$I$89,3,0)*VLOOKUP('Données projet'!$B$14,Paramètres!$A$1:$I$89,5,0)</f>
        <v>-3.2514435588382188E-14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228.06050741667258</v>
      </c>
      <c r="DU171" s="62">
        <f t="shared" si="152"/>
        <v>191.94885821983536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0.40976660710732343</v>
      </c>
      <c r="EC171" s="23">
        <f>EXP(-LN(2)/2)*EC170+(1-EXP(-LN(2)/2))/(LN(2)/2)*DW171*DZ171*VLOOKUP('Données projet'!$B$14,Paramètres!$A$1:$I$89,3,0)*0.475*44/12</f>
        <v>1.7384075567890292E-19</v>
      </c>
      <c r="ED171" s="24">
        <f t="shared" si="178"/>
        <v>0.40976660710732343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-5.6843418860808015E-14</v>
      </c>
      <c r="EK171" s="18">
        <f>EJ171*VLOOKUP('Données projet'!$B$15,Paramètres!$A$1:$I$89,3,0)*VLOOKUP('Données projet'!$B$15,Paramètres!$A$1:$I$89,5,0)</f>
        <v>-5.1431925385259088E-14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315.23521260143986</v>
      </c>
      <c r="EP171" s="62">
        <f t="shared" si="154"/>
        <v>439.11021845472641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-1.9065282685915009E-13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302.20483575440988</v>
      </c>
      <c r="T172" s="62">
        <f t="shared" si="142"/>
        <v>275.32862097158687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0.47204366590868929</v>
      </c>
      <c r="AB172" s="23">
        <f>EXP(-LN(2)/2)*AB171+(1-EXP(-LN(2)/2))/(LN(2)/2)*V172*Y172*VLOOKUP('Données projet'!$B$9,Paramètres!$A$1:$I$89,3,0)*0.475*44/12</f>
        <v>1.3186061096490815E-20</v>
      </c>
      <c r="AC172" s="24">
        <f t="shared" si="163"/>
        <v>0.47204366590868929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-4.5474735088646412E-13</v>
      </c>
      <c r="AJ172" s="14">
        <f>AI172*VLOOKUP('Données projet'!$B$10,Paramètres!$A$1:$I$89,3,0)*VLOOKUP('Données projet'!$B$10,Paramètres!$A$1:$I$89,5,0)</f>
        <v>-4.1145540308207271E-13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384.44848355636935</v>
      </c>
      <c r="AO172" s="62">
        <f t="shared" si="144"/>
        <v>203.5274665601915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-4.5474735088646412E-13</v>
      </c>
      <c r="BE172" s="14">
        <f>BD172*VLOOKUP('Données projet'!$B$11,Paramètres!$A$1:$I$89,3,0)*VLOOKUP('Données projet'!$B$11,Paramètres!$A$1:$I$89,5,0)</f>
        <v>-4.6111381379887462E-13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440.60698566758532</v>
      </c>
      <c r="BJ172" s="62">
        <f t="shared" si="146"/>
        <v>231.92898690465887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287.29865338866551</v>
      </c>
      <c r="CE172" s="62">
        <f t="shared" si="148"/>
        <v>217.57508587672368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0.23220351638333994</v>
      </c>
      <c r="CM172" s="23">
        <f>EXP(-LN(2)/2)*CM171+(1-EXP(-LN(2)/2))/(LN(2)/2)*CG172*CJ172*VLOOKUP('Données projet'!$B$12,Paramètres!$A$1:$I$89,3,0)*0.475*44/12</f>
        <v>1.541221628033398E-20</v>
      </c>
      <c r="CN172" s="24">
        <f t="shared" si="172"/>
        <v>0.23220351638333994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175.05987582828078</v>
      </c>
      <c r="CZ172" s="62">
        <f t="shared" si="150"/>
        <v>268.54782308462387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0.19248271437881903</v>
      </c>
      <c r="DH172" s="23">
        <f>EXP(-LN(2)/2)*DH171+(1-EXP(-LN(2)/2))/(LN(2)/2)*DB172*DE172*VLOOKUP('Données projet'!$B$13,Paramètres!$A$1:$I$89,3,0)*0.475*44/12</f>
        <v>1.5152008419414603E-20</v>
      </c>
      <c r="DI172" s="24">
        <f t="shared" si="175"/>
        <v>0.19248271437881903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-5.6843418860808015E-14</v>
      </c>
      <c r="DP172" s="18">
        <f>DO172*VLOOKUP('Données projet'!$B$14,Paramètres!$A$1:$I$89,3,0)*VLOOKUP('Données projet'!$B$14,Paramètres!$A$1:$I$89,5,0)</f>
        <v>-3.2514435588382188E-14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228.06050741667258</v>
      </c>
      <c r="DU172" s="62">
        <f t="shared" si="152"/>
        <v>191.94885821983536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0.39856151768728432</v>
      </c>
      <c r="EC172" s="23">
        <f>EXP(-LN(2)/2)*EC171+(1-EXP(-LN(2)/2))/(LN(2)/2)*DW172*DZ172*VLOOKUP('Données projet'!$B$14,Paramètres!$A$1:$I$89,3,0)*0.475*44/12</f>
        <v>1.2292397718714607E-19</v>
      </c>
      <c r="ED172" s="24">
        <f t="shared" si="178"/>
        <v>0.39856151768728432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-5.6843418860808015E-14</v>
      </c>
      <c r="EK172" s="18">
        <f>EJ172*VLOOKUP('Données projet'!$B$15,Paramètres!$A$1:$I$89,3,0)*VLOOKUP('Données projet'!$B$15,Paramètres!$A$1:$I$89,5,0)</f>
        <v>-5.1431925385259088E-14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315.23521260143986</v>
      </c>
      <c r="EP172" s="62">
        <f t="shared" si="154"/>
        <v>439.11021845472641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-1.9065282685915009E-13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302.20483575440988</v>
      </c>
      <c r="T173" s="62">
        <f t="shared" si="142"/>
        <v>275.32862097158687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0.45913560704071865</v>
      </c>
      <c r="AB173" s="23">
        <f>EXP(-LN(2)/2)*AB172+(1-EXP(-LN(2)/2))/(LN(2)/2)*V173*Y173*VLOOKUP('Données projet'!$B$9,Paramètres!$A$1:$I$89,3,0)*0.475*44/12</f>
        <v>9.3239532184687783E-21</v>
      </c>
      <c r="AC173" s="24">
        <f t="shared" si="163"/>
        <v>0.45913560704071865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-4.5474735088646412E-13</v>
      </c>
      <c r="AJ173" s="14">
        <f>AI173*VLOOKUP('Données projet'!$B$10,Paramètres!$A$1:$I$89,3,0)*VLOOKUP('Données projet'!$B$10,Paramètres!$A$1:$I$89,5,0)</f>
        <v>-4.1145540308207271E-13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384.44848355636935</v>
      </c>
      <c r="AO173" s="62">
        <f t="shared" si="144"/>
        <v>203.5274665601915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-4.5474735088646412E-13</v>
      </c>
      <c r="BE173" s="14">
        <f>BD173*VLOOKUP('Données projet'!$B$11,Paramètres!$A$1:$I$89,3,0)*VLOOKUP('Données projet'!$B$11,Paramètres!$A$1:$I$89,5,0)</f>
        <v>-4.6111381379887462E-13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440.60698566758532</v>
      </c>
      <c r="BJ173" s="62">
        <f t="shared" si="146"/>
        <v>231.92898690465887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287.29865338866551</v>
      </c>
      <c r="CE173" s="62">
        <f t="shared" si="148"/>
        <v>217.57508587672368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0.22585389901678529</v>
      </c>
      <c r="CM173" s="23">
        <f>EXP(-LN(2)/2)*CM172+(1-EXP(-LN(2)/2))/(LN(2)/2)*CG173*CJ173*VLOOKUP('Données projet'!$B$12,Paramètres!$A$1:$I$89,3,0)*0.475*44/12</f>
        <v>1.0898082644937866E-20</v>
      </c>
      <c r="CN173" s="24">
        <f t="shared" si="172"/>
        <v>0.22585389901678529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175.05987582828078</v>
      </c>
      <c r="CZ173" s="62">
        <f t="shared" si="150"/>
        <v>268.54782308462387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0.1872192644319042</v>
      </c>
      <c r="DH173" s="23">
        <f>EXP(-LN(2)/2)*DH172+(1-EXP(-LN(2)/2))/(LN(2)/2)*DB173*DE173*VLOOKUP('Données projet'!$B$13,Paramètres!$A$1:$I$89,3,0)*0.475*44/12</f>
        <v>1.0714087901963728E-20</v>
      </c>
      <c r="DI173" s="24">
        <f t="shared" si="175"/>
        <v>0.1872192644319042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-5.6843418860808015E-14</v>
      </c>
      <c r="DP173" s="18">
        <f>DO173*VLOOKUP('Données projet'!$B$14,Paramètres!$A$1:$I$89,3,0)*VLOOKUP('Données projet'!$B$14,Paramètres!$A$1:$I$89,5,0)</f>
        <v>-3.2514435588382188E-14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228.06050741667258</v>
      </c>
      <c r="DU173" s="62">
        <f t="shared" si="152"/>
        <v>191.94885821983536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0.38766283202668622</v>
      </c>
      <c r="EC173" s="23">
        <f>EXP(-LN(2)/2)*EC172+(1-EXP(-LN(2)/2))/(LN(2)/2)*DW173*DZ173*VLOOKUP('Données projet'!$B$14,Paramètres!$A$1:$I$89,3,0)*0.475*44/12</f>
        <v>8.692037783945146E-20</v>
      </c>
      <c r="ED173" s="24">
        <f t="shared" si="178"/>
        <v>0.38766283202668622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-5.6843418860808015E-14</v>
      </c>
      <c r="EK173" s="18">
        <f>EJ173*VLOOKUP('Données projet'!$B$15,Paramètres!$A$1:$I$89,3,0)*VLOOKUP('Données projet'!$B$15,Paramètres!$A$1:$I$89,5,0)</f>
        <v>-5.1431925385259088E-14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315.23521260143986</v>
      </c>
      <c r="EP173" s="62">
        <f t="shared" si="154"/>
        <v>439.11021845472641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-1.9065282685915009E-13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302.20483575440988</v>
      </c>
      <c r="T174" s="62">
        <f t="shared" si="142"/>
        <v>275.32862097158687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0.44658051972129797</v>
      </c>
      <c r="AB174" s="23">
        <f>EXP(-LN(2)/2)*AB173+(1-EXP(-LN(2)/2))/(LN(2)/2)*V174*Y174*VLOOKUP('Données projet'!$B$9,Paramètres!$A$1:$I$89,3,0)*0.475*44/12</f>
        <v>6.5930305482454082E-21</v>
      </c>
      <c r="AC174" s="24">
        <f t="shared" si="163"/>
        <v>0.44658051972129797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-4.5474735088646412E-13</v>
      </c>
      <c r="AJ174" s="14">
        <f>AI174*VLOOKUP('Données projet'!$B$10,Paramètres!$A$1:$I$89,3,0)*VLOOKUP('Données projet'!$B$10,Paramètres!$A$1:$I$89,5,0)</f>
        <v>-4.1145540308207271E-13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384.44848355636935</v>
      </c>
      <c r="AO174" s="62">
        <f t="shared" si="144"/>
        <v>203.5274665601915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-4.5474735088646412E-13</v>
      </c>
      <c r="BE174" s="14">
        <f>BD174*VLOOKUP('Données projet'!$B$11,Paramètres!$A$1:$I$89,3,0)*VLOOKUP('Données projet'!$B$11,Paramètres!$A$1:$I$89,5,0)</f>
        <v>-4.6111381379887462E-13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440.60698566758532</v>
      </c>
      <c r="BJ174" s="62">
        <f t="shared" si="146"/>
        <v>231.92898690465887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287.29865338866551</v>
      </c>
      <c r="CE174" s="62">
        <f t="shared" si="148"/>
        <v>217.57508587672368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0.21967791227103095</v>
      </c>
      <c r="CM174" s="23">
        <f>EXP(-LN(2)/2)*CM173+(1-EXP(-LN(2)/2))/(LN(2)/2)*CG174*CJ174*VLOOKUP('Données projet'!$B$12,Paramètres!$A$1:$I$89,3,0)*0.475*44/12</f>
        <v>7.7061081401669902E-21</v>
      </c>
      <c r="CN174" s="24">
        <f t="shared" si="172"/>
        <v>0.21967791227103095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175.05987582828078</v>
      </c>
      <c r="CZ174" s="62">
        <f t="shared" si="150"/>
        <v>268.54782308462387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0.18209974380058055</v>
      </c>
      <c r="DH174" s="23">
        <f>EXP(-LN(2)/2)*DH173+(1-EXP(-LN(2)/2))/(LN(2)/2)*DB174*DE174*VLOOKUP('Données projet'!$B$13,Paramètres!$A$1:$I$89,3,0)*0.475*44/12</f>
        <v>7.5760042097073016E-21</v>
      </c>
      <c r="DI174" s="24">
        <f t="shared" si="175"/>
        <v>0.18209974380058055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-5.6843418860808015E-14</v>
      </c>
      <c r="DP174" s="18">
        <f>DO174*VLOOKUP('Données projet'!$B$14,Paramètres!$A$1:$I$89,3,0)*VLOOKUP('Données projet'!$B$14,Paramètres!$A$1:$I$89,5,0)</f>
        <v>-3.2514435588382188E-14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228.06050741667258</v>
      </c>
      <c r="DU174" s="62">
        <f t="shared" si="152"/>
        <v>191.94885821983536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0.37706217149861415</v>
      </c>
      <c r="EC174" s="23">
        <f>EXP(-LN(2)/2)*EC173+(1-EXP(-LN(2)/2))/(LN(2)/2)*DW174*DZ174*VLOOKUP('Données projet'!$B$14,Paramètres!$A$1:$I$89,3,0)*0.475*44/12</f>
        <v>6.1461988593573037E-20</v>
      </c>
      <c r="ED174" s="24">
        <f t="shared" si="178"/>
        <v>0.37706217149861415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-5.6843418860808015E-14</v>
      </c>
      <c r="EK174" s="18">
        <f>EJ174*VLOOKUP('Données projet'!$B$15,Paramètres!$A$1:$I$89,3,0)*VLOOKUP('Données projet'!$B$15,Paramètres!$A$1:$I$89,5,0)</f>
        <v>-5.1431925385259088E-14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315.23521260143986</v>
      </c>
      <c r="EP174" s="62">
        <f t="shared" si="154"/>
        <v>439.11021845472641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-1.9065282685915009E-13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302.20483575440988</v>
      </c>
      <c r="T175" s="62">
        <f t="shared" si="142"/>
        <v>275.32862097158687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0.43436875192487023</v>
      </c>
      <c r="AB175" s="23">
        <f>EXP(-LN(2)/2)*AB174+(1-EXP(-LN(2)/2))/(LN(2)/2)*V175*Y175*VLOOKUP('Données projet'!$B$9,Paramètres!$A$1:$I$89,3,0)*0.475*44/12</f>
        <v>4.6619766092343899E-21</v>
      </c>
      <c r="AC175" s="24">
        <f t="shared" si="163"/>
        <v>0.43436875192487023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-4.5474735088646412E-13</v>
      </c>
      <c r="AJ175" s="14">
        <f>AI175*VLOOKUP('Données projet'!$B$10,Paramètres!$A$1:$I$89,3,0)*VLOOKUP('Données projet'!$B$10,Paramètres!$A$1:$I$89,5,0)</f>
        <v>-4.1145540308207271E-13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384.44848355636935</v>
      </c>
      <c r="AO175" s="62">
        <f t="shared" si="144"/>
        <v>203.5274665601915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-4.5474735088646412E-13</v>
      </c>
      <c r="BE175" s="14">
        <f>BD175*VLOOKUP('Données projet'!$B$11,Paramètres!$A$1:$I$89,3,0)*VLOOKUP('Données projet'!$B$11,Paramètres!$A$1:$I$89,5,0)</f>
        <v>-4.6111381379887462E-13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440.60698566758532</v>
      </c>
      <c r="BJ175" s="62">
        <f t="shared" si="146"/>
        <v>231.92898690465887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287.29865338866551</v>
      </c>
      <c r="CE175" s="62">
        <f t="shared" si="148"/>
        <v>217.57508587672368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0.21367080820762027</v>
      </c>
      <c r="CM175" s="23">
        <f>EXP(-LN(2)/2)*CM174+(1-EXP(-LN(2)/2))/(LN(2)/2)*CG175*CJ175*VLOOKUP('Données projet'!$B$12,Paramètres!$A$1:$I$89,3,0)*0.475*44/12</f>
        <v>5.4490413224689328E-21</v>
      </c>
      <c r="CN175" s="24">
        <f t="shared" si="172"/>
        <v>0.21367080820762027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175.05987582828078</v>
      </c>
      <c r="CZ175" s="62">
        <f t="shared" si="150"/>
        <v>268.54782308462387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0.17712021673014436</v>
      </c>
      <c r="DH175" s="23">
        <f>EXP(-LN(2)/2)*DH174+(1-EXP(-LN(2)/2))/(LN(2)/2)*DB175*DE175*VLOOKUP('Données projet'!$B$13,Paramètres!$A$1:$I$89,3,0)*0.475*44/12</f>
        <v>5.3570439509818639E-21</v>
      </c>
      <c r="DI175" s="24">
        <f t="shared" si="175"/>
        <v>0.17712021673014436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-5.6843418860808015E-14</v>
      </c>
      <c r="DP175" s="18">
        <f>DO175*VLOOKUP('Données projet'!$B$14,Paramètres!$A$1:$I$89,3,0)*VLOOKUP('Données projet'!$B$14,Paramètres!$A$1:$I$89,5,0)</f>
        <v>-3.2514435588382188E-14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228.06050741667258</v>
      </c>
      <c r="DU175" s="62">
        <f t="shared" si="152"/>
        <v>191.94885821983536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0.36675138659014672</v>
      </c>
      <c r="EC175" s="23">
        <f>EXP(-LN(2)/2)*EC174+(1-EXP(-LN(2)/2))/(LN(2)/2)*DW175*DZ175*VLOOKUP('Données projet'!$B$14,Paramètres!$A$1:$I$89,3,0)*0.475*44/12</f>
        <v>4.346018891972573E-20</v>
      </c>
      <c r="ED175" s="24">
        <f t="shared" si="178"/>
        <v>0.36675138659014672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-5.6843418860808015E-14</v>
      </c>
      <c r="EK175" s="18">
        <f>EJ175*VLOOKUP('Données projet'!$B$15,Paramètres!$A$1:$I$89,3,0)*VLOOKUP('Données projet'!$B$15,Paramètres!$A$1:$I$89,5,0)</f>
        <v>-5.1431925385259088E-14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315.23521260143986</v>
      </c>
      <c r="EP175" s="62">
        <f t="shared" si="154"/>
        <v>439.11021845472641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-1.9065282685915009E-13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302.20483575440988</v>
      </c>
      <c r="T176" s="62">
        <f t="shared" si="142"/>
        <v>275.32862097158687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0.42249091556102475</v>
      </c>
      <c r="AB176" s="23">
        <f>EXP(-LN(2)/2)*AB175+(1-EXP(-LN(2)/2))/(LN(2)/2)*V176*Y176*VLOOKUP('Données projet'!$B$9,Paramètres!$A$1:$I$89,3,0)*0.475*44/12</f>
        <v>3.2965152741227048E-21</v>
      </c>
      <c r="AC176" s="24">
        <f t="shared" si="163"/>
        <v>0.42249091556102475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-4.5474735088646412E-13</v>
      </c>
      <c r="AJ176" s="14">
        <f>AI176*VLOOKUP('Données projet'!$B$10,Paramètres!$A$1:$I$89,3,0)*VLOOKUP('Données projet'!$B$10,Paramètres!$A$1:$I$89,5,0)</f>
        <v>-4.1145540308207271E-13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384.44848355636935</v>
      </c>
      <c r="AO176" s="62">
        <f t="shared" si="144"/>
        <v>203.5274665601915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-4.5474735088646412E-13</v>
      </c>
      <c r="BE176" s="14">
        <f>BD176*VLOOKUP('Données projet'!$B$11,Paramètres!$A$1:$I$89,3,0)*VLOOKUP('Données projet'!$B$11,Paramètres!$A$1:$I$89,5,0)</f>
        <v>-4.6111381379887462E-13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440.60698566758532</v>
      </c>
      <c r="BJ176" s="62">
        <f t="shared" si="146"/>
        <v>231.92898690465887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287.29865338866551</v>
      </c>
      <c r="CE176" s="62">
        <f t="shared" si="148"/>
        <v>217.57508587672368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0.20782796872072345</v>
      </c>
      <c r="CM176" s="23">
        <f>EXP(-LN(2)/2)*CM175+(1-EXP(-LN(2)/2))/(LN(2)/2)*CG176*CJ176*VLOOKUP('Données projet'!$B$12,Paramètres!$A$1:$I$89,3,0)*0.475*44/12</f>
        <v>3.8530540700834951E-21</v>
      </c>
      <c r="CN176" s="24">
        <f t="shared" si="172"/>
        <v>0.20782796872072345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175.05987582828078</v>
      </c>
      <c r="CZ176" s="62">
        <f t="shared" si="150"/>
        <v>268.54782308462387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0.17227685508931118</v>
      </c>
      <c r="DH176" s="23">
        <f>EXP(-LN(2)/2)*DH175+(1-EXP(-LN(2)/2))/(LN(2)/2)*DB176*DE176*VLOOKUP('Données projet'!$B$13,Paramètres!$A$1:$I$89,3,0)*0.475*44/12</f>
        <v>3.7880021048536508E-21</v>
      </c>
      <c r="DI176" s="24">
        <f t="shared" si="175"/>
        <v>0.17227685508931118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-5.6843418860808015E-14</v>
      </c>
      <c r="DP176" s="18">
        <f>DO176*VLOOKUP('Données projet'!$B$14,Paramètres!$A$1:$I$89,3,0)*VLOOKUP('Données projet'!$B$14,Paramètres!$A$1:$I$89,5,0)</f>
        <v>-3.2514435588382188E-14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228.06050741667258</v>
      </c>
      <c r="DU176" s="62">
        <f t="shared" si="152"/>
        <v>191.94885821983536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0.35672255063722197</v>
      </c>
      <c r="EC176" s="23">
        <f>EXP(-LN(2)/2)*EC175+(1-EXP(-LN(2)/2))/(LN(2)/2)*DW176*DZ176*VLOOKUP('Données projet'!$B$14,Paramètres!$A$1:$I$89,3,0)*0.475*44/12</f>
        <v>3.0730994296786518E-20</v>
      </c>
      <c r="ED176" s="24">
        <f t="shared" si="178"/>
        <v>0.35672255063722197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-5.6843418860808015E-14</v>
      </c>
      <c r="EK176" s="18">
        <f>EJ176*VLOOKUP('Données projet'!$B$15,Paramètres!$A$1:$I$89,3,0)*VLOOKUP('Données projet'!$B$15,Paramètres!$A$1:$I$89,5,0)</f>
        <v>-5.1431925385259088E-14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315.23521260143986</v>
      </c>
      <c r="EP176" s="62">
        <f t="shared" si="154"/>
        <v>439.11021845472641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-1.9065282685915009E-13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302.20483575440988</v>
      </c>
      <c r="T177" s="62">
        <f t="shared" si="142"/>
        <v>275.32862097158687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0.4109378792571769</v>
      </c>
      <c r="AB177" s="23">
        <f>EXP(-LN(2)/2)*AB176+(1-EXP(-LN(2)/2))/(LN(2)/2)*V177*Y177*VLOOKUP('Données projet'!$B$9,Paramètres!$A$1:$I$89,3,0)*0.475*44/12</f>
        <v>2.3309883046171953E-21</v>
      </c>
      <c r="AC177" s="24">
        <f t="shared" si="163"/>
        <v>0.4109378792571769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-4.5474735088646412E-13</v>
      </c>
      <c r="AJ177" s="14">
        <f>AI177*VLOOKUP('Données projet'!$B$10,Paramètres!$A$1:$I$89,3,0)*VLOOKUP('Données projet'!$B$10,Paramètres!$A$1:$I$89,5,0)</f>
        <v>-4.1145540308207271E-13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384.44848355636935</v>
      </c>
      <c r="AO177" s="62">
        <f t="shared" si="144"/>
        <v>203.5274665601915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-4.5474735088646412E-13</v>
      </c>
      <c r="BE177" s="14">
        <f>BD177*VLOOKUP('Données projet'!$B$11,Paramètres!$A$1:$I$89,3,0)*VLOOKUP('Données projet'!$B$11,Paramètres!$A$1:$I$89,5,0)</f>
        <v>-4.6111381379887462E-13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440.60698566758532</v>
      </c>
      <c r="BJ177" s="62">
        <f t="shared" si="146"/>
        <v>231.92898690465887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287.29865338866551</v>
      </c>
      <c r="CE177" s="62">
        <f t="shared" si="148"/>
        <v>217.57508587672368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0.20214490198685739</v>
      </c>
      <c r="CM177" s="23">
        <f>EXP(-LN(2)/2)*CM176+(1-EXP(-LN(2)/2))/(LN(2)/2)*CG177*CJ177*VLOOKUP('Données projet'!$B$12,Paramètres!$A$1:$I$89,3,0)*0.475*44/12</f>
        <v>2.7245206612344664E-21</v>
      </c>
      <c r="CN177" s="24">
        <f t="shared" si="172"/>
        <v>0.20214490198685739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175.05987582828078</v>
      </c>
      <c r="CZ177" s="62">
        <f t="shared" si="150"/>
        <v>268.54782308462387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0.1675659354272479</v>
      </c>
      <c r="DH177" s="23">
        <f>EXP(-LN(2)/2)*DH176+(1-EXP(-LN(2)/2))/(LN(2)/2)*DB177*DE177*VLOOKUP('Données projet'!$B$13,Paramètres!$A$1:$I$89,3,0)*0.475*44/12</f>
        <v>2.6785219754909319E-21</v>
      </c>
      <c r="DI177" s="24">
        <f t="shared" si="175"/>
        <v>0.1675659354272479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-5.6843418860808015E-14</v>
      </c>
      <c r="DP177" s="18">
        <f>DO177*VLOOKUP('Données projet'!$B$14,Paramètres!$A$1:$I$89,3,0)*VLOOKUP('Données projet'!$B$14,Paramètres!$A$1:$I$89,5,0)</f>
        <v>-3.2514435588382188E-14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228.06050741667258</v>
      </c>
      <c r="DU177" s="62">
        <f t="shared" si="152"/>
        <v>191.94885821983536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0.34696795373082351</v>
      </c>
      <c r="EC177" s="23">
        <f>EXP(-LN(2)/2)*EC176+(1-EXP(-LN(2)/2))/(LN(2)/2)*DW177*DZ177*VLOOKUP('Données projet'!$B$14,Paramètres!$A$1:$I$89,3,0)*0.475*44/12</f>
        <v>2.1730094459862865E-20</v>
      </c>
      <c r="ED177" s="24">
        <f t="shared" si="178"/>
        <v>0.34696795373082351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-5.6843418860808015E-14</v>
      </c>
      <c r="EK177" s="18">
        <f>EJ177*VLOOKUP('Données projet'!$B$15,Paramètres!$A$1:$I$89,3,0)*VLOOKUP('Données projet'!$B$15,Paramètres!$A$1:$I$89,5,0)</f>
        <v>-5.1431925385259088E-14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315.23521260143986</v>
      </c>
      <c r="EP177" s="62">
        <f t="shared" si="154"/>
        <v>439.11021845472641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-1.9065282685915009E-13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302.20483575440988</v>
      </c>
      <c r="T178" s="62">
        <f t="shared" si="142"/>
        <v>275.32862097158687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0.39970076133860555</v>
      </c>
      <c r="AB178" s="23">
        <f>EXP(-LN(2)/2)*AB177+(1-EXP(-LN(2)/2))/(LN(2)/2)*V178*Y178*VLOOKUP('Données projet'!$B$9,Paramètres!$A$1:$I$89,3,0)*0.475*44/12</f>
        <v>1.6482576370613526E-21</v>
      </c>
      <c r="AC178" s="24">
        <f t="shared" si="163"/>
        <v>0.39970076133860555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-4.5474735088646412E-13</v>
      </c>
      <c r="AJ178" s="14">
        <f>AI178*VLOOKUP('Données projet'!$B$10,Paramètres!$A$1:$I$89,3,0)*VLOOKUP('Données projet'!$B$10,Paramètres!$A$1:$I$89,5,0)</f>
        <v>-4.1145540308207271E-13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384.44848355636935</v>
      </c>
      <c r="AO178" s="62">
        <f t="shared" si="144"/>
        <v>203.5274665601915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-4.5474735088646412E-13</v>
      </c>
      <c r="BE178" s="14">
        <f>BD178*VLOOKUP('Données projet'!$B$11,Paramètres!$A$1:$I$89,3,0)*VLOOKUP('Données projet'!$B$11,Paramètres!$A$1:$I$89,5,0)</f>
        <v>-4.6111381379887462E-13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440.60698566758532</v>
      </c>
      <c r="BJ178" s="62">
        <f t="shared" si="146"/>
        <v>231.92898690465887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287.29865338866551</v>
      </c>
      <c r="CE178" s="62">
        <f t="shared" si="148"/>
        <v>217.57508587672368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0.1966172390116884</v>
      </c>
      <c r="CM178" s="23">
        <f>EXP(-LN(2)/2)*CM177+(1-EXP(-LN(2)/2))/(LN(2)/2)*CG178*CJ178*VLOOKUP('Données projet'!$B$12,Paramètres!$A$1:$I$89,3,0)*0.475*44/12</f>
        <v>1.9265270350417476E-21</v>
      </c>
      <c r="CN178" s="24">
        <f t="shared" si="172"/>
        <v>0.1966172390116884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175.05987582828078</v>
      </c>
      <c r="CZ178" s="62">
        <f t="shared" si="150"/>
        <v>268.54782308462387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0.16298383611108025</v>
      </c>
      <c r="DH178" s="23">
        <f>EXP(-LN(2)/2)*DH177+(1-EXP(-LN(2)/2))/(LN(2)/2)*DB178*DE178*VLOOKUP('Données projet'!$B$13,Paramètres!$A$1:$I$89,3,0)*0.475*44/12</f>
        <v>1.8940010524268254E-21</v>
      </c>
      <c r="DI178" s="24">
        <f t="shared" si="175"/>
        <v>0.16298383611108025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-5.6843418860808015E-14</v>
      </c>
      <c r="DP178" s="18">
        <f>DO178*VLOOKUP('Données projet'!$B$14,Paramètres!$A$1:$I$89,3,0)*VLOOKUP('Données projet'!$B$14,Paramètres!$A$1:$I$89,5,0)</f>
        <v>-3.2514435588382188E-14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228.06050741667258</v>
      </c>
      <c r="DU178" s="62">
        <f t="shared" si="152"/>
        <v>191.94885821983536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0.33748009678980245</v>
      </c>
      <c r="EC178" s="23">
        <f>EXP(-LN(2)/2)*EC177+(1-EXP(-LN(2)/2))/(LN(2)/2)*DW178*DZ178*VLOOKUP('Données projet'!$B$14,Paramètres!$A$1:$I$89,3,0)*0.475*44/12</f>
        <v>1.5365497148393259E-20</v>
      </c>
      <c r="ED178" s="24">
        <f t="shared" si="178"/>
        <v>0.33748009678980245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-5.6843418860808015E-14</v>
      </c>
      <c r="EK178" s="18">
        <f>EJ178*VLOOKUP('Données projet'!$B$15,Paramètres!$A$1:$I$89,3,0)*VLOOKUP('Données projet'!$B$15,Paramètres!$A$1:$I$89,5,0)</f>
        <v>-5.1431925385259088E-14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315.23521260143986</v>
      </c>
      <c r="EP178" s="62">
        <f t="shared" si="154"/>
        <v>439.11021845472641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-1.9065282685915009E-13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302.20483575440988</v>
      </c>
      <c r="T179" s="62">
        <f t="shared" si="142"/>
        <v>275.32862097158687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0.38877092300045185</v>
      </c>
      <c r="AB179" s="23">
        <f>EXP(-LN(2)/2)*AB178+(1-EXP(-LN(2)/2))/(LN(2)/2)*V179*Y179*VLOOKUP('Données projet'!$B$9,Paramètres!$A$1:$I$89,3,0)*0.475*44/12</f>
        <v>1.1654941523085978E-21</v>
      </c>
      <c r="AC179" s="24">
        <f t="shared" si="163"/>
        <v>0.38877092300045185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-4.5474735088646412E-13</v>
      </c>
      <c r="AJ179" s="14">
        <f>AI179*VLOOKUP('Données projet'!$B$10,Paramètres!$A$1:$I$89,3,0)*VLOOKUP('Données projet'!$B$10,Paramètres!$A$1:$I$89,5,0)</f>
        <v>-4.1145540308207271E-13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384.44848355636935</v>
      </c>
      <c r="AO179" s="62">
        <f t="shared" si="144"/>
        <v>203.5274665601915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-4.5474735088646412E-13</v>
      </c>
      <c r="BE179" s="14">
        <f>BD179*VLOOKUP('Données projet'!$B$11,Paramètres!$A$1:$I$89,3,0)*VLOOKUP('Données projet'!$B$11,Paramètres!$A$1:$I$89,5,0)</f>
        <v>-4.6111381379887462E-13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440.60698566758532</v>
      </c>
      <c r="BJ179" s="62">
        <f t="shared" si="146"/>
        <v>231.92898690465887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287.29865338866551</v>
      </c>
      <c r="CE179" s="62">
        <f t="shared" si="148"/>
        <v>217.57508587672368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0.19124073027126257</v>
      </c>
      <c r="CM179" s="23">
        <f>EXP(-LN(2)/2)*CM178+(1-EXP(-LN(2)/2))/(LN(2)/2)*CG179*CJ179*VLOOKUP('Données projet'!$B$12,Paramètres!$A$1:$I$89,3,0)*0.475*44/12</f>
        <v>1.3622603306172332E-21</v>
      </c>
      <c r="CN179" s="24">
        <f t="shared" si="172"/>
        <v>0.19124073027126257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175.05987582828078</v>
      </c>
      <c r="CZ179" s="62">
        <f t="shared" si="150"/>
        <v>268.54782308462387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0.15852703454167533</v>
      </c>
      <c r="DH179" s="23">
        <f>EXP(-LN(2)/2)*DH178+(1-EXP(-LN(2)/2))/(LN(2)/2)*DB179*DE179*VLOOKUP('Données projet'!$B$13,Paramètres!$A$1:$I$89,3,0)*0.475*44/12</f>
        <v>1.339260987745466E-21</v>
      </c>
      <c r="DI179" s="24">
        <f t="shared" si="175"/>
        <v>0.15852703454167533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-5.6843418860808015E-14</v>
      </c>
      <c r="DP179" s="18">
        <f>DO179*VLOOKUP('Données projet'!$B$14,Paramètres!$A$1:$I$89,3,0)*VLOOKUP('Données projet'!$B$14,Paramètres!$A$1:$I$89,5,0)</f>
        <v>-3.2514435588382188E-14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228.06050741667258</v>
      </c>
      <c r="DU179" s="62">
        <f t="shared" si="152"/>
        <v>191.94885821983536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0.32825168579577835</v>
      </c>
      <c r="EC179" s="23">
        <f>EXP(-LN(2)/2)*EC178+(1-EXP(-LN(2)/2))/(LN(2)/2)*DW179*DZ179*VLOOKUP('Données projet'!$B$14,Paramètres!$A$1:$I$89,3,0)*0.475*44/12</f>
        <v>1.0865047229931432E-20</v>
      </c>
      <c r="ED179" s="24">
        <f t="shared" si="178"/>
        <v>0.32825168579577835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-5.6843418860808015E-14</v>
      </c>
      <c r="EK179" s="18">
        <f>EJ179*VLOOKUP('Données projet'!$B$15,Paramètres!$A$1:$I$89,3,0)*VLOOKUP('Données projet'!$B$15,Paramètres!$A$1:$I$89,5,0)</f>
        <v>-5.1431925385259088E-14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315.23521260143986</v>
      </c>
      <c r="EP179" s="62">
        <f t="shared" si="154"/>
        <v>439.11021845472641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-1.9065282685915009E-13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302.20483575440988</v>
      </c>
      <c r="T180" s="62">
        <f t="shared" si="142"/>
        <v>275.32862097158687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0.37813996166643021</v>
      </c>
      <c r="AB180" s="23">
        <f>EXP(-LN(2)/2)*AB179+(1-EXP(-LN(2)/2))/(LN(2)/2)*V180*Y180*VLOOKUP('Données projet'!$B$9,Paramètres!$A$1:$I$89,3,0)*0.475*44/12</f>
        <v>8.2412881853067649E-22</v>
      </c>
      <c r="AC180" s="24">
        <f t="shared" si="163"/>
        <v>0.37813996166643021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-4.5474735088646412E-13</v>
      </c>
      <c r="AJ180" s="14">
        <f>AI180*VLOOKUP('Données projet'!$B$10,Paramètres!$A$1:$I$89,3,0)*VLOOKUP('Données projet'!$B$10,Paramètres!$A$1:$I$89,5,0)</f>
        <v>-4.1145540308207271E-13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384.44848355636935</v>
      </c>
      <c r="AO180" s="62">
        <f t="shared" si="144"/>
        <v>203.5274665601915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-4.5474735088646412E-13</v>
      </c>
      <c r="BE180" s="14">
        <f>BD180*VLOOKUP('Données projet'!$B$11,Paramètres!$A$1:$I$89,3,0)*VLOOKUP('Données projet'!$B$11,Paramètres!$A$1:$I$89,5,0)</f>
        <v>-4.6111381379887462E-13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440.60698566758532</v>
      </c>
      <c r="BJ180" s="62">
        <f t="shared" si="146"/>
        <v>231.92898690465887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287.29865338866551</v>
      </c>
      <c r="CE180" s="62">
        <f t="shared" si="148"/>
        <v>217.57508587672368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0.18601124244508196</v>
      </c>
      <c r="CM180" s="23">
        <f>EXP(-LN(2)/2)*CM179+(1-EXP(-LN(2)/2))/(LN(2)/2)*CG180*CJ180*VLOOKUP('Données projet'!$B$12,Paramètres!$A$1:$I$89,3,0)*0.475*44/12</f>
        <v>9.6326351752087378E-22</v>
      </c>
      <c r="CN180" s="24">
        <f t="shared" si="172"/>
        <v>0.18601124244508196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175.05987582828078</v>
      </c>
      <c r="CZ180" s="62">
        <f t="shared" si="150"/>
        <v>268.54782308462387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0.15419210444555878</v>
      </c>
      <c r="DH180" s="23">
        <f>EXP(-LN(2)/2)*DH179+(1-EXP(-LN(2)/2))/(LN(2)/2)*DB180*DE180*VLOOKUP('Données projet'!$B$13,Paramètres!$A$1:$I$89,3,0)*0.475*44/12</f>
        <v>9.470005262134127E-22</v>
      </c>
      <c r="DI180" s="24">
        <f t="shared" si="175"/>
        <v>0.15419210444555878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-5.6843418860808015E-14</v>
      </c>
      <c r="DP180" s="18">
        <f>DO180*VLOOKUP('Données projet'!$B$14,Paramètres!$A$1:$I$89,3,0)*VLOOKUP('Données projet'!$B$14,Paramètres!$A$1:$I$89,5,0)</f>
        <v>-3.2514435588382188E-14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228.06050741667258</v>
      </c>
      <c r="DU180" s="62">
        <f t="shared" si="152"/>
        <v>191.94885821983536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0.31927562618568689</v>
      </c>
      <c r="EC180" s="23">
        <f>EXP(-LN(2)/2)*EC179+(1-EXP(-LN(2)/2))/(LN(2)/2)*DW180*DZ180*VLOOKUP('Données projet'!$B$14,Paramètres!$A$1:$I$89,3,0)*0.475*44/12</f>
        <v>7.6827485741966296E-21</v>
      </c>
      <c r="ED180" s="24">
        <f t="shared" si="178"/>
        <v>0.31927562618568689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-5.6843418860808015E-14</v>
      </c>
      <c r="EK180" s="18">
        <f>EJ180*VLOOKUP('Données projet'!$B$15,Paramètres!$A$1:$I$89,3,0)*VLOOKUP('Données projet'!$B$15,Paramètres!$A$1:$I$89,5,0)</f>
        <v>-5.1431925385259088E-14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315.23521260143986</v>
      </c>
      <c r="EP180" s="62">
        <f t="shared" si="154"/>
        <v>439.11021845472641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-1.9065282685915009E-13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302.20483575440988</v>
      </c>
      <c r="T181" s="62">
        <f t="shared" si="142"/>
        <v>275.32862097158687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0.36779970452914534</v>
      </c>
      <c r="AB181" s="23">
        <f>EXP(-LN(2)/2)*AB180+(1-EXP(-LN(2)/2))/(LN(2)/2)*V181*Y181*VLOOKUP('Données projet'!$B$9,Paramètres!$A$1:$I$89,3,0)*0.475*44/12</f>
        <v>5.8274707615429902E-22</v>
      </c>
      <c r="AC181" s="24">
        <f t="shared" si="163"/>
        <v>0.36779970452914534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-4.5474735088646412E-13</v>
      </c>
      <c r="AJ181" s="14">
        <f>AI181*VLOOKUP('Données projet'!$B$10,Paramètres!$A$1:$I$89,3,0)*VLOOKUP('Données projet'!$B$10,Paramètres!$A$1:$I$89,5,0)</f>
        <v>-4.1145540308207271E-13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384.44848355636935</v>
      </c>
      <c r="AO181" s="62">
        <f t="shared" si="144"/>
        <v>203.5274665601915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-4.5474735088646412E-13</v>
      </c>
      <c r="BE181" s="14">
        <f>BD181*VLOOKUP('Données projet'!$B$11,Paramètres!$A$1:$I$89,3,0)*VLOOKUP('Données projet'!$B$11,Paramètres!$A$1:$I$89,5,0)</f>
        <v>-4.6111381379887462E-13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440.60698566758532</v>
      </c>
      <c r="BJ181" s="62">
        <f t="shared" si="146"/>
        <v>231.92898690465887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287.29865338866551</v>
      </c>
      <c r="CE181" s="62">
        <f t="shared" si="148"/>
        <v>217.57508587672368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0.18092475523851509</v>
      </c>
      <c r="CM181" s="23">
        <f>EXP(-LN(2)/2)*CM180+(1-EXP(-LN(2)/2))/(LN(2)/2)*CG181*CJ181*VLOOKUP('Données projet'!$B$12,Paramètres!$A$1:$I$89,3,0)*0.475*44/12</f>
        <v>6.811301653086166E-22</v>
      </c>
      <c r="CN181" s="24">
        <f t="shared" si="172"/>
        <v>0.18092475523851509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175.05987582828078</v>
      </c>
      <c r="CZ181" s="62">
        <f t="shared" si="150"/>
        <v>268.54782308462387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0.1499757132408846</v>
      </c>
      <c r="DH181" s="23">
        <f>EXP(-LN(2)/2)*DH180+(1-EXP(-LN(2)/2))/(LN(2)/2)*DB181*DE181*VLOOKUP('Données projet'!$B$13,Paramètres!$A$1:$I$89,3,0)*0.475*44/12</f>
        <v>6.6963049387273298E-22</v>
      </c>
      <c r="DI181" s="24">
        <f t="shared" si="175"/>
        <v>0.1499757132408846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-5.6843418860808015E-14</v>
      </c>
      <c r="DP181" s="18">
        <f>DO181*VLOOKUP('Données projet'!$B$14,Paramètres!$A$1:$I$89,3,0)*VLOOKUP('Données projet'!$B$14,Paramètres!$A$1:$I$89,5,0)</f>
        <v>-3.2514435588382188E-14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228.06050741667258</v>
      </c>
      <c r="DU181" s="62">
        <f t="shared" si="152"/>
        <v>191.94885821983536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0.31054501739766383</v>
      </c>
      <c r="EC181" s="23">
        <f>EXP(-LN(2)/2)*EC180+(1-EXP(-LN(2)/2))/(LN(2)/2)*DW181*DZ181*VLOOKUP('Données projet'!$B$14,Paramètres!$A$1:$I$89,3,0)*0.475*44/12</f>
        <v>5.4325236149657162E-21</v>
      </c>
      <c r="ED181" s="24">
        <f t="shared" si="178"/>
        <v>0.31054501739766383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-5.6843418860808015E-14</v>
      </c>
      <c r="EK181" s="18">
        <f>EJ181*VLOOKUP('Données projet'!$B$15,Paramètres!$A$1:$I$89,3,0)*VLOOKUP('Données projet'!$B$15,Paramètres!$A$1:$I$89,5,0)</f>
        <v>-5.1431925385259088E-14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315.23521260143986</v>
      </c>
      <c r="EP181" s="62">
        <f t="shared" si="154"/>
        <v>439.11021845472641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-1.9065282685915009E-13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302.20483575440988</v>
      </c>
      <c r="T182" s="62">
        <f t="shared" si="142"/>
        <v>275.32862097158687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0.35774220226705</v>
      </c>
      <c r="AB182" s="23">
        <f>EXP(-LN(2)/2)*AB181+(1-EXP(-LN(2)/2))/(LN(2)/2)*V182*Y182*VLOOKUP('Données projet'!$B$9,Paramètres!$A$1:$I$89,3,0)*0.475*44/12</f>
        <v>4.1206440926533829E-22</v>
      </c>
      <c r="AC182" s="24">
        <f t="shared" si="163"/>
        <v>0.35774220226705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-4.5474735088646412E-13</v>
      </c>
      <c r="AJ182" s="14">
        <f>AI182*VLOOKUP('Données projet'!$B$10,Paramètres!$A$1:$I$89,3,0)*VLOOKUP('Données projet'!$B$10,Paramètres!$A$1:$I$89,5,0)</f>
        <v>-4.1145540308207271E-13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384.44848355636935</v>
      </c>
      <c r="AO182" s="62">
        <f t="shared" si="144"/>
        <v>203.5274665601915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-4.5474735088646412E-13</v>
      </c>
      <c r="BE182" s="14">
        <f>BD182*VLOOKUP('Données projet'!$B$11,Paramètres!$A$1:$I$89,3,0)*VLOOKUP('Données projet'!$B$11,Paramètres!$A$1:$I$89,5,0)</f>
        <v>-4.6111381379887462E-13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440.60698566758532</v>
      </c>
      <c r="BJ182" s="62">
        <f t="shared" si="146"/>
        <v>231.92898690465887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287.29865338866551</v>
      </c>
      <c r="CE182" s="62">
        <f t="shared" si="148"/>
        <v>217.57508587672368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0.17597735829209851</v>
      </c>
      <c r="CM182" s="23">
        <f>EXP(-LN(2)/2)*CM181+(1-EXP(-LN(2)/2))/(LN(2)/2)*CG182*CJ182*VLOOKUP('Données projet'!$B$12,Paramètres!$A$1:$I$89,3,0)*0.475*44/12</f>
        <v>4.8163175876043689E-22</v>
      </c>
      <c r="CN182" s="24">
        <f t="shared" si="172"/>
        <v>0.17597735829209851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175.05987582828078</v>
      </c>
      <c r="CZ182" s="62">
        <f t="shared" si="150"/>
        <v>268.54782308462387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0.14587461947543262</v>
      </c>
      <c r="DH182" s="23">
        <f>EXP(-LN(2)/2)*DH181+(1-EXP(-LN(2)/2))/(LN(2)/2)*DB182*DE182*VLOOKUP('Données projet'!$B$13,Paramètres!$A$1:$I$89,3,0)*0.475*44/12</f>
        <v>4.7350026310670635E-22</v>
      </c>
      <c r="DI182" s="24">
        <f t="shared" si="175"/>
        <v>0.14587461947543262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-5.6843418860808015E-14</v>
      </c>
      <c r="DP182" s="18">
        <f>DO182*VLOOKUP('Données projet'!$B$14,Paramètres!$A$1:$I$89,3,0)*VLOOKUP('Données projet'!$B$14,Paramètres!$A$1:$I$89,5,0)</f>
        <v>-3.2514435588382188E-14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228.06050741667258</v>
      </c>
      <c r="DU182" s="62">
        <f t="shared" si="152"/>
        <v>191.94885821983536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0.30205314756607199</v>
      </c>
      <c r="EC182" s="23">
        <f>EXP(-LN(2)/2)*EC181+(1-EXP(-LN(2)/2))/(LN(2)/2)*DW182*DZ182*VLOOKUP('Données projet'!$B$14,Paramètres!$A$1:$I$89,3,0)*0.475*44/12</f>
        <v>3.8413742870983148E-21</v>
      </c>
      <c r="ED182" s="24">
        <f t="shared" si="178"/>
        <v>0.30205314756607199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-5.6843418860808015E-14</v>
      </c>
      <c r="EK182" s="18">
        <f>EJ182*VLOOKUP('Données projet'!$B$15,Paramètres!$A$1:$I$89,3,0)*VLOOKUP('Données projet'!$B$15,Paramètres!$A$1:$I$89,5,0)</f>
        <v>-5.1431925385259088E-14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315.23521260143986</v>
      </c>
      <c r="EP182" s="62">
        <f t="shared" si="154"/>
        <v>439.11021845472641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-1.9065282685915009E-13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302.20483575440988</v>
      </c>
      <c r="T183" s="62">
        <f t="shared" si="142"/>
        <v>275.32862097158687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0.34795972293321276</v>
      </c>
      <c r="AB183" s="23">
        <f>EXP(-LN(2)/2)*AB182+(1-EXP(-LN(2)/2))/(LN(2)/2)*V183*Y183*VLOOKUP('Données projet'!$B$9,Paramètres!$A$1:$I$89,3,0)*0.475*44/12</f>
        <v>2.9137353807714956E-22</v>
      </c>
      <c r="AC183" s="24">
        <f t="shared" si="163"/>
        <v>0.34795972293321276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-4.5474735088646412E-13</v>
      </c>
      <c r="AJ183" s="14">
        <f>AI183*VLOOKUP('Données projet'!$B$10,Paramètres!$A$1:$I$89,3,0)*VLOOKUP('Données projet'!$B$10,Paramètres!$A$1:$I$89,5,0)</f>
        <v>-4.1145540308207271E-13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384.44848355636935</v>
      </c>
      <c r="AO183" s="62">
        <f t="shared" si="144"/>
        <v>203.5274665601915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-4.5474735088646412E-13</v>
      </c>
      <c r="BE183" s="14">
        <f>BD183*VLOOKUP('Données projet'!$B$11,Paramètres!$A$1:$I$89,3,0)*VLOOKUP('Données projet'!$B$11,Paramètres!$A$1:$I$89,5,0)</f>
        <v>-4.6111381379887462E-13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440.60698566758532</v>
      </c>
      <c r="BJ183" s="62">
        <f t="shared" si="146"/>
        <v>231.92898690465887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287.29865338866551</v>
      </c>
      <c r="CE183" s="62">
        <f t="shared" si="148"/>
        <v>217.57508587672368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0.171165248175354</v>
      </c>
      <c r="CM183" s="23">
        <f>EXP(-LN(2)/2)*CM182+(1-EXP(-LN(2)/2))/(LN(2)/2)*CG183*CJ183*VLOOKUP('Données projet'!$B$12,Paramètres!$A$1:$I$89,3,0)*0.475*44/12</f>
        <v>3.405650826543083E-22</v>
      </c>
      <c r="CN183" s="24">
        <f t="shared" si="172"/>
        <v>0.171165248175354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175.05987582828078</v>
      </c>
      <c r="CZ183" s="62">
        <f t="shared" si="150"/>
        <v>268.54782308462387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0.14188567033466407</v>
      </c>
      <c r="DH183" s="23">
        <f>EXP(-LN(2)/2)*DH182+(1-EXP(-LN(2)/2))/(LN(2)/2)*DB183*DE183*VLOOKUP('Données projet'!$B$13,Paramètres!$A$1:$I$89,3,0)*0.475*44/12</f>
        <v>3.3481524693636649E-22</v>
      </c>
      <c r="DI183" s="24">
        <f t="shared" si="175"/>
        <v>0.14188567033466407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-5.6843418860808015E-14</v>
      </c>
      <c r="DP183" s="18">
        <f>DO183*VLOOKUP('Données projet'!$B$14,Paramètres!$A$1:$I$89,3,0)*VLOOKUP('Données projet'!$B$14,Paramètres!$A$1:$I$89,5,0)</f>
        <v>-3.2514435588382188E-14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228.06050741667258</v>
      </c>
      <c r="DU183" s="62">
        <f t="shared" si="152"/>
        <v>191.94885821983536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0.29379348836159308</v>
      </c>
      <c r="EC183" s="23">
        <f>EXP(-LN(2)/2)*EC182+(1-EXP(-LN(2)/2))/(LN(2)/2)*DW183*DZ183*VLOOKUP('Données projet'!$B$14,Paramètres!$A$1:$I$89,3,0)*0.475*44/12</f>
        <v>2.7162618074828581E-21</v>
      </c>
      <c r="ED183" s="24">
        <f t="shared" si="178"/>
        <v>0.29379348836159308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-5.6843418860808015E-14</v>
      </c>
      <c r="EK183" s="18">
        <f>EJ183*VLOOKUP('Données projet'!$B$15,Paramètres!$A$1:$I$89,3,0)*VLOOKUP('Données projet'!$B$15,Paramètres!$A$1:$I$89,5,0)</f>
        <v>-5.1431925385259088E-14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315.23521260143986</v>
      </c>
      <c r="EP183" s="62">
        <f t="shared" si="154"/>
        <v>439.11021845472641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-1.9065282685915009E-13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302.20483575440988</v>
      </c>
      <c r="T184" s="62">
        <f t="shared" si="142"/>
        <v>275.32862097158687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0.33844474601119751</v>
      </c>
      <c r="AB184" s="23">
        <f>EXP(-LN(2)/2)*AB183+(1-EXP(-LN(2)/2))/(LN(2)/2)*V184*Y184*VLOOKUP('Données projet'!$B$9,Paramètres!$A$1:$I$89,3,0)*0.475*44/12</f>
        <v>2.0603220463266917E-22</v>
      </c>
      <c r="AC184" s="24">
        <f t="shared" si="163"/>
        <v>0.33844474601119751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-4.5474735088646412E-13</v>
      </c>
      <c r="AJ184" s="14">
        <f>AI184*VLOOKUP('Données projet'!$B$10,Paramètres!$A$1:$I$89,3,0)*VLOOKUP('Données projet'!$B$10,Paramètres!$A$1:$I$89,5,0)</f>
        <v>-4.1145540308207271E-13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384.44848355636935</v>
      </c>
      <c r="AO184" s="62">
        <f t="shared" si="144"/>
        <v>203.5274665601915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-4.5474735088646412E-13</v>
      </c>
      <c r="BE184" s="14">
        <f>BD184*VLOOKUP('Données projet'!$B$11,Paramètres!$A$1:$I$89,3,0)*VLOOKUP('Données projet'!$B$11,Paramètres!$A$1:$I$89,5,0)</f>
        <v>-4.6111381379887462E-13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440.60698566758532</v>
      </c>
      <c r="BJ184" s="62">
        <f t="shared" si="146"/>
        <v>231.92898690465887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287.29865338866551</v>
      </c>
      <c r="CE184" s="62">
        <f t="shared" si="148"/>
        <v>217.57508587672368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0.16648472546280974</v>
      </c>
      <c r="CM184" s="23">
        <f>EXP(-LN(2)/2)*CM183+(1-EXP(-LN(2)/2))/(LN(2)/2)*CG184*CJ184*VLOOKUP('Données projet'!$B$12,Paramètres!$A$1:$I$89,3,0)*0.475*44/12</f>
        <v>2.4081587938021845E-22</v>
      </c>
      <c r="CN184" s="24">
        <f t="shared" si="172"/>
        <v>0.16648472546280974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175.05987582828078</v>
      </c>
      <c r="CZ184" s="62">
        <f t="shared" si="150"/>
        <v>268.54782308462387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0.13800579921791956</v>
      </c>
      <c r="DH184" s="23">
        <f>EXP(-LN(2)/2)*DH183+(1-EXP(-LN(2)/2))/(LN(2)/2)*DB184*DE184*VLOOKUP('Données projet'!$B$13,Paramètres!$A$1:$I$89,3,0)*0.475*44/12</f>
        <v>2.3675013155335317E-22</v>
      </c>
      <c r="DI184" s="24">
        <f t="shared" si="175"/>
        <v>0.13800579921791956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-5.6843418860808015E-14</v>
      </c>
      <c r="DP184" s="18">
        <f>DO184*VLOOKUP('Données projet'!$B$14,Paramètres!$A$1:$I$89,3,0)*VLOOKUP('Données projet'!$B$14,Paramètres!$A$1:$I$89,5,0)</f>
        <v>-3.2514435588382188E-14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228.06050741667258</v>
      </c>
      <c r="DU184" s="62">
        <f t="shared" si="152"/>
        <v>191.94885821983536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0.28575968997241724</v>
      </c>
      <c r="EC184" s="23">
        <f>EXP(-LN(2)/2)*EC183+(1-EXP(-LN(2)/2))/(LN(2)/2)*DW184*DZ184*VLOOKUP('Données projet'!$B$14,Paramètres!$A$1:$I$89,3,0)*0.475*44/12</f>
        <v>1.9206871435491574E-21</v>
      </c>
      <c r="ED184" s="24">
        <f t="shared" si="178"/>
        <v>0.28575968997241724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-5.6843418860808015E-14</v>
      </c>
      <c r="EK184" s="18">
        <f>EJ184*VLOOKUP('Données projet'!$B$15,Paramètres!$A$1:$I$89,3,0)*VLOOKUP('Données projet'!$B$15,Paramètres!$A$1:$I$89,5,0)</f>
        <v>-5.1431925385259088E-14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315.23521260143986</v>
      </c>
      <c r="EP184" s="62">
        <f t="shared" si="154"/>
        <v>439.11021845472641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-1.9065282685915009E-13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302.20483575440988</v>
      </c>
      <c r="T185" s="62">
        <f t="shared" si="142"/>
        <v>275.32862097158687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0.32918995663348566</v>
      </c>
      <c r="AB185" s="23">
        <f>EXP(-LN(2)/2)*AB184+(1-EXP(-LN(2)/2))/(LN(2)/2)*V185*Y185*VLOOKUP('Données projet'!$B$9,Paramètres!$A$1:$I$89,3,0)*0.475*44/12</f>
        <v>1.456867690385748E-22</v>
      </c>
      <c r="AC185" s="24">
        <f t="shared" si="163"/>
        <v>0.32918995663348566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-4.5474735088646412E-13</v>
      </c>
      <c r="AJ185" s="14">
        <f>AI185*VLOOKUP('Données projet'!$B$10,Paramètres!$A$1:$I$89,3,0)*VLOOKUP('Données projet'!$B$10,Paramètres!$A$1:$I$89,5,0)</f>
        <v>-4.1145540308207271E-13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384.44848355636935</v>
      </c>
      <c r="AO185" s="62">
        <f t="shared" si="144"/>
        <v>203.5274665601915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-4.5474735088646412E-13</v>
      </c>
      <c r="BE185" s="14">
        <f>BD185*VLOOKUP('Données projet'!$B$11,Paramètres!$A$1:$I$89,3,0)*VLOOKUP('Données projet'!$B$11,Paramètres!$A$1:$I$89,5,0)</f>
        <v>-4.6111381379887462E-13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440.60698566758532</v>
      </c>
      <c r="BJ185" s="62">
        <f t="shared" si="146"/>
        <v>231.92898690465887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287.29865338866551</v>
      </c>
      <c r="CE185" s="62">
        <f t="shared" si="148"/>
        <v>217.57508587672368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0.16193219188997798</v>
      </c>
      <c r="CM185" s="23">
        <f>EXP(-LN(2)/2)*CM184+(1-EXP(-LN(2)/2))/(LN(2)/2)*CG185*CJ185*VLOOKUP('Données projet'!$B$12,Paramètres!$A$1:$I$89,3,0)*0.475*44/12</f>
        <v>1.7028254132715415E-22</v>
      </c>
      <c r="CN185" s="24">
        <f t="shared" si="172"/>
        <v>0.16193219188997798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175.05987582828078</v>
      </c>
      <c r="CZ185" s="62">
        <f t="shared" si="150"/>
        <v>268.54782308462387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0.13423202338089599</v>
      </c>
      <c r="DH185" s="23">
        <f>EXP(-LN(2)/2)*DH184+(1-EXP(-LN(2)/2))/(LN(2)/2)*DB185*DE185*VLOOKUP('Données projet'!$B$13,Paramètres!$A$1:$I$89,3,0)*0.475*44/12</f>
        <v>1.6740762346818325E-22</v>
      </c>
      <c r="DI185" s="24">
        <f t="shared" si="175"/>
        <v>0.13423202338089599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-5.6843418860808015E-14</v>
      </c>
      <c r="DP185" s="18">
        <f>DO185*VLOOKUP('Données projet'!$B$14,Paramètres!$A$1:$I$89,3,0)*VLOOKUP('Données projet'!$B$14,Paramètres!$A$1:$I$89,5,0)</f>
        <v>-3.2514435588382188E-14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228.06050741667258</v>
      </c>
      <c r="DU185" s="62">
        <f t="shared" si="152"/>
        <v>191.94885821983536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0.27794557622267252</v>
      </c>
      <c r="EC185" s="23">
        <f>EXP(-LN(2)/2)*EC184+(1-EXP(-LN(2)/2))/(LN(2)/2)*DW185*DZ185*VLOOKUP('Données projet'!$B$14,Paramètres!$A$1:$I$89,3,0)*0.475*44/12</f>
        <v>1.3581309037414291E-21</v>
      </c>
      <c r="ED185" s="24">
        <f t="shared" si="178"/>
        <v>0.27794557622267252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-5.6843418860808015E-14</v>
      </c>
      <c r="EK185" s="18">
        <f>EJ185*VLOOKUP('Données projet'!$B$15,Paramètres!$A$1:$I$89,3,0)*VLOOKUP('Données projet'!$B$15,Paramètres!$A$1:$I$89,5,0)</f>
        <v>-5.1431925385259088E-14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315.23521260143986</v>
      </c>
      <c r="EP185" s="62">
        <f t="shared" si="154"/>
        <v>439.11021845472641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-1.9065282685915009E-13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302.20483575440988</v>
      </c>
      <c r="T186" s="62">
        <f t="shared" si="142"/>
        <v>275.32862097158687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0.32018823995799556</v>
      </c>
      <c r="AB186" s="23">
        <f>EXP(-LN(2)/2)*AB185+(1-EXP(-LN(2)/2))/(LN(2)/2)*V186*Y186*VLOOKUP('Données projet'!$B$9,Paramètres!$A$1:$I$89,3,0)*0.475*44/12</f>
        <v>1.0301610231633461E-22</v>
      </c>
      <c r="AC186" s="24">
        <f t="shared" si="163"/>
        <v>0.32018823995799556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-4.5474735088646412E-13</v>
      </c>
      <c r="AJ186" s="14">
        <f>AI186*VLOOKUP('Données projet'!$B$10,Paramètres!$A$1:$I$89,3,0)*VLOOKUP('Données projet'!$B$10,Paramètres!$A$1:$I$89,5,0)</f>
        <v>-4.1145540308207271E-13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384.44848355636935</v>
      </c>
      <c r="AO186" s="62">
        <f t="shared" si="144"/>
        <v>203.5274665601915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-4.5474735088646412E-13</v>
      </c>
      <c r="BE186" s="14">
        <f>BD186*VLOOKUP('Données projet'!$B$11,Paramètres!$A$1:$I$89,3,0)*VLOOKUP('Données projet'!$B$11,Paramètres!$A$1:$I$89,5,0)</f>
        <v>-4.6111381379887462E-13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440.60698566758532</v>
      </c>
      <c r="BJ186" s="62">
        <f t="shared" si="146"/>
        <v>231.92898690465887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287.29865338866551</v>
      </c>
      <c r="CE186" s="62">
        <f t="shared" si="148"/>
        <v>217.57508587672368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0.15750414758710266</v>
      </c>
      <c r="CM186" s="23">
        <f>EXP(-LN(2)/2)*CM185+(1-EXP(-LN(2)/2))/(LN(2)/2)*CG186*CJ186*VLOOKUP('Données projet'!$B$12,Paramètres!$A$1:$I$89,3,0)*0.475*44/12</f>
        <v>1.2040793969010922E-22</v>
      </c>
      <c r="CN186" s="24">
        <f t="shared" si="172"/>
        <v>0.15750414758710266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175.05987582828078</v>
      </c>
      <c r="CZ186" s="62">
        <f t="shared" si="150"/>
        <v>268.54782308462387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0.13056144164259006</v>
      </c>
      <c r="DH186" s="23">
        <f>EXP(-LN(2)/2)*DH185+(1-EXP(-LN(2)/2))/(LN(2)/2)*DB186*DE186*VLOOKUP('Données projet'!$B$13,Paramètres!$A$1:$I$89,3,0)*0.475*44/12</f>
        <v>1.1837506577667659E-22</v>
      </c>
      <c r="DI186" s="24">
        <f t="shared" si="175"/>
        <v>0.13056144164259006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-5.6843418860808015E-14</v>
      </c>
      <c r="DP186" s="18">
        <f>DO186*VLOOKUP('Données projet'!$B$14,Paramètres!$A$1:$I$89,3,0)*VLOOKUP('Données projet'!$B$14,Paramètres!$A$1:$I$89,5,0)</f>
        <v>-3.2514435588382188E-14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228.06050741667258</v>
      </c>
      <c r="DU186" s="62">
        <f t="shared" si="152"/>
        <v>191.94885821983536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0.27034513982434094</v>
      </c>
      <c r="EC186" s="23">
        <f>EXP(-LN(2)/2)*EC185+(1-EXP(-LN(2)/2))/(LN(2)/2)*DW186*DZ186*VLOOKUP('Données projet'!$B$14,Paramètres!$A$1:$I$89,3,0)*0.475*44/12</f>
        <v>9.603435717745787E-22</v>
      </c>
      <c r="ED186" s="24">
        <f t="shared" si="178"/>
        <v>0.27034513982434094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-5.6843418860808015E-14</v>
      </c>
      <c r="EK186" s="18">
        <f>EJ186*VLOOKUP('Données projet'!$B$15,Paramètres!$A$1:$I$89,3,0)*VLOOKUP('Données projet'!$B$15,Paramètres!$A$1:$I$89,5,0)</f>
        <v>-5.1431925385259088E-14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315.23521260143986</v>
      </c>
      <c r="EP186" s="62">
        <f t="shared" si="154"/>
        <v>439.11021845472641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-1.9065282685915009E-13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302.20483575440988</v>
      </c>
      <c r="T187" s="62">
        <f t="shared" si="142"/>
        <v>275.32862097158687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0.3114326756983764</v>
      </c>
      <c r="AB187" s="23">
        <f>EXP(-LN(2)/2)*AB186+(1-EXP(-LN(2)/2))/(LN(2)/2)*V187*Y187*VLOOKUP('Données projet'!$B$9,Paramètres!$A$1:$I$89,3,0)*0.475*44/12</f>
        <v>7.2843384519287413E-23</v>
      </c>
      <c r="AC187" s="24">
        <f t="shared" si="163"/>
        <v>0.3114326756983764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-4.5474735088646412E-13</v>
      </c>
      <c r="AJ187" s="14">
        <f>AI187*VLOOKUP('Données projet'!$B$10,Paramètres!$A$1:$I$89,3,0)*VLOOKUP('Données projet'!$B$10,Paramètres!$A$1:$I$89,5,0)</f>
        <v>-4.1145540308207271E-13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384.44848355636935</v>
      </c>
      <c r="AO187" s="62">
        <f t="shared" si="144"/>
        <v>203.5274665601915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-4.5474735088646412E-13</v>
      </c>
      <c r="BE187" s="14">
        <f>BD187*VLOOKUP('Données projet'!$B$11,Paramètres!$A$1:$I$89,3,0)*VLOOKUP('Données projet'!$B$11,Paramètres!$A$1:$I$89,5,0)</f>
        <v>-4.6111381379887462E-13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440.60698566758532</v>
      </c>
      <c r="BJ187" s="62">
        <f t="shared" si="146"/>
        <v>231.92898690465887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287.29865338866551</v>
      </c>
      <c r="CE187" s="62">
        <f t="shared" si="148"/>
        <v>217.57508587672368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0.1531971883885502</v>
      </c>
      <c r="CM187" s="23">
        <f>EXP(-LN(2)/2)*CM186+(1-EXP(-LN(2)/2))/(LN(2)/2)*CG187*CJ187*VLOOKUP('Données projet'!$B$12,Paramètres!$A$1:$I$89,3,0)*0.475*44/12</f>
        <v>8.5141270663577075E-23</v>
      </c>
      <c r="CN187" s="24">
        <f t="shared" si="172"/>
        <v>0.1531971883885502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175.05987582828078</v>
      </c>
      <c r="CZ187" s="62">
        <f t="shared" si="150"/>
        <v>268.54782308462387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0.12699123215494562</v>
      </c>
      <c r="DH187" s="23">
        <f>EXP(-LN(2)/2)*DH186+(1-EXP(-LN(2)/2))/(LN(2)/2)*DB187*DE187*VLOOKUP('Données projet'!$B$13,Paramètres!$A$1:$I$89,3,0)*0.475*44/12</f>
        <v>8.3703811734091623E-23</v>
      </c>
      <c r="DI187" s="24">
        <f t="shared" si="175"/>
        <v>0.12699123215494562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-5.6843418860808015E-14</v>
      </c>
      <c r="DP187" s="18">
        <f>DO187*VLOOKUP('Données projet'!$B$14,Paramètres!$A$1:$I$89,3,0)*VLOOKUP('Données projet'!$B$14,Paramètres!$A$1:$I$89,5,0)</f>
        <v>-3.2514435588382188E-14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228.06050741667258</v>
      </c>
      <c r="DU187" s="62">
        <f t="shared" si="152"/>
        <v>191.94885821983536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0.26295253775901134</v>
      </c>
      <c r="EC187" s="23">
        <f>EXP(-LN(2)/2)*EC186+(1-EXP(-LN(2)/2))/(LN(2)/2)*DW187*DZ187*VLOOKUP('Données projet'!$B$14,Paramètres!$A$1:$I$89,3,0)*0.475*44/12</f>
        <v>6.7906545187071453E-22</v>
      </c>
      <c r="ED187" s="24">
        <f t="shared" si="178"/>
        <v>0.26295253775901134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-5.6843418860808015E-14</v>
      </c>
      <c r="EK187" s="18">
        <f>EJ187*VLOOKUP('Données projet'!$B$15,Paramètres!$A$1:$I$89,3,0)*VLOOKUP('Données projet'!$B$15,Paramètres!$A$1:$I$89,5,0)</f>
        <v>-5.1431925385259088E-14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315.23521260143986</v>
      </c>
      <c r="EP187" s="62">
        <f t="shared" si="154"/>
        <v>439.11021845472641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-1.9065282685915009E-13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302.20483575440988</v>
      </c>
      <c r="T188" s="62">
        <f t="shared" si="142"/>
        <v>275.32862097158687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0.30291653280387165</v>
      </c>
      <c r="AB188" s="23">
        <f>EXP(-LN(2)/2)*AB187+(1-EXP(-LN(2)/2))/(LN(2)/2)*V188*Y188*VLOOKUP('Données projet'!$B$9,Paramètres!$A$1:$I$89,3,0)*0.475*44/12</f>
        <v>5.150805115816731E-23</v>
      </c>
      <c r="AC188" s="24">
        <f t="shared" si="163"/>
        <v>0.30291653280387165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-4.5474735088646412E-13</v>
      </c>
      <c r="AJ188" s="14">
        <f>AI188*VLOOKUP('Données projet'!$B$10,Paramètres!$A$1:$I$89,3,0)*VLOOKUP('Données projet'!$B$10,Paramètres!$A$1:$I$89,5,0)</f>
        <v>-4.1145540308207271E-13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384.44848355636935</v>
      </c>
      <c r="AO188" s="62">
        <f t="shared" si="144"/>
        <v>203.5274665601915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-4.5474735088646412E-13</v>
      </c>
      <c r="BE188" s="14">
        <f>BD188*VLOOKUP('Données projet'!$B$11,Paramètres!$A$1:$I$89,3,0)*VLOOKUP('Données projet'!$B$11,Paramètres!$A$1:$I$89,5,0)</f>
        <v>-4.6111381379887462E-13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440.60698566758532</v>
      </c>
      <c r="BJ188" s="62">
        <f t="shared" si="146"/>
        <v>231.92898690465887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287.29865338866551</v>
      </c>
      <c r="CE188" s="62">
        <f t="shared" si="148"/>
        <v>217.57508587672368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0.14900800321577529</v>
      </c>
      <c r="CM188" s="23">
        <f>EXP(-LN(2)/2)*CM187+(1-EXP(-LN(2)/2))/(LN(2)/2)*CG188*CJ188*VLOOKUP('Données projet'!$B$12,Paramètres!$A$1:$I$89,3,0)*0.475*44/12</f>
        <v>6.0203969845054611E-23</v>
      </c>
      <c r="CN188" s="24">
        <f t="shared" si="172"/>
        <v>0.14900800321577529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175.05987582828078</v>
      </c>
      <c r="CZ188" s="62">
        <f t="shared" si="150"/>
        <v>268.54782308462387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0.12351865023348997</v>
      </c>
      <c r="DH188" s="23">
        <f>EXP(-LN(2)/2)*DH187+(1-EXP(-LN(2)/2))/(LN(2)/2)*DB188*DE188*VLOOKUP('Données projet'!$B$13,Paramètres!$A$1:$I$89,3,0)*0.475*44/12</f>
        <v>5.9187532888338294E-23</v>
      </c>
      <c r="DI188" s="24">
        <f t="shared" si="175"/>
        <v>0.12351865023348997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-5.6843418860808015E-14</v>
      </c>
      <c r="DP188" s="18">
        <f>DO188*VLOOKUP('Données projet'!$B$14,Paramètres!$A$1:$I$89,3,0)*VLOOKUP('Données projet'!$B$14,Paramètres!$A$1:$I$89,5,0)</f>
        <v>-3.2514435588382188E-14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228.06050741667258</v>
      </c>
      <c r="DU188" s="62">
        <f t="shared" si="152"/>
        <v>191.94885821983536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0.25576208678591822</v>
      </c>
      <c r="EC188" s="23">
        <f>EXP(-LN(2)/2)*EC187+(1-EXP(-LN(2)/2))/(LN(2)/2)*DW188*DZ188*VLOOKUP('Données projet'!$B$14,Paramètres!$A$1:$I$89,3,0)*0.475*44/12</f>
        <v>4.8017178588728935E-22</v>
      </c>
      <c r="ED188" s="24">
        <f t="shared" si="178"/>
        <v>0.25576208678591822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-5.6843418860808015E-14</v>
      </c>
      <c r="EK188" s="18">
        <f>EJ188*VLOOKUP('Données projet'!$B$15,Paramètres!$A$1:$I$89,3,0)*VLOOKUP('Données projet'!$B$15,Paramètres!$A$1:$I$89,5,0)</f>
        <v>-5.1431925385259088E-14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315.23521260143986</v>
      </c>
      <c r="EP188" s="62">
        <f t="shared" si="154"/>
        <v>439.11021845472641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-1.9065282685915009E-13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302.20483575440988</v>
      </c>
      <c r="T189" s="62">
        <f t="shared" si="142"/>
        <v>275.32862097158687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0.29463326428466163</v>
      </c>
      <c r="AB189" s="23">
        <f>EXP(-LN(2)/2)*AB188+(1-EXP(-LN(2)/2))/(LN(2)/2)*V189*Y189*VLOOKUP('Données projet'!$B$9,Paramètres!$A$1:$I$89,3,0)*0.475*44/12</f>
        <v>3.6421692259643712E-23</v>
      </c>
      <c r="AC189" s="24">
        <f t="shared" si="163"/>
        <v>0.29463326428466163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-4.5474735088646412E-13</v>
      </c>
      <c r="AJ189" s="14">
        <f>AI189*VLOOKUP('Données projet'!$B$10,Paramètres!$A$1:$I$89,3,0)*VLOOKUP('Données projet'!$B$10,Paramètres!$A$1:$I$89,5,0)</f>
        <v>-4.1145540308207271E-13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384.44848355636935</v>
      </c>
      <c r="AO189" s="62">
        <f t="shared" si="144"/>
        <v>203.5274665601915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-4.5474735088646412E-13</v>
      </c>
      <c r="BE189" s="14">
        <f>BD189*VLOOKUP('Données projet'!$B$11,Paramètres!$A$1:$I$89,3,0)*VLOOKUP('Données projet'!$B$11,Paramètres!$A$1:$I$89,5,0)</f>
        <v>-4.6111381379887462E-13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440.60698566758532</v>
      </c>
      <c r="BJ189" s="62">
        <f t="shared" si="146"/>
        <v>231.92898690465887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287.29865338866551</v>
      </c>
      <c r="CE189" s="62">
        <f t="shared" si="148"/>
        <v>217.57508587672368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0.1449333715318496</v>
      </c>
      <c r="CM189" s="23">
        <f>EXP(-LN(2)/2)*CM188+(1-EXP(-LN(2)/2))/(LN(2)/2)*CG189*CJ189*VLOOKUP('Données projet'!$B$12,Paramètres!$A$1:$I$89,3,0)*0.475*44/12</f>
        <v>4.2570635331788537E-23</v>
      </c>
      <c r="CN189" s="24">
        <f t="shared" si="172"/>
        <v>0.1449333715318496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175.05987582828078</v>
      </c>
      <c r="CZ189" s="62">
        <f t="shared" si="150"/>
        <v>268.54782308462387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0.12014102624729167</v>
      </c>
      <c r="DH189" s="23">
        <f>EXP(-LN(2)/2)*DH188+(1-EXP(-LN(2)/2))/(LN(2)/2)*DB189*DE189*VLOOKUP('Données projet'!$B$13,Paramètres!$A$1:$I$89,3,0)*0.475*44/12</f>
        <v>4.1851905867045811E-23</v>
      </c>
      <c r="DI189" s="24">
        <f t="shared" si="175"/>
        <v>0.12014102624729167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-5.6843418860808015E-14</v>
      </c>
      <c r="DP189" s="18">
        <f>DO189*VLOOKUP('Données projet'!$B$14,Paramètres!$A$1:$I$89,3,0)*VLOOKUP('Données projet'!$B$14,Paramètres!$A$1:$I$89,5,0)</f>
        <v>-3.2514435588382188E-14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228.06050741667258</v>
      </c>
      <c r="DU189" s="62">
        <f t="shared" si="152"/>
        <v>191.94885821983536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0.24876825907281369</v>
      </c>
      <c r="EC189" s="23">
        <f>EXP(-LN(2)/2)*EC188+(1-EXP(-LN(2)/2))/(LN(2)/2)*DW189*DZ189*VLOOKUP('Données projet'!$B$14,Paramètres!$A$1:$I$89,3,0)*0.475*44/12</f>
        <v>3.3953272593535726E-22</v>
      </c>
      <c r="ED189" s="24">
        <f t="shared" si="178"/>
        <v>0.24876825907281369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-5.6843418860808015E-14</v>
      </c>
      <c r="EK189" s="18">
        <f>EJ189*VLOOKUP('Données projet'!$B$15,Paramètres!$A$1:$I$89,3,0)*VLOOKUP('Données projet'!$B$15,Paramètres!$A$1:$I$89,5,0)</f>
        <v>-5.1431925385259088E-14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315.23521260143986</v>
      </c>
      <c r="EP189" s="62">
        <f t="shared" si="154"/>
        <v>439.11021845472641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-1.9065282685915009E-13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302.20483575440988</v>
      </c>
      <c r="T190" s="62">
        <f t="shared" si="142"/>
        <v>275.32862097158687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0.28657650217870756</v>
      </c>
      <c r="AB190" s="23">
        <f>EXP(-LN(2)/2)*AB189+(1-EXP(-LN(2)/2))/(LN(2)/2)*V190*Y190*VLOOKUP('Données projet'!$B$9,Paramètres!$A$1:$I$89,3,0)*0.475*44/12</f>
        <v>2.5754025579083661E-23</v>
      </c>
      <c r="AC190" s="24">
        <f t="shared" si="163"/>
        <v>0.28657650217870756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-4.5474735088646412E-13</v>
      </c>
      <c r="AJ190" s="14">
        <f>AI190*VLOOKUP('Données projet'!$B$10,Paramètres!$A$1:$I$89,3,0)*VLOOKUP('Données projet'!$B$10,Paramètres!$A$1:$I$89,5,0)</f>
        <v>-4.1145540308207271E-13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384.44848355636935</v>
      </c>
      <c r="AO190" s="62">
        <f t="shared" si="144"/>
        <v>203.5274665601915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-4.5474735088646412E-13</v>
      </c>
      <c r="BE190" s="14">
        <f>BD190*VLOOKUP('Données projet'!$B$11,Paramètres!$A$1:$I$89,3,0)*VLOOKUP('Données projet'!$B$11,Paramètres!$A$1:$I$89,5,0)</f>
        <v>-4.6111381379887462E-13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440.60698566758532</v>
      </c>
      <c r="BJ190" s="62">
        <f t="shared" si="146"/>
        <v>231.92898690465887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287.29865338866551</v>
      </c>
      <c r="CE190" s="62">
        <f t="shared" si="148"/>
        <v>217.57508587672368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0.14097016086559641</v>
      </c>
      <c r="CM190" s="23">
        <f>EXP(-LN(2)/2)*CM189+(1-EXP(-LN(2)/2))/(LN(2)/2)*CG190*CJ190*VLOOKUP('Données projet'!$B$12,Paramètres!$A$1:$I$89,3,0)*0.475*44/12</f>
        <v>3.0101984922527306E-23</v>
      </c>
      <c r="CN190" s="24">
        <f t="shared" si="172"/>
        <v>0.14097016086559641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175.05987582828078</v>
      </c>
      <c r="CZ190" s="62">
        <f t="shared" si="150"/>
        <v>268.54782308462387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0.11685576356661749</v>
      </c>
      <c r="DH190" s="23">
        <f>EXP(-LN(2)/2)*DH189+(1-EXP(-LN(2)/2))/(LN(2)/2)*DB190*DE190*VLOOKUP('Données projet'!$B$13,Paramètres!$A$1:$I$89,3,0)*0.475*44/12</f>
        <v>2.9593766444169147E-23</v>
      </c>
      <c r="DI190" s="24">
        <f t="shared" si="175"/>
        <v>0.11685576356661749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-5.6843418860808015E-14</v>
      </c>
      <c r="DP190" s="18">
        <f>DO190*VLOOKUP('Données projet'!$B$14,Paramètres!$A$1:$I$89,3,0)*VLOOKUP('Données projet'!$B$14,Paramètres!$A$1:$I$89,5,0)</f>
        <v>-3.2514435588382188E-14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228.06050741667258</v>
      </c>
      <c r="DU190" s="62">
        <f t="shared" si="152"/>
        <v>191.94885821983536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0.24196567794631343</v>
      </c>
      <c r="EC190" s="23">
        <f>EXP(-LN(2)/2)*EC189+(1-EXP(-LN(2)/2))/(LN(2)/2)*DW190*DZ190*VLOOKUP('Données projet'!$B$14,Paramètres!$A$1:$I$89,3,0)*0.475*44/12</f>
        <v>2.4008589294364467E-22</v>
      </c>
      <c r="ED190" s="24">
        <f t="shared" si="178"/>
        <v>0.24196567794631343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-5.6843418860808015E-14</v>
      </c>
      <c r="EK190" s="18">
        <f>EJ190*VLOOKUP('Données projet'!$B$15,Paramètres!$A$1:$I$89,3,0)*VLOOKUP('Données projet'!$B$15,Paramètres!$A$1:$I$89,5,0)</f>
        <v>-5.1431925385259088E-14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315.23521260143986</v>
      </c>
      <c r="EP190" s="62">
        <f t="shared" si="154"/>
        <v>439.11021845472641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-1.9065282685915009E-13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302.20483575440988</v>
      </c>
      <c r="T191" s="62">
        <f t="shared" si="142"/>
        <v>275.32862097158687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0.27874005265622753</v>
      </c>
      <c r="AB191" s="23">
        <f>EXP(-LN(2)/2)*AB190+(1-EXP(-LN(2)/2))/(LN(2)/2)*V191*Y191*VLOOKUP('Données projet'!$B$9,Paramètres!$A$1:$I$89,3,0)*0.475*44/12</f>
        <v>1.8210846129821859E-23</v>
      </c>
      <c r="AC191" s="24">
        <f t="shared" si="163"/>
        <v>0.27874005265622753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-4.5474735088646412E-13</v>
      </c>
      <c r="AJ191" s="14">
        <f>AI191*VLOOKUP('Données projet'!$B$10,Paramètres!$A$1:$I$89,3,0)*VLOOKUP('Données projet'!$B$10,Paramètres!$A$1:$I$89,5,0)</f>
        <v>-4.1145540308207271E-13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384.44848355636935</v>
      </c>
      <c r="AO191" s="62">
        <f t="shared" si="144"/>
        <v>203.5274665601915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-4.5474735088646412E-13</v>
      </c>
      <c r="BE191" s="14">
        <f>BD191*VLOOKUP('Données projet'!$B$11,Paramètres!$A$1:$I$89,3,0)*VLOOKUP('Données projet'!$B$11,Paramètres!$A$1:$I$89,5,0)</f>
        <v>-4.6111381379887462E-13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440.60698566758532</v>
      </c>
      <c r="BJ191" s="62">
        <f t="shared" si="146"/>
        <v>231.92898690465887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287.29865338866551</v>
      </c>
      <c r="CE191" s="62">
        <f t="shared" si="148"/>
        <v>217.57508587672368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0.13711532440342811</v>
      </c>
      <c r="CM191" s="23">
        <f>EXP(-LN(2)/2)*CM190+(1-EXP(-LN(2)/2))/(LN(2)/2)*CG191*CJ191*VLOOKUP('Données projet'!$B$12,Paramètres!$A$1:$I$89,3,0)*0.475*44/12</f>
        <v>2.1285317665894269E-23</v>
      </c>
      <c r="CN191" s="24">
        <f t="shared" si="172"/>
        <v>0.13711532440342811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175.05987582828078</v>
      </c>
      <c r="CZ191" s="62">
        <f t="shared" si="150"/>
        <v>268.54782308462387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0.1136603365667108</v>
      </c>
      <c r="DH191" s="23">
        <f>EXP(-LN(2)/2)*DH190+(1-EXP(-LN(2)/2))/(LN(2)/2)*DB191*DE191*VLOOKUP('Données projet'!$B$13,Paramètres!$A$1:$I$89,3,0)*0.475*44/12</f>
        <v>2.0925952933522906E-23</v>
      </c>
      <c r="DI191" s="24">
        <f t="shared" si="175"/>
        <v>0.1136603365667108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-5.6843418860808015E-14</v>
      </c>
      <c r="DP191" s="18">
        <f>DO191*VLOOKUP('Données projet'!$B$14,Paramètres!$A$1:$I$89,3,0)*VLOOKUP('Données projet'!$B$14,Paramètres!$A$1:$I$89,5,0)</f>
        <v>-3.2514435588382188E-14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228.06050741667258</v>
      </c>
      <c r="DU191" s="62">
        <f t="shared" si="152"/>
        <v>191.94885821983536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0.23534911375844952</v>
      </c>
      <c r="EC191" s="23">
        <f>EXP(-LN(2)/2)*EC190+(1-EXP(-LN(2)/2))/(LN(2)/2)*DW191*DZ191*VLOOKUP('Données projet'!$B$14,Paramètres!$A$1:$I$89,3,0)*0.475*44/12</f>
        <v>1.6976636296767863E-22</v>
      </c>
      <c r="ED191" s="24">
        <f t="shared" si="178"/>
        <v>0.23534911375844952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-5.6843418860808015E-14</v>
      </c>
      <c r="EK191" s="18">
        <f>EJ191*VLOOKUP('Données projet'!$B$15,Paramètres!$A$1:$I$89,3,0)*VLOOKUP('Données projet'!$B$15,Paramètres!$A$1:$I$89,5,0)</f>
        <v>-5.1431925385259088E-14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315.23521260143986</v>
      </c>
      <c r="EP191" s="62">
        <f t="shared" si="154"/>
        <v>439.11021845472641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-1.9065282685915009E-13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302.20483575440988</v>
      </c>
      <c r="T192" s="62">
        <f t="shared" si="142"/>
        <v>275.32862097158687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0.2711178912580407</v>
      </c>
      <c r="AB192" s="23">
        <f>EXP(-LN(2)/2)*AB191+(1-EXP(-LN(2)/2))/(LN(2)/2)*V192*Y192*VLOOKUP('Données projet'!$B$9,Paramètres!$A$1:$I$89,3,0)*0.475*44/12</f>
        <v>1.2877012789541832E-23</v>
      </c>
      <c r="AC192" s="24">
        <f t="shared" si="163"/>
        <v>0.2711178912580407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-4.5474735088646412E-13</v>
      </c>
      <c r="AJ192" s="14">
        <f>AI192*VLOOKUP('Données projet'!$B$10,Paramètres!$A$1:$I$89,3,0)*VLOOKUP('Données projet'!$B$10,Paramètres!$A$1:$I$89,5,0)</f>
        <v>-4.1145540308207271E-13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384.44848355636935</v>
      </c>
      <c r="AO192" s="62">
        <f t="shared" si="144"/>
        <v>203.5274665601915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-4.5474735088646412E-13</v>
      </c>
      <c r="BE192" s="14">
        <f>BD192*VLOOKUP('Données projet'!$B$11,Paramètres!$A$1:$I$89,3,0)*VLOOKUP('Données projet'!$B$11,Paramètres!$A$1:$I$89,5,0)</f>
        <v>-4.6111381379887462E-13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440.60698566758532</v>
      </c>
      <c r="BJ192" s="62">
        <f t="shared" si="146"/>
        <v>231.92898690465887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287.29865338866551</v>
      </c>
      <c r="CE192" s="62">
        <f t="shared" si="148"/>
        <v>217.57508587672368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0.13336589864703483</v>
      </c>
      <c r="CM192" s="23">
        <f>EXP(-LN(2)/2)*CM191+(1-EXP(-LN(2)/2))/(LN(2)/2)*CG192*CJ192*VLOOKUP('Données projet'!$B$12,Paramètres!$A$1:$I$89,3,0)*0.475*44/12</f>
        <v>1.5050992461263653E-23</v>
      </c>
      <c r="CN192" s="24">
        <f t="shared" si="172"/>
        <v>0.13336589864703483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175.05987582828078</v>
      </c>
      <c r="CZ192" s="62">
        <f t="shared" si="150"/>
        <v>268.54782308462387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0.11055228868615677</v>
      </c>
      <c r="DH192" s="23">
        <f>EXP(-LN(2)/2)*DH191+(1-EXP(-LN(2)/2))/(LN(2)/2)*DB192*DE192*VLOOKUP('Données projet'!$B$13,Paramètres!$A$1:$I$89,3,0)*0.475*44/12</f>
        <v>1.4796883222084573E-23</v>
      </c>
      <c r="DI192" s="24">
        <f t="shared" si="175"/>
        <v>0.11055228868615677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-5.6843418860808015E-14</v>
      </c>
      <c r="DP192" s="18">
        <f>DO192*VLOOKUP('Données projet'!$B$14,Paramètres!$A$1:$I$89,3,0)*VLOOKUP('Données projet'!$B$14,Paramètres!$A$1:$I$89,5,0)</f>
        <v>-3.2514435588382188E-14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228.06050741667258</v>
      </c>
      <c r="DU192" s="62">
        <f t="shared" si="152"/>
        <v>191.94885821983536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0.22891347986625274</v>
      </c>
      <c r="EC192" s="23">
        <f>EXP(-LN(2)/2)*EC191+(1-EXP(-LN(2)/2))/(LN(2)/2)*DW192*DZ192*VLOOKUP('Données projet'!$B$14,Paramètres!$A$1:$I$89,3,0)*0.475*44/12</f>
        <v>1.2004294647182234E-22</v>
      </c>
      <c r="ED192" s="24">
        <f t="shared" si="178"/>
        <v>0.22891347986625274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-5.6843418860808015E-14</v>
      </c>
      <c r="EK192" s="18">
        <f>EJ192*VLOOKUP('Données projet'!$B$15,Paramètres!$A$1:$I$89,3,0)*VLOOKUP('Données projet'!$B$15,Paramètres!$A$1:$I$89,5,0)</f>
        <v>-5.1431925385259088E-14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315.23521260143986</v>
      </c>
      <c r="EP192" s="62">
        <f t="shared" si="154"/>
        <v>439.11021845472641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-1.9065282685915009E-13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302.20483575440988</v>
      </c>
      <c r="T193" s="62">
        <f t="shared" si="142"/>
        <v>275.32862097158687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0.2637041582641193</v>
      </c>
      <c r="AB193" s="23">
        <f>EXP(-LN(2)/2)*AB192+(1-EXP(-LN(2)/2))/(LN(2)/2)*V193*Y193*VLOOKUP('Données projet'!$B$9,Paramètres!$A$1:$I$89,3,0)*0.475*44/12</f>
        <v>9.105423064910931E-24</v>
      </c>
      <c r="AC193" s="24">
        <f t="shared" si="163"/>
        <v>0.2637041582641193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-4.5474735088646412E-13</v>
      </c>
      <c r="AJ193" s="14">
        <f>AI193*VLOOKUP('Données projet'!$B$10,Paramètres!$A$1:$I$89,3,0)*VLOOKUP('Données projet'!$B$10,Paramètres!$A$1:$I$89,5,0)</f>
        <v>-4.1145540308207271E-13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384.44848355636935</v>
      </c>
      <c r="AO193" s="62">
        <f t="shared" si="144"/>
        <v>203.5274665601915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-4.5474735088646412E-13</v>
      </c>
      <c r="BE193" s="14">
        <f>BD193*VLOOKUP('Données projet'!$B$11,Paramètres!$A$1:$I$89,3,0)*VLOOKUP('Données projet'!$B$11,Paramètres!$A$1:$I$89,5,0)</f>
        <v>-4.6111381379887462E-13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440.60698566758532</v>
      </c>
      <c r="BJ193" s="62">
        <f t="shared" si="146"/>
        <v>231.92898690465887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287.29865338866551</v>
      </c>
      <c r="CE193" s="62">
        <f t="shared" si="148"/>
        <v>217.57508587672368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0.12971900113512386</v>
      </c>
      <c r="CM193" s="23">
        <f>EXP(-LN(2)/2)*CM192+(1-EXP(-LN(2)/2))/(LN(2)/2)*CG193*CJ193*VLOOKUP('Données projet'!$B$12,Paramètres!$A$1:$I$89,3,0)*0.475*44/12</f>
        <v>1.0642658832947134E-23</v>
      </c>
      <c r="CN193" s="24">
        <f t="shared" si="172"/>
        <v>0.12971900113512386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175.05987582828078</v>
      </c>
      <c r="CZ193" s="62">
        <f t="shared" si="150"/>
        <v>268.54782308462387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0.10752923053834162</v>
      </c>
      <c r="DH193" s="23">
        <f>EXP(-LN(2)/2)*DH192+(1-EXP(-LN(2)/2))/(LN(2)/2)*DB193*DE193*VLOOKUP('Données projet'!$B$13,Paramètres!$A$1:$I$89,3,0)*0.475*44/12</f>
        <v>1.0462976466761453E-23</v>
      </c>
      <c r="DI193" s="24">
        <f t="shared" si="175"/>
        <v>0.10752923053834162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-5.6843418860808015E-14</v>
      </c>
      <c r="DP193" s="18">
        <f>DO193*VLOOKUP('Données projet'!$B$14,Paramètres!$A$1:$I$89,3,0)*VLOOKUP('Données projet'!$B$14,Paramètres!$A$1:$I$89,5,0)</f>
        <v>-3.2514435588382188E-14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228.06050741667258</v>
      </c>
      <c r="DU193" s="62">
        <f t="shared" si="152"/>
        <v>191.94885821983536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0.22265382872127334</v>
      </c>
      <c r="EC193" s="23">
        <f>EXP(-LN(2)/2)*EC192+(1-EXP(-LN(2)/2))/(LN(2)/2)*DW193*DZ193*VLOOKUP('Données projet'!$B$14,Paramètres!$A$1:$I$89,3,0)*0.475*44/12</f>
        <v>8.4883181483839316E-23</v>
      </c>
      <c r="ED193" s="24">
        <f t="shared" si="178"/>
        <v>0.22265382872127334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-5.6843418860808015E-14</v>
      </c>
      <c r="EK193" s="18">
        <f>EJ193*VLOOKUP('Données projet'!$B$15,Paramètres!$A$1:$I$89,3,0)*VLOOKUP('Données projet'!$B$15,Paramètres!$A$1:$I$89,5,0)</f>
        <v>-5.1431925385259088E-14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315.23521260143986</v>
      </c>
      <c r="EP193" s="62">
        <f t="shared" si="154"/>
        <v>439.11021845472641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-1.9065282685915009E-13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302.20483575440988</v>
      </c>
      <c r="T194" s="62">
        <f t="shared" si="142"/>
        <v>275.32862097158687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0.25649315418878799</v>
      </c>
      <c r="AB194" s="23">
        <f>EXP(-LN(2)/2)*AB193+(1-EXP(-LN(2)/2))/(LN(2)/2)*V194*Y194*VLOOKUP('Données projet'!$B$9,Paramètres!$A$1:$I$89,3,0)*0.475*44/12</f>
        <v>6.4385063947709167E-24</v>
      </c>
      <c r="AC194" s="24">
        <f t="shared" si="163"/>
        <v>0.25649315418878799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-4.5474735088646412E-13</v>
      </c>
      <c r="AJ194" s="14">
        <f>AI194*VLOOKUP('Données projet'!$B$10,Paramètres!$A$1:$I$89,3,0)*VLOOKUP('Données projet'!$B$10,Paramètres!$A$1:$I$89,5,0)</f>
        <v>-4.1145540308207271E-13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384.44848355636935</v>
      </c>
      <c r="AO194" s="62">
        <f t="shared" si="144"/>
        <v>203.5274665601915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-4.5474735088646412E-13</v>
      </c>
      <c r="BE194" s="14">
        <f>BD194*VLOOKUP('Données projet'!$B$11,Paramètres!$A$1:$I$89,3,0)*VLOOKUP('Données projet'!$B$11,Paramètres!$A$1:$I$89,5,0)</f>
        <v>-4.6111381379887462E-13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440.60698566758532</v>
      </c>
      <c r="BJ194" s="62">
        <f t="shared" si="146"/>
        <v>231.92898690465887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287.29865338866551</v>
      </c>
      <c r="CE194" s="62">
        <f t="shared" si="148"/>
        <v>217.57508587672368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0.12617182822745809</v>
      </c>
      <c r="CM194" s="23">
        <f>EXP(-LN(2)/2)*CM193+(1-EXP(-LN(2)/2))/(LN(2)/2)*CG194*CJ194*VLOOKUP('Données projet'!$B$12,Paramètres!$A$1:$I$89,3,0)*0.475*44/12</f>
        <v>7.5254962306318264E-24</v>
      </c>
      <c r="CN194" s="24">
        <f t="shared" si="172"/>
        <v>0.12617182822745809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175.05987582828078</v>
      </c>
      <c r="CZ194" s="62">
        <f t="shared" si="150"/>
        <v>268.54782308462387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0.1045888380745542</v>
      </c>
      <c r="DH194" s="23">
        <f>EXP(-LN(2)/2)*DH193+(1-EXP(-LN(2)/2))/(LN(2)/2)*DB194*DE194*VLOOKUP('Données projet'!$B$13,Paramètres!$A$1:$I$89,3,0)*0.475*44/12</f>
        <v>7.3984416110422867E-24</v>
      </c>
      <c r="DI194" s="24">
        <f t="shared" si="175"/>
        <v>0.1045888380745542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-5.6843418860808015E-14</v>
      </c>
      <c r="DP194" s="18">
        <f>DO194*VLOOKUP('Données projet'!$B$14,Paramètres!$A$1:$I$89,3,0)*VLOOKUP('Données projet'!$B$14,Paramètres!$A$1:$I$89,5,0)</f>
        <v>-3.2514435588382188E-14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228.06050741667258</v>
      </c>
      <c r="DU194" s="62">
        <f t="shared" si="152"/>
        <v>191.94885821983536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0.21656534806603414</v>
      </c>
      <c r="EC194" s="23">
        <f>EXP(-LN(2)/2)*EC193+(1-EXP(-LN(2)/2))/(LN(2)/2)*DW194*DZ194*VLOOKUP('Données projet'!$B$14,Paramètres!$A$1:$I$89,3,0)*0.475*44/12</f>
        <v>6.0021473235911169E-23</v>
      </c>
      <c r="ED194" s="24">
        <f t="shared" si="178"/>
        <v>0.21656534806603414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-5.6843418860808015E-14</v>
      </c>
      <c r="EK194" s="18">
        <f>EJ194*VLOOKUP('Données projet'!$B$15,Paramètres!$A$1:$I$89,3,0)*VLOOKUP('Données projet'!$B$15,Paramètres!$A$1:$I$89,5,0)</f>
        <v>-5.1431925385259088E-14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315.23521260143986</v>
      </c>
      <c r="EP194" s="62">
        <f t="shared" si="154"/>
        <v>439.11021845472641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-1.9065282685915009E-13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302.20483575440988</v>
      </c>
      <c r="T195" s="62">
        <f t="shared" si="142"/>
        <v>275.32862097158687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0.24947933539910683</v>
      </c>
      <c r="AB195" s="23">
        <f>EXP(-LN(2)/2)*AB194+(1-EXP(-LN(2)/2))/(LN(2)/2)*V195*Y195*VLOOKUP('Données projet'!$B$9,Paramètres!$A$1:$I$89,3,0)*0.475*44/12</f>
        <v>4.5527115324554662E-24</v>
      </c>
      <c r="AC195" s="24">
        <f t="shared" si="163"/>
        <v>0.24947933539910683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-4.5474735088646412E-13</v>
      </c>
      <c r="AJ195" s="14">
        <f>AI195*VLOOKUP('Données projet'!$B$10,Paramètres!$A$1:$I$89,3,0)*VLOOKUP('Données projet'!$B$10,Paramètres!$A$1:$I$89,5,0)</f>
        <v>-4.1145540308207271E-13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384.44848355636935</v>
      </c>
      <c r="AO195" s="62">
        <f t="shared" si="144"/>
        <v>203.5274665601915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-4.5474735088646412E-13</v>
      </c>
      <c r="BE195" s="14">
        <f>BD195*VLOOKUP('Données projet'!$B$11,Paramètres!$A$1:$I$89,3,0)*VLOOKUP('Données projet'!$B$11,Paramètres!$A$1:$I$89,5,0)</f>
        <v>-4.6111381379887462E-13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440.60698566758532</v>
      </c>
      <c r="BJ195" s="62">
        <f t="shared" si="146"/>
        <v>231.92898690465887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287.29865338866551</v>
      </c>
      <c r="CE195" s="62">
        <f t="shared" si="148"/>
        <v>217.57508587672368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0.12272165294949018</v>
      </c>
      <c r="CM195" s="23">
        <f>EXP(-LN(2)/2)*CM194+(1-EXP(-LN(2)/2))/(LN(2)/2)*CG195*CJ195*VLOOKUP('Données projet'!$B$12,Paramètres!$A$1:$I$89,3,0)*0.475*44/12</f>
        <v>5.3213294164735672E-24</v>
      </c>
      <c r="CN195" s="24">
        <f t="shared" si="172"/>
        <v>0.12272165294949018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175.05987582828078</v>
      </c>
      <c r="CZ195" s="62">
        <f t="shared" si="150"/>
        <v>268.54782308462387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0.10172885079731755</v>
      </c>
      <c r="DH195" s="23">
        <f>EXP(-LN(2)/2)*DH194+(1-EXP(-LN(2)/2))/(LN(2)/2)*DB195*DE195*VLOOKUP('Données projet'!$B$13,Paramètres!$A$1:$I$89,3,0)*0.475*44/12</f>
        <v>5.2314882333807264E-24</v>
      </c>
      <c r="DI195" s="24">
        <f t="shared" si="175"/>
        <v>0.10172885079731755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-5.6843418860808015E-14</v>
      </c>
      <c r="DP195" s="18">
        <f>DO195*VLOOKUP('Données projet'!$B$14,Paramètres!$A$1:$I$89,3,0)*VLOOKUP('Données projet'!$B$14,Paramètres!$A$1:$I$89,5,0)</f>
        <v>-3.2514435588382188E-14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228.06050741667258</v>
      </c>
      <c r="DU195" s="62">
        <f t="shared" si="152"/>
        <v>191.94885821983536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0.21064335723449176</v>
      </c>
      <c r="EC195" s="23">
        <f>EXP(-LN(2)/2)*EC194+(1-EXP(-LN(2)/2))/(LN(2)/2)*DW195*DZ195*VLOOKUP('Données projet'!$B$14,Paramètres!$A$1:$I$89,3,0)*0.475*44/12</f>
        <v>4.2441590741919658E-23</v>
      </c>
      <c r="ED195" s="24">
        <f t="shared" si="178"/>
        <v>0.21064335723449176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-5.6843418860808015E-14</v>
      </c>
      <c r="EK195" s="18">
        <f>EJ195*VLOOKUP('Données projet'!$B$15,Paramètres!$A$1:$I$89,3,0)*VLOOKUP('Données projet'!$B$15,Paramètres!$A$1:$I$89,5,0)</f>
        <v>-5.1431925385259088E-14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315.23521260143986</v>
      </c>
      <c r="EP195" s="62">
        <f t="shared" si="154"/>
        <v>439.11021845472641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-1.9065282685915009E-13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302.20483575440988</v>
      </c>
      <c r="T196" s="62">
        <f t="shared" si="142"/>
        <v>275.32862097158687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0.24265730985307019</v>
      </c>
      <c r="AB196" s="23">
        <f>EXP(-LN(2)/2)*AB195+(1-EXP(-LN(2)/2))/(LN(2)/2)*V196*Y196*VLOOKUP('Données projet'!$B$9,Paramètres!$A$1:$I$89,3,0)*0.475*44/12</f>
        <v>3.2192531973854591E-24</v>
      </c>
      <c r="AC196" s="24">
        <f t="shared" si="163"/>
        <v>0.24265730985307019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-4.5474735088646412E-13</v>
      </c>
      <c r="AJ196" s="14">
        <f>AI196*VLOOKUP('Données projet'!$B$10,Paramètres!$A$1:$I$89,3,0)*VLOOKUP('Données projet'!$B$10,Paramètres!$A$1:$I$89,5,0)</f>
        <v>-4.1145540308207271E-13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384.44848355636935</v>
      </c>
      <c r="AO196" s="62">
        <f t="shared" si="144"/>
        <v>203.5274665601915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-4.5474735088646412E-13</v>
      </c>
      <c r="BE196" s="14">
        <f>BD196*VLOOKUP('Données projet'!$B$11,Paramètres!$A$1:$I$89,3,0)*VLOOKUP('Données projet'!$B$11,Paramètres!$A$1:$I$89,5,0)</f>
        <v>-4.6111381379887462E-13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440.60698566758532</v>
      </c>
      <c r="BJ196" s="62">
        <f t="shared" si="146"/>
        <v>231.92898690465887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287.29865338866551</v>
      </c>
      <c r="CE196" s="62">
        <f t="shared" si="148"/>
        <v>217.57508587672368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0.11936582289593513</v>
      </c>
      <c r="CM196" s="23">
        <f>EXP(-LN(2)/2)*CM195+(1-EXP(-LN(2)/2))/(LN(2)/2)*CG196*CJ196*VLOOKUP('Données projet'!$B$12,Paramètres!$A$1:$I$89,3,0)*0.475*44/12</f>
        <v>3.7627481153159132E-24</v>
      </c>
      <c r="CN196" s="24">
        <f t="shared" si="172"/>
        <v>0.11936582289593513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175.05987582828078</v>
      </c>
      <c r="CZ196" s="62">
        <f t="shared" si="150"/>
        <v>268.54782308462387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9.8947070022577147E-2</v>
      </c>
      <c r="DH196" s="23">
        <f>EXP(-LN(2)/2)*DH195+(1-EXP(-LN(2)/2))/(LN(2)/2)*DB196*DE196*VLOOKUP('Données projet'!$B$13,Paramètres!$A$1:$I$89,3,0)*0.475*44/12</f>
        <v>3.6992208055211434E-24</v>
      </c>
      <c r="DI196" s="24">
        <f t="shared" si="175"/>
        <v>9.8947070022577147E-2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-5.6843418860808015E-14</v>
      </c>
      <c r="DP196" s="18">
        <f>DO196*VLOOKUP('Données projet'!$B$14,Paramètres!$A$1:$I$89,3,0)*VLOOKUP('Données projet'!$B$14,Paramètres!$A$1:$I$89,5,0)</f>
        <v>-3.2514435588382188E-14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228.06050741667258</v>
      </c>
      <c r="DU196" s="62">
        <f t="shared" si="152"/>
        <v>191.94885821983536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0.20488330355366186</v>
      </c>
      <c r="EC196" s="23">
        <f>EXP(-LN(2)/2)*EC195+(1-EXP(-LN(2)/2))/(LN(2)/2)*DW196*DZ196*VLOOKUP('Données projet'!$B$14,Paramètres!$A$1:$I$89,3,0)*0.475*44/12</f>
        <v>3.0010736617955584E-23</v>
      </c>
      <c r="ED196" s="24">
        <f t="shared" si="178"/>
        <v>0.20488330355366186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-5.6843418860808015E-14</v>
      </c>
      <c r="EK196" s="18">
        <f>EJ196*VLOOKUP('Données projet'!$B$15,Paramètres!$A$1:$I$89,3,0)*VLOOKUP('Données projet'!$B$15,Paramètres!$A$1:$I$89,5,0)</f>
        <v>-5.1431925385259088E-14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315.23521260143986</v>
      </c>
      <c r="EP196" s="62">
        <f t="shared" si="154"/>
        <v>439.11021845472641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-1.9065282685915009E-13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302.20483575440988</v>
      </c>
      <c r="T197" s="62">
        <f t="shared" ref="T197:T203" si="204">$T$3</f>
        <v>275.32862097158687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0.23602183295434465</v>
      </c>
      <c r="AB197" s="23">
        <f>EXP(-LN(2)/2)*AB196+(1-EXP(-LN(2)/2))/(LN(2)/2)*V197*Y197*VLOOKUP('Données projet'!$B$9,Paramètres!$A$1:$I$89,3,0)*0.475*44/12</f>
        <v>2.2763557662277335E-24</v>
      </c>
      <c r="AC197" s="24">
        <f t="shared" si="163"/>
        <v>0.23602183295434465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-4.5474735088646412E-13</v>
      </c>
      <c r="AJ197" s="14">
        <f>AI197*VLOOKUP('Données projet'!$B$10,Paramètres!$A$1:$I$89,3,0)*VLOOKUP('Données projet'!$B$10,Paramètres!$A$1:$I$89,5,0)</f>
        <v>-4.1145540308207271E-13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384.44848355636935</v>
      </c>
      <c r="AO197" s="62">
        <f t="shared" ref="AO197:AO203" si="205">$AO$3</f>
        <v>203.5274665601915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-4.5474735088646412E-13</v>
      </c>
      <c r="BE197" s="14">
        <f>BD197*VLOOKUP('Données projet'!$B$11,Paramètres!$A$1:$I$89,3,0)*VLOOKUP('Données projet'!$B$11,Paramètres!$A$1:$I$89,5,0)</f>
        <v>-4.6111381379887462E-13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440.60698566758532</v>
      </c>
      <c r="BJ197" s="62">
        <f t="shared" ref="BJ197:BJ203" si="206">$BJ$3</f>
        <v>231.92898690465887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287.29865338866551</v>
      </c>
      <c r="CE197" s="62">
        <f t="shared" ref="CE197:CE203" si="207">$CE$3</f>
        <v>217.57508587672368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0.11610175819166997</v>
      </c>
      <c r="CM197" s="23">
        <f>EXP(-LN(2)/2)*CM196+(1-EXP(-LN(2)/2))/(LN(2)/2)*CG197*CJ197*VLOOKUP('Données projet'!$B$12,Paramètres!$A$1:$I$89,3,0)*0.475*44/12</f>
        <v>2.6606647082367836E-24</v>
      </c>
      <c r="CN197" s="24">
        <f t="shared" si="172"/>
        <v>0.11610175819166997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175.05987582828078</v>
      </c>
      <c r="CZ197" s="62">
        <f t="shared" ref="CZ197:CZ203" si="208">$CZ$3</f>
        <v>268.54782308462387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9.6241357189409515E-2</v>
      </c>
      <c r="DH197" s="23">
        <f>EXP(-LN(2)/2)*DH196+(1-EXP(-LN(2)/2))/(LN(2)/2)*DB197*DE197*VLOOKUP('Données projet'!$B$13,Paramètres!$A$1:$I$89,3,0)*0.475*44/12</f>
        <v>2.6157441166903632E-24</v>
      </c>
      <c r="DI197" s="24">
        <f t="shared" si="175"/>
        <v>9.6241357189409515E-2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-5.6843418860808015E-14</v>
      </c>
      <c r="DP197" s="18">
        <f>DO197*VLOOKUP('Données projet'!$B$14,Paramètres!$A$1:$I$89,3,0)*VLOOKUP('Données projet'!$B$14,Paramètres!$A$1:$I$89,5,0)</f>
        <v>-3.2514435588382188E-14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228.06050741667258</v>
      </c>
      <c r="DU197" s="62">
        <f t="shared" ref="DU197:DU203" si="209">$DU$3</f>
        <v>191.94885821983536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0.1992807588436423</v>
      </c>
      <c r="EC197" s="23">
        <f>EXP(-LN(2)/2)*EC196+(1-EXP(-LN(2)/2))/(LN(2)/2)*DW197*DZ197*VLOOKUP('Données projet'!$B$14,Paramètres!$A$1:$I$89,3,0)*0.475*44/12</f>
        <v>2.1220795370959829E-23</v>
      </c>
      <c r="ED197" s="24">
        <f t="shared" si="178"/>
        <v>0.1992807588436423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-5.6843418860808015E-14</v>
      </c>
      <c r="EK197" s="18">
        <f>EJ197*VLOOKUP('Données projet'!$B$15,Paramètres!$A$1:$I$89,3,0)*VLOOKUP('Données projet'!$B$15,Paramètres!$A$1:$I$89,5,0)</f>
        <v>-5.1431925385259088E-14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315.23521260143986</v>
      </c>
      <c r="EP197" s="62">
        <f t="shared" ref="EP197:EP203" si="210">$EP$3</f>
        <v>439.11021845472641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-1.9065282685915009E-13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302.20483575440988</v>
      </c>
      <c r="T198" s="62">
        <f t="shared" si="204"/>
        <v>275.32862097158687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0.22956780352035933</v>
      </c>
      <c r="AB198" s="23">
        <f>EXP(-LN(2)/2)*AB197+(1-EXP(-LN(2)/2))/(LN(2)/2)*V198*Y198*VLOOKUP('Données projet'!$B$9,Paramètres!$A$1:$I$89,3,0)*0.475*44/12</f>
        <v>1.6096265986927297E-24</v>
      </c>
      <c r="AC198" s="24">
        <f t="shared" si="163"/>
        <v>0.22956780352035933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-4.5474735088646412E-13</v>
      </c>
      <c r="AJ198" s="14">
        <f>AI198*VLOOKUP('Données projet'!$B$10,Paramètres!$A$1:$I$89,3,0)*VLOOKUP('Données projet'!$B$10,Paramètres!$A$1:$I$89,5,0)</f>
        <v>-4.1145540308207271E-13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384.44848355636935</v>
      </c>
      <c r="AO198" s="62">
        <f t="shared" si="205"/>
        <v>203.5274665601915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-4.5474735088646412E-13</v>
      </c>
      <c r="BE198" s="14">
        <f>BD198*VLOOKUP('Données projet'!$B$11,Paramètres!$A$1:$I$89,3,0)*VLOOKUP('Données projet'!$B$11,Paramètres!$A$1:$I$89,5,0)</f>
        <v>-4.6111381379887462E-13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440.60698566758532</v>
      </c>
      <c r="BJ198" s="62">
        <f t="shared" si="206"/>
        <v>231.92898690465887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287.29865338866551</v>
      </c>
      <c r="CE198" s="62">
        <f t="shared" si="207"/>
        <v>217.57508587672368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0.11292694950839265</v>
      </c>
      <c r="CM198" s="23">
        <f>EXP(-LN(2)/2)*CM197+(1-EXP(-LN(2)/2))/(LN(2)/2)*CG198*CJ198*VLOOKUP('Données projet'!$B$12,Paramètres!$A$1:$I$89,3,0)*0.475*44/12</f>
        <v>1.8813740576579566E-24</v>
      </c>
      <c r="CN198" s="24">
        <f t="shared" si="172"/>
        <v>0.11292694950839265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175.05987582828078</v>
      </c>
      <c r="CZ198" s="62">
        <f t="shared" si="208"/>
        <v>268.54782308462387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9.3609632215952102E-2</v>
      </c>
      <c r="DH198" s="23">
        <f>EXP(-LN(2)/2)*DH197+(1-EXP(-LN(2)/2))/(LN(2)/2)*DB198*DE198*VLOOKUP('Données projet'!$B$13,Paramètres!$A$1:$I$89,3,0)*0.475*44/12</f>
        <v>1.8496104027605717E-24</v>
      </c>
      <c r="DI198" s="24">
        <f t="shared" si="175"/>
        <v>9.3609632215952102E-2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-5.6843418860808015E-14</v>
      </c>
      <c r="DP198" s="18">
        <f>DO198*VLOOKUP('Données projet'!$B$14,Paramètres!$A$1:$I$89,3,0)*VLOOKUP('Données projet'!$B$14,Paramètres!$A$1:$I$89,5,0)</f>
        <v>-3.2514435588382188E-14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228.06050741667258</v>
      </c>
      <c r="DU198" s="62">
        <f t="shared" si="209"/>
        <v>191.94885821983536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0.19383141601334325</v>
      </c>
      <c r="EC198" s="23">
        <f>EXP(-LN(2)/2)*EC197+(1-EXP(-LN(2)/2))/(LN(2)/2)*DW198*DZ198*VLOOKUP('Données projet'!$B$14,Paramètres!$A$1:$I$89,3,0)*0.475*44/12</f>
        <v>1.5005368308977792E-23</v>
      </c>
      <c r="ED198" s="24">
        <f t="shared" si="178"/>
        <v>0.19383141601334325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-5.6843418860808015E-14</v>
      </c>
      <c r="EK198" s="18">
        <f>EJ198*VLOOKUP('Données projet'!$B$15,Paramètres!$A$1:$I$89,3,0)*VLOOKUP('Données projet'!$B$15,Paramètres!$A$1:$I$89,5,0)</f>
        <v>-5.1431925385259088E-14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315.23521260143986</v>
      </c>
      <c r="EP198" s="62">
        <f t="shared" si="210"/>
        <v>439.11021845472641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-1.9065282685915009E-13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302.20483575440988</v>
      </c>
      <c r="T199" s="62">
        <f t="shared" si="204"/>
        <v>275.32862097158687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0.22329025986064899</v>
      </c>
      <c r="AB199" s="23">
        <f>EXP(-LN(2)/2)*AB198+(1-EXP(-LN(2)/2))/(LN(2)/2)*V199*Y199*VLOOKUP('Données projet'!$B$9,Paramètres!$A$1:$I$89,3,0)*0.475*44/12</f>
        <v>1.1381778831138669E-24</v>
      </c>
      <c r="AC199" s="24">
        <f t="shared" si="163"/>
        <v>0.22329025986064899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-4.5474735088646412E-13</v>
      </c>
      <c r="AJ199" s="14">
        <f>AI199*VLOOKUP('Données projet'!$B$10,Paramètres!$A$1:$I$89,3,0)*VLOOKUP('Données projet'!$B$10,Paramètres!$A$1:$I$89,5,0)</f>
        <v>-4.1145540308207271E-13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384.44848355636935</v>
      </c>
      <c r="AO199" s="62">
        <f t="shared" si="205"/>
        <v>203.5274665601915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-4.5474735088646412E-13</v>
      </c>
      <c r="BE199" s="14">
        <f>BD199*VLOOKUP('Données projet'!$B$11,Paramètres!$A$1:$I$89,3,0)*VLOOKUP('Données projet'!$B$11,Paramètres!$A$1:$I$89,5,0)</f>
        <v>-4.6111381379887462E-13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440.60698566758532</v>
      </c>
      <c r="BJ199" s="62">
        <f t="shared" si="206"/>
        <v>231.92898690465887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287.29865338866551</v>
      </c>
      <c r="CE199" s="62">
        <f t="shared" si="207"/>
        <v>217.57508587672368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0.10983895613551548</v>
      </c>
      <c r="CM199" s="23">
        <f>EXP(-LN(2)/2)*CM198+(1-EXP(-LN(2)/2))/(LN(2)/2)*CG199*CJ199*VLOOKUP('Données projet'!$B$12,Paramètres!$A$1:$I$89,3,0)*0.475*44/12</f>
        <v>1.3303323541183918E-24</v>
      </c>
      <c r="CN199" s="24">
        <f t="shared" si="172"/>
        <v>0.10983895613551548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175.05987582828078</v>
      </c>
      <c r="CZ199" s="62">
        <f t="shared" si="208"/>
        <v>268.54782308462387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9.1049871900290277E-2</v>
      </c>
      <c r="DH199" s="23">
        <f>EXP(-LN(2)/2)*DH198+(1-EXP(-LN(2)/2))/(LN(2)/2)*DB199*DE199*VLOOKUP('Données projet'!$B$13,Paramètres!$A$1:$I$89,3,0)*0.475*44/12</f>
        <v>1.3078720583451816E-24</v>
      </c>
      <c r="DI199" s="24">
        <f t="shared" si="175"/>
        <v>9.1049871900290277E-2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-5.6843418860808015E-14</v>
      </c>
      <c r="DP199" s="18">
        <f>DO199*VLOOKUP('Données projet'!$B$14,Paramètres!$A$1:$I$89,3,0)*VLOOKUP('Données projet'!$B$14,Paramètres!$A$1:$I$89,5,0)</f>
        <v>-3.2514435588382188E-14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228.06050741667258</v>
      </c>
      <c r="DU199" s="62">
        <f t="shared" si="209"/>
        <v>191.94885821983536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0.18853108574930721</v>
      </c>
      <c r="EC199" s="23">
        <f>EXP(-LN(2)/2)*EC198+(1-EXP(-LN(2)/2))/(LN(2)/2)*DW199*DZ199*VLOOKUP('Données projet'!$B$14,Paramètres!$A$1:$I$89,3,0)*0.475*44/12</f>
        <v>1.0610397685479915E-23</v>
      </c>
      <c r="ED199" s="24">
        <f t="shared" si="178"/>
        <v>0.18853108574930721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-5.6843418860808015E-14</v>
      </c>
      <c r="EK199" s="18">
        <f>EJ199*VLOOKUP('Données projet'!$B$15,Paramètres!$A$1:$I$89,3,0)*VLOOKUP('Données projet'!$B$15,Paramètres!$A$1:$I$89,5,0)</f>
        <v>-5.1431925385259088E-14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315.23521260143986</v>
      </c>
      <c r="EP199" s="62">
        <f t="shared" si="210"/>
        <v>439.11021845472641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-1.9065282685915009E-13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302.20483575440988</v>
      </c>
      <c r="T200" s="62">
        <f t="shared" si="204"/>
        <v>275.32862097158687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0.21718437596243512</v>
      </c>
      <c r="AB200" s="23">
        <f>EXP(-LN(2)/2)*AB199+(1-EXP(-LN(2)/2))/(LN(2)/2)*V200*Y200*VLOOKUP('Données projet'!$B$9,Paramètres!$A$1:$I$89,3,0)*0.475*44/12</f>
        <v>8.0481329934636505E-25</v>
      </c>
      <c r="AC200" s="24">
        <f t="shared" si="163"/>
        <v>0.21718437596243512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-4.5474735088646412E-13</v>
      </c>
      <c r="AJ200" s="14">
        <f>AI200*VLOOKUP('Données projet'!$B$10,Paramètres!$A$1:$I$89,3,0)*VLOOKUP('Données projet'!$B$10,Paramètres!$A$1:$I$89,5,0)</f>
        <v>-4.1145540308207271E-13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384.44848355636935</v>
      </c>
      <c r="AO200" s="62">
        <f t="shared" si="205"/>
        <v>203.5274665601915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-4.5474735088646412E-13</v>
      </c>
      <c r="BE200" s="14">
        <f>BD200*VLOOKUP('Données projet'!$B$11,Paramètres!$A$1:$I$89,3,0)*VLOOKUP('Données projet'!$B$11,Paramètres!$A$1:$I$89,5,0)</f>
        <v>-4.6111381379887462E-13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440.60698566758532</v>
      </c>
      <c r="BJ200" s="62">
        <f t="shared" si="206"/>
        <v>231.92898690465887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287.29865338866551</v>
      </c>
      <c r="CE200" s="62">
        <f t="shared" si="207"/>
        <v>217.57508587672368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0.10683540410381014</v>
      </c>
      <c r="CM200" s="23">
        <f>EXP(-LN(2)/2)*CM199+(1-EXP(-LN(2)/2))/(LN(2)/2)*CG200*CJ200*VLOOKUP('Données projet'!$B$12,Paramètres!$A$1:$I$89,3,0)*0.475*44/12</f>
        <v>9.406870288289783E-25</v>
      </c>
      <c r="CN200" s="24">
        <f t="shared" si="172"/>
        <v>0.10683540410381014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175.05987582828078</v>
      </c>
      <c r="CZ200" s="62">
        <f t="shared" si="208"/>
        <v>268.54782308462387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8.8560108365072179E-2</v>
      </c>
      <c r="DH200" s="23">
        <f>EXP(-LN(2)/2)*DH199+(1-EXP(-LN(2)/2))/(LN(2)/2)*DB200*DE200*VLOOKUP('Données projet'!$B$13,Paramètres!$A$1:$I$89,3,0)*0.475*44/12</f>
        <v>9.2480520138028584E-25</v>
      </c>
      <c r="DI200" s="24">
        <f t="shared" si="175"/>
        <v>8.8560108365072179E-2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-5.6843418860808015E-14</v>
      </c>
      <c r="DP200" s="18">
        <f>DO200*VLOOKUP('Données projet'!$B$14,Paramètres!$A$1:$I$89,3,0)*VLOOKUP('Données projet'!$B$14,Paramètres!$A$1:$I$89,5,0)</f>
        <v>-3.2514435588382188E-14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228.06050741667258</v>
      </c>
      <c r="DU200" s="62">
        <f t="shared" si="209"/>
        <v>191.94885821983536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0.1833756932950735</v>
      </c>
      <c r="EC200" s="23">
        <f>EXP(-LN(2)/2)*EC199+(1-EXP(-LN(2)/2))/(LN(2)/2)*DW200*DZ200*VLOOKUP('Données projet'!$B$14,Paramètres!$A$1:$I$89,3,0)*0.475*44/12</f>
        <v>7.5026841544888961E-24</v>
      </c>
      <c r="ED200" s="24">
        <f t="shared" si="178"/>
        <v>0.1833756932950735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-5.6843418860808015E-14</v>
      </c>
      <c r="EK200" s="18">
        <f>EJ200*VLOOKUP('Données projet'!$B$15,Paramètres!$A$1:$I$89,3,0)*VLOOKUP('Données projet'!$B$15,Paramètres!$A$1:$I$89,5,0)</f>
        <v>-5.1431925385259088E-14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315.23521260143986</v>
      </c>
      <c r="EP200" s="62">
        <f t="shared" si="210"/>
        <v>439.11021845472641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-1.9065282685915009E-13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302.20483575440988</v>
      </c>
      <c r="T201" s="62">
        <f t="shared" si="204"/>
        <v>275.32862097158687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0.21124545778051237</v>
      </c>
      <c r="AB201" s="23">
        <f>EXP(-LN(2)/2)*AB200+(1-EXP(-LN(2)/2))/(LN(2)/2)*V201*Y201*VLOOKUP('Données projet'!$B$9,Paramètres!$A$1:$I$89,3,0)*0.475*44/12</f>
        <v>5.6908894155693355E-25</v>
      </c>
      <c r="AC201" s="24">
        <f t="shared" si="163"/>
        <v>0.21124545778051237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-4.5474735088646412E-13</v>
      </c>
      <c r="AJ201" s="14">
        <f>AI201*VLOOKUP('Données projet'!$B$10,Paramètres!$A$1:$I$89,3,0)*VLOOKUP('Données projet'!$B$10,Paramètres!$A$1:$I$89,5,0)</f>
        <v>-4.1145540308207271E-13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384.44848355636935</v>
      </c>
      <c r="AO201" s="62">
        <f t="shared" si="205"/>
        <v>203.5274665601915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-4.5474735088646412E-13</v>
      </c>
      <c r="BE201" s="14">
        <f>BD201*VLOOKUP('Données projet'!$B$11,Paramètres!$A$1:$I$89,3,0)*VLOOKUP('Données projet'!$B$11,Paramètres!$A$1:$I$89,5,0)</f>
        <v>-4.6111381379887462E-13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440.60698566758532</v>
      </c>
      <c r="BJ201" s="62">
        <f t="shared" si="206"/>
        <v>231.92898690465887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287.29865338866551</v>
      </c>
      <c r="CE201" s="62">
        <f t="shared" si="207"/>
        <v>217.57508587672368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0.10391398436036173</v>
      </c>
      <c r="CM201" s="23">
        <f>EXP(-LN(2)/2)*CM200+(1-EXP(-LN(2)/2))/(LN(2)/2)*CG201*CJ201*VLOOKUP('Données projet'!$B$12,Paramètres!$A$1:$I$89,3,0)*0.475*44/12</f>
        <v>6.651661770591959E-25</v>
      </c>
      <c r="CN201" s="24">
        <f t="shared" si="172"/>
        <v>0.10391398436036173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175.05987582828078</v>
      </c>
      <c r="CZ201" s="62">
        <f t="shared" si="208"/>
        <v>268.54782308462387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8.6138427544655588E-2</v>
      </c>
      <c r="DH201" s="23">
        <f>EXP(-LN(2)/2)*DH200+(1-EXP(-LN(2)/2))/(LN(2)/2)*DB201*DE201*VLOOKUP('Données projet'!$B$13,Paramètres!$A$1:$I$89,3,0)*0.475*44/12</f>
        <v>6.539360291725908E-25</v>
      </c>
      <c r="DI201" s="24">
        <f t="shared" si="175"/>
        <v>8.6138427544655588E-2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-5.6843418860808015E-14</v>
      </c>
      <c r="DP201" s="18">
        <f>DO201*VLOOKUP('Données projet'!$B$14,Paramètres!$A$1:$I$89,3,0)*VLOOKUP('Données projet'!$B$14,Paramètres!$A$1:$I$89,5,0)</f>
        <v>-3.2514435588382188E-14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228.06050741667258</v>
      </c>
      <c r="DU201" s="62">
        <f t="shared" si="209"/>
        <v>191.94885821983536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0.17836127531861112</v>
      </c>
      <c r="EC201" s="23">
        <f>EXP(-LN(2)/2)*EC200+(1-EXP(-LN(2)/2))/(LN(2)/2)*DW201*DZ201*VLOOKUP('Données projet'!$B$14,Paramètres!$A$1:$I$89,3,0)*0.475*44/12</f>
        <v>5.3051988427399573E-24</v>
      </c>
      <c r="ED201" s="24">
        <f t="shared" si="178"/>
        <v>0.17836127531861112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-5.6843418860808015E-14</v>
      </c>
      <c r="EK201" s="18">
        <f>EJ201*VLOOKUP('Données projet'!$B$15,Paramètres!$A$1:$I$89,3,0)*VLOOKUP('Données projet'!$B$15,Paramètres!$A$1:$I$89,5,0)</f>
        <v>-5.1431925385259088E-14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315.23521260143986</v>
      </c>
      <c r="EP201" s="62">
        <f t="shared" si="210"/>
        <v>439.11021845472641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-1.9065282685915009E-13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302.20483575440988</v>
      </c>
      <c r="T202" s="62">
        <f t="shared" si="204"/>
        <v>275.32862097158687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0.20546893962858845</v>
      </c>
      <c r="AB202" s="23">
        <f>EXP(-LN(2)/2)*AB201+(1-EXP(-LN(2)/2))/(LN(2)/2)*V202*Y202*VLOOKUP('Données projet'!$B$9,Paramètres!$A$1:$I$89,3,0)*0.475*44/12</f>
        <v>4.0240664967318257E-25</v>
      </c>
      <c r="AC202" s="24">
        <f t="shared" si="163"/>
        <v>0.20546893962858845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-4.5474735088646412E-13</v>
      </c>
      <c r="AJ202" s="14">
        <f>AI202*VLOOKUP('Données projet'!$B$10,Paramètres!$A$1:$I$89,3,0)*VLOOKUP('Données projet'!$B$10,Paramètres!$A$1:$I$89,5,0)</f>
        <v>-4.1145540308207271E-13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384.44848355636935</v>
      </c>
      <c r="AO202" s="62">
        <f t="shared" si="205"/>
        <v>203.5274665601915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-4.5474735088646412E-13</v>
      </c>
      <c r="BE202" s="14">
        <f>BD202*VLOOKUP('Données projet'!$B$11,Paramètres!$A$1:$I$89,3,0)*VLOOKUP('Données projet'!$B$11,Paramètres!$A$1:$I$89,5,0)</f>
        <v>-4.6111381379887462E-13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440.60698566758532</v>
      </c>
      <c r="BJ202" s="62">
        <f t="shared" si="206"/>
        <v>231.92898690465887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287.29865338866551</v>
      </c>
      <c r="CE202" s="62">
        <f t="shared" si="207"/>
        <v>217.57508587672368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0.10107245099342869</v>
      </c>
      <c r="CM202" s="23">
        <f>EXP(-LN(2)/2)*CM201+(1-EXP(-LN(2)/2))/(LN(2)/2)*CG202*CJ202*VLOOKUP('Données projet'!$B$12,Paramètres!$A$1:$I$89,3,0)*0.475*44/12</f>
        <v>4.7034351441448915E-25</v>
      </c>
      <c r="CN202" s="24">
        <f t="shared" si="172"/>
        <v>0.10107245099342869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175.05987582828078</v>
      </c>
      <c r="CZ202" s="62">
        <f t="shared" si="208"/>
        <v>268.54782308462387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8.3782967713623951E-2</v>
      </c>
      <c r="DH202" s="23">
        <f>EXP(-LN(2)/2)*DH201+(1-EXP(-LN(2)/2))/(LN(2)/2)*DB202*DE202*VLOOKUP('Données projet'!$B$13,Paramètres!$A$1:$I$89,3,0)*0.475*44/12</f>
        <v>4.6240260069014292E-25</v>
      </c>
      <c r="DI202" s="24">
        <f t="shared" si="175"/>
        <v>8.3782967713623951E-2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-5.6843418860808015E-14</v>
      </c>
      <c r="DP202" s="18">
        <f>DO202*VLOOKUP('Données projet'!$B$14,Paramètres!$A$1:$I$89,3,0)*VLOOKUP('Données projet'!$B$14,Paramètres!$A$1:$I$89,5,0)</f>
        <v>-3.2514435588382188E-14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228.06050741667258</v>
      </c>
      <c r="DU202" s="62">
        <f t="shared" si="209"/>
        <v>191.94885821983536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0.17348397686541189</v>
      </c>
      <c r="EC202" s="23">
        <f>EXP(-LN(2)/2)*EC201+(1-EXP(-LN(2)/2))/(LN(2)/2)*DW202*DZ202*VLOOKUP('Données projet'!$B$14,Paramètres!$A$1:$I$89,3,0)*0.475*44/12</f>
        <v>3.751342077244448E-24</v>
      </c>
      <c r="ED202" s="24">
        <f t="shared" si="178"/>
        <v>0.17348397686541189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-5.6843418860808015E-14</v>
      </c>
      <c r="EK202" s="18">
        <f>EJ202*VLOOKUP('Données projet'!$B$15,Paramètres!$A$1:$I$89,3,0)*VLOOKUP('Données projet'!$B$15,Paramètres!$A$1:$I$89,5,0)</f>
        <v>-5.1431925385259088E-14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315.23521260143986</v>
      </c>
      <c r="EP202" s="62">
        <f t="shared" si="210"/>
        <v>439.11021845472641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-1.9065282685915009E-13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302.20483575440988</v>
      </c>
      <c r="T203" s="62">
        <f t="shared" si="204"/>
        <v>275.32862097158687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0.19985038066930277</v>
      </c>
      <c r="AB203" s="23">
        <f>EXP(-LN(2)/2)*AB202+(1-EXP(-LN(2)/2))/(LN(2)/2)*V203*Y203*VLOOKUP('Données projet'!$B$9,Paramètres!$A$1:$I$89,3,0)*0.475*44/12</f>
        <v>2.8454447077846682E-25</v>
      </c>
      <c r="AC203" s="24">
        <f t="shared" si="163"/>
        <v>0.19985038066930277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-4.5474735088646412E-13</v>
      </c>
      <c r="AJ203" s="14">
        <f>AI203*VLOOKUP('Données projet'!$B$10,Paramètres!$A$1:$I$89,3,0)*VLOOKUP('Données projet'!$B$10,Paramètres!$A$1:$I$89,5,0)</f>
        <v>-4.1145540308207271E-13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384.44848355636935</v>
      </c>
      <c r="AO203" s="62">
        <f t="shared" si="205"/>
        <v>203.5274665601915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-4.5474735088646412E-13</v>
      </c>
      <c r="BE203" s="14">
        <f>BD203*VLOOKUP('Données projet'!$B$11,Paramètres!$A$1:$I$89,3,0)*VLOOKUP('Données projet'!$B$11,Paramètres!$A$1:$I$89,5,0)</f>
        <v>-4.6111381379887462E-13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440.60698566758532</v>
      </c>
      <c r="BJ203" s="62">
        <f t="shared" si="206"/>
        <v>231.92898690465887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287.29865338866551</v>
      </c>
      <c r="CE203" s="62">
        <f t="shared" si="207"/>
        <v>217.57508587672368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9.83086195058442E-2</v>
      </c>
      <c r="CM203" s="23">
        <f>EXP(-LN(2)/2)*CM202+(1-EXP(-LN(2)/2))/(LN(2)/2)*CG203*CJ203*VLOOKUP('Données projet'!$B$12,Paramètres!$A$1:$I$89,3,0)*0.475*44/12</f>
        <v>3.3258308852959795E-25</v>
      </c>
      <c r="CN203" s="24">
        <f t="shared" si="172"/>
        <v>9.83086195058442E-2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175.05987582828078</v>
      </c>
      <c r="CZ203" s="62">
        <f t="shared" si="208"/>
        <v>268.54782308462387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8.1491918055540125E-2</v>
      </c>
      <c r="DH203" s="23">
        <f>EXP(-LN(2)/2)*DH202+(1-EXP(-LN(2)/2))/(LN(2)/2)*DB203*DE203*VLOOKUP('Données projet'!$B$13,Paramètres!$A$1:$I$89,3,0)*0.475*44/12</f>
        <v>3.269680145862954E-25</v>
      </c>
      <c r="DI203" s="24">
        <f t="shared" si="175"/>
        <v>8.1491918055540125E-2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-5.6843418860808015E-14</v>
      </c>
      <c r="DP203" s="18">
        <f>DO203*VLOOKUP('Données projet'!$B$14,Paramètres!$A$1:$I$89,3,0)*VLOOKUP('Données projet'!$B$14,Paramètres!$A$1:$I$89,5,0)</f>
        <v>-3.2514435588382188E-14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228.06050741667258</v>
      </c>
      <c r="DU203" s="62">
        <f t="shared" si="209"/>
        <v>191.94885821983536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0.16874004839490137</v>
      </c>
      <c r="EC203" s="23">
        <f>EXP(-LN(2)/2)*EC202+(1-EXP(-LN(2)/2))/(LN(2)/2)*DW203*DZ203*VLOOKUP('Données projet'!$B$14,Paramètres!$A$1:$I$89,3,0)*0.475*44/12</f>
        <v>2.6525994213699786E-24</v>
      </c>
      <c r="ED203" s="24">
        <f t="shared" si="178"/>
        <v>0.16874004839490137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-5.6843418860808015E-14</v>
      </c>
      <c r="EK203" s="18">
        <f>EJ203*VLOOKUP('Données projet'!$B$15,Paramètres!$A$1:$I$89,3,0)*VLOOKUP('Données projet'!$B$15,Paramètres!$A$1:$I$89,5,0)</f>
        <v>-5.1431925385259088E-14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315.23521260143986</v>
      </c>
      <c r="EP203" s="62">
        <f t="shared" si="210"/>
        <v>439.11021845472641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1.289976715395158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1.2392705892426346</v>
      </c>
      <c r="BV205" s="88">
        <f>EXP(LN('Données projet'!B114)/'Données projet'!A114)</f>
        <v>1.244502252163008</v>
      </c>
      <c r="CQ205" s="88">
        <f>EXP(LN('Données projet'!B140)/'Données projet'!A140)</f>
        <v>1.2997069632623315</v>
      </c>
      <c r="DL205" s="88">
        <f>EXP(LN('Données projet'!B166)/'Données projet'!A166)</f>
        <v>1.2231148535053959</v>
      </c>
      <c r="EG205" s="88">
        <f>EXP(LN('Données projet'!B192)/'Données projet'!A192)</f>
        <v>2.0243974584998852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2.1</v>
      </c>
      <c r="C6" s="156">
        <f ca="1">IF(OR('Données projet'!B9="",'Données projet'!C9="",'Données projet'!C9=0%),0,Calculateur!S3)</f>
        <v>302.20483575440988</v>
      </c>
      <c r="D6" s="156">
        <f>IF(OR('Données projet'!B9="",'Données projet'!C9="",'Données projet'!C9=0%),0,Calculateur!T3)</f>
        <v>275.32862097158687</v>
      </c>
      <c r="E6" s="156">
        <f ca="1">MIN(C6,D6)</f>
        <v>275.32862097158687</v>
      </c>
      <c r="F6" s="156">
        <f ca="1">E6*B6</f>
        <v>578.19010404033247</v>
      </c>
      <c r="G6" s="156">
        <f ca="1">F6*(100%-'Données projet'!$C$24)*(100%-'Données projet'!$C$25)*(100%-'Données projet'!$C$26)*(100%-'Données projet'!$C$27)</f>
        <v>520.37109363629929</v>
      </c>
      <c r="H6" s="157">
        <f>IF(OR('Données projet'!B9="",'Données projet'!C9="",'Données projet'!C9=0%),0,AVERAGE(Calculateur!$AC$3:$AC$33)*B6)</f>
        <v>17.741742685001899</v>
      </c>
      <c r="I6" s="158">
        <f>H6*(100%-'Données projet'!$C$24)*(100%-'Données projet'!$C$25)*(100%-'Données projet'!$C$26)*(100%-'Données projet'!$C$27)</f>
        <v>15.96756841650171</v>
      </c>
      <c r="J6" s="159">
        <f>IF(OR('Données projet'!B9="",'Données projet'!C9="",'Données projet'!C9=0%),0,SUM(Calculateur!$V$3:$V$33)*VLOOKUP('Données projet'!$B$9,Paramètres!$A$1:$I$89,9,0)*B6)</f>
        <v>114.681</v>
      </c>
      <c r="K6" s="160">
        <f>J6*(100%-'Données projet'!$C$24)*(100%-'Données projet'!$C$25)*(100%-'Données projet'!$C$26)*(100%-'Données projet'!$C$27)</f>
        <v>103.2129</v>
      </c>
      <c r="L6" s="161">
        <f ca="1">G6+I6+K6</f>
        <v>639.55156205280105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0.70000000000000007</v>
      </c>
      <c r="C7" s="156">
        <f ca="1">IF(OR('Données projet'!B10="",'Données projet'!C10="",'Données projet'!C10=0%),0,Calculateur!AN3)</f>
        <v>384.44848355636935</v>
      </c>
      <c r="D7" s="156">
        <f>IF(OR('Données projet'!B10="",'Données projet'!C10="",'Données projet'!C10=0%),0,Calculateur!AO3)</f>
        <v>203.5274665601915</v>
      </c>
      <c r="E7" s="156">
        <f t="shared" ref="E7:E15" ca="1" si="0">MIN(C7,D7)</f>
        <v>203.5274665601915</v>
      </c>
      <c r="F7" s="156">
        <f t="shared" ref="F7:F15" ca="1" si="1">E7*B7</f>
        <v>142.46922659213405</v>
      </c>
      <c r="G7" s="156">
        <f ca="1">F7*(100%-'Données projet'!$C$24)*(100%-'Données projet'!$C$25)*(100%-'Données projet'!$C$26)*(100%-'Données projet'!$C$27)</f>
        <v>128.22230393292065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5.95</v>
      </c>
      <c r="K7" s="160">
        <f>J7*(100%-'Données projet'!$C$24)*(100%-'Données projet'!$C$25)*(100%-'Données projet'!$C$26)*(100%-'Données projet'!$C$27)</f>
        <v>5.3550000000000004</v>
      </c>
      <c r="L7" s="161">
        <f t="shared" ref="L7:L15" ca="1" si="2">G7+I7+K7</f>
        <v>133.57730393292064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pubescent</v>
      </c>
      <c r="B8" s="163">
        <f>'Données projet'!D11</f>
        <v>0.70000000000000007</v>
      </c>
      <c r="C8" s="156">
        <f ca="1">IF(OR('Données projet'!B11="",'Données projet'!C11="",'Données projet'!C11=0%),0,Calculateur!BI3)</f>
        <v>440.60698566758532</v>
      </c>
      <c r="D8" s="156">
        <f>IF(OR('Données projet'!B11="",'Données projet'!C11="",'Données projet'!C11=0%),0,Calculateur!BJ3)</f>
        <v>231.92898690465887</v>
      </c>
      <c r="E8" s="156">
        <f t="shared" ca="1" si="0"/>
        <v>231.92898690465887</v>
      </c>
      <c r="F8" s="156">
        <f t="shared" ca="1" si="1"/>
        <v>162.35029083326123</v>
      </c>
      <c r="G8" s="156">
        <f ca="1">F8*(100%-'Données projet'!$C$24)*(100%-'Données projet'!$C$25)*(100%-'Données projet'!$C$26)*(100%-'Données projet'!$C$27)</f>
        <v>146.11526174993512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5.95</v>
      </c>
      <c r="K8" s="160">
        <f>J8*(100%-'Données projet'!$C$24)*(100%-'Données projet'!$C$25)*(100%-'Données projet'!$C$26)*(100%-'Données projet'!$C$27)</f>
        <v>5.3550000000000004</v>
      </c>
      <c r="L8" s="161">
        <f t="shared" ca="1" si="2"/>
        <v>151.4702617499351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laricio</v>
      </c>
      <c r="B9" s="163">
        <f>'Données projet'!D12</f>
        <v>1.05</v>
      </c>
      <c r="C9" s="156">
        <f ca="1">IF(OR('Données projet'!B12="",'Données projet'!C12="",'Données projet'!C12=0%),0,Calculateur!CD3)</f>
        <v>287.29865338866551</v>
      </c>
      <c r="D9" s="156">
        <f>IF(OR('Données projet'!B12="",'Données projet'!C12="",'Données projet'!C12=0%),0,Calculateur!CE3)</f>
        <v>217.57508587672368</v>
      </c>
      <c r="E9" s="156">
        <f t="shared" ca="1" si="0"/>
        <v>217.57508587672368</v>
      </c>
      <c r="F9" s="156">
        <f t="shared" ca="1" si="1"/>
        <v>228.45384017055986</v>
      </c>
      <c r="G9" s="156">
        <f ca="1">F9*(100%-'Données projet'!$C$24)*(100%-'Données projet'!$C$25)*(100%-'Données projet'!$C$26)*(100%-'Données projet'!$C$27)</f>
        <v>205.60845615350388</v>
      </c>
      <c r="H9" s="164">
        <f>IF(OR('Données projet'!B12="",'Données projet'!C12="",'Données projet'!C12=0%),0,AVERAGE(Calculateur!$CN$3:$CN$33)*B9)</f>
        <v>3.1274949938521455</v>
      </c>
      <c r="I9" s="158">
        <f>H9*(100%-'Données projet'!$C$24)*(100%-'Données projet'!$C$25)*(100%-'Données projet'!$C$26)*(100%-'Données projet'!$C$27)</f>
        <v>2.8147454944669308</v>
      </c>
      <c r="J9" s="159">
        <f>IF(OR('Données projet'!B12="",'Données projet'!C12="",'Données projet'!C12=0%),0,SUM(Calculateur!$CG$3:$CG$33)*VLOOKUP('Données projet'!$B$12,Paramètres!$A$1:$I$89,9,0)*B9)</f>
        <v>30.250499999999999</v>
      </c>
      <c r="K9" s="160">
        <f>J9*(100%-'Données projet'!$C$24)*(100%-'Données projet'!$C$25)*(100%-'Données projet'!$C$26)*(100%-'Données projet'!$C$27)</f>
        <v>27.225449999999999</v>
      </c>
      <c r="L9" s="161">
        <f t="shared" ca="1" si="2"/>
        <v>235.64865164797081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Mélèze d'Europe</v>
      </c>
      <c r="B10" s="163">
        <f>'Données projet'!D13</f>
        <v>0.70000000000000007</v>
      </c>
      <c r="C10" s="156">
        <f ca="1">IF(OR('Données projet'!B13="",'Données projet'!C13="",'Données projet'!C13=0%),0,Calculateur!CY3)</f>
        <v>175.05987582828078</v>
      </c>
      <c r="D10" s="156">
        <f>IF(OR('Données projet'!B13="",'Données projet'!C13="",'Données projet'!C13=0%),0,Calculateur!CZ3)</f>
        <v>268.54782308462387</v>
      </c>
      <c r="E10" s="156">
        <f t="shared" ca="1" si="0"/>
        <v>175.05987582828078</v>
      </c>
      <c r="F10" s="156">
        <f t="shared" ca="1" si="1"/>
        <v>122.54191307979656</v>
      </c>
      <c r="G10" s="156">
        <f ca="1">F10*(100%-'Données projet'!$C$24)*(100%-'Données projet'!$C$25)*(100%-'Données projet'!$C$26)*(100%-'Données projet'!$C$27)</f>
        <v>110.2877217718169</v>
      </c>
      <c r="H10" s="164">
        <f>IF(OR('Données projet'!B13="",'Données projet'!C13="",'Données projet'!C13=0%),0,AVERAGE(Calculateur!$DI$3:$DI$33)*B10)</f>
        <v>2.088232571017806</v>
      </c>
      <c r="I10" s="158">
        <f>H10*(100%-'Données projet'!$C$24)*(100%-'Données projet'!$C$25)*(100%-'Données projet'!$C$26)*(100%-'Données projet'!$C$27)</f>
        <v>1.8794093139160255</v>
      </c>
      <c r="J10" s="159">
        <f>IF(OR('Données projet'!B13="",'Données projet'!C13="",'Données projet'!C13=0%),0,SUM(Calculateur!$DB$3:$DB$33)*VLOOKUP('Données projet'!$B$13,Paramètres!$A$1:$I$89,9,0)*B10)</f>
        <v>38.528000000000006</v>
      </c>
      <c r="K10" s="160">
        <f>J10*(100%-'Données projet'!$C$24)*(100%-'Données projet'!$C$25)*(100%-'Données projet'!$C$26)*(100%-'Données projet'!$C$27)</f>
        <v>34.675200000000004</v>
      </c>
      <c r="L10" s="161">
        <f t="shared" ca="1" si="2"/>
        <v>146.84233108573295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Pin sylvestre</v>
      </c>
      <c r="B11" s="163">
        <f>'Données projet'!D14</f>
        <v>1.05</v>
      </c>
      <c r="C11" s="156">
        <f ca="1">IF(OR('Données projet'!B14="",'Données projet'!C14="",'Données projet'!C14=0%),0,Calculateur!DT3)</f>
        <v>228.06050741667258</v>
      </c>
      <c r="D11" s="156">
        <f>IF(OR('Données projet'!B14="",'Données projet'!C14="",'Données projet'!C14=0%),0,Calculateur!DU3)</f>
        <v>191.94885821983536</v>
      </c>
      <c r="E11" s="156">
        <f t="shared" ca="1" si="0"/>
        <v>191.94885821983536</v>
      </c>
      <c r="F11" s="156">
        <f t="shared" ca="1" si="1"/>
        <v>201.54630113082715</v>
      </c>
      <c r="G11" s="156">
        <f ca="1">F11*(100%-'Données projet'!$C$24)*(100%-'Données projet'!$C$25)*(100%-'Données projet'!$C$26)*(100%-'Données projet'!$C$27)</f>
        <v>181.39167101774444</v>
      </c>
      <c r="H11" s="164">
        <f>IF(OR('Données projet'!B14="",'Données projet'!C14="",'Données projet'!C14=0%),0,AVERAGE(Calculateur!$ED$3:$ED$33)*B11)</f>
        <v>1.9682173721436387</v>
      </c>
      <c r="I11" s="158">
        <f>H11*(100%-'Données projet'!$C$24)*(100%-'Données projet'!$C$25)*(100%-'Données projet'!$C$26)*(100%-'Données projet'!$C$27)</f>
        <v>1.7713956349292748</v>
      </c>
      <c r="J11" s="159">
        <f>IF(OR('Données projet'!B14="",'Données projet'!C14="",'Données projet'!C14=0%),0,SUM(Calculateur!$DW$3:$DW$33)*VLOOKUP('Données projet'!$B$14,Paramètres!$A$1:$I$89,9,0)*B11)</f>
        <v>25.735499999999998</v>
      </c>
      <c r="K11" s="160">
        <f>J11*(100%-'Données projet'!$C$24)*(100%-'Données projet'!$C$25)*(100%-'Données projet'!$C$26)*(100%-'Données projet'!$C$27)</f>
        <v>23.161949999999997</v>
      </c>
      <c r="L11" s="161">
        <f t="shared" ca="1" si="2"/>
        <v>206.3250166526737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Robinier faux-acacia</v>
      </c>
      <c r="B12" s="163">
        <f>'Données projet'!D15</f>
        <v>0.70000000000000007</v>
      </c>
      <c r="C12" s="156">
        <f ca="1">IF(OR('Données projet'!B15="",'Données projet'!C15="",'Données projet'!C15=0%),0,Calculateur!EO3)</f>
        <v>315.23521260143986</v>
      </c>
      <c r="D12" s="156">
        <f>IF(OR('Données projet'!B15="",'Données projet'!C15="",'Données projet'!C15=0%),0,Calculateur!EP3)</f>
        <v>439.11021845472641</v>
      </c>
      <c r="E12" s="156">
        <f t="shared" ca="1" si="0"/>
        <v>315.23521260143986</v>
      </c>
      <c r="F12" s="156">
        <f t="shared" ca="1" si="1"/>
        <v>220.66464882100792</v>
      </c>
      <c r="G12" s="156">
        <f ca="1">F12*(100%-'Données projet'!$C$24)*(100%-'Données projet'!$C$25)*(100%-'Données projet'!$C$26)*(100%-'Données projet'!$C$27)</f>
        <v>198.59818393890714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17.5</v>
      </c>
      <c r="K12" s="160">
        <f>J12*(100%-'Données projet'!$C$24)*(100%-'Données projet'!$C$25)*(100%-'Données projet'!$C$26)*(100%-'Données projet'!$C$27)</f>
        <v>15.75</v>
      </c>
      <c r="L12" s="161">
        <f t="shared" ca="1" si="2"/>
        <v>214.34818393890714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1656.2163246679195</v>
      </c>
      <c r="G16" s="175">
        <f t="shared" ca="1" si="3"/>
        <v>1490.5946922011274</v>
      </c>
      <c r="H16" s="176">
        <f t="shared" si="3"/>
        <v>24.925687622015488</v>
      </c>
      <c r="I16" s="176">
        <f t="shared" si="3"/>
        <v>22.433118859813938</v>
      </c>
      <c r="J16" s="177">
        <f t="shared" si="3"/>
        <v>238.59500000000003</v>
      </c>
      <c r="K16" s="177">
        <f t="shared" si="3"/>
        <v>214.7355</v>
      </c>
      <c r="L16" s="178">
        <f t="shared" ca="1" si="3"/>
        <v>1727.7633110609413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laricio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Mélèze d'Europe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Pin sylvestre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Robinier faux-acacia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F1" zoomScale="80" zoomScaleNormal="80" workbookViewId="0">
      <selection activeCell="I19" sqref="I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4964.4912929764032</v>
      </c>
      <c r="U10" s="190">
        <f>'Données projet'!D9</f>
        <v>2.1</v>
      </c>
      <c r="V10" s="189">
        <f>U10*T10</f>
        <v>10425.431715250446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826.88131476556771</v>
      </c>
      <c r="U11" s="190">
        <f>'Données projet'!D10</f>
        <v>0.70000000000000007</v>
      </c>
      <c r="V11" s="189">
        <f t="shared" ref="V11" si="0">U11*T11</f>
        <v>578.81692033589741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940.00971763606424</v>
      </c>
      <c r="U12" s="190">
        <f>'Données projet'!D11</f>
        <v>0.70000000000000007</v>
      </c>
      <c r="V12" s="189">
        <f t="shared" ref="V12:V19" si="1">U12*T12</f>
        <v>658.00680234524498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laricio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1963.0002168606686</v>
      </c>
      <c r="U13" s="190">
        <f>'Données projet'!D12</f>
        <v>1.05</v>
      </c>
      <c r="V13" s="189">
        <f t="shared" si="1"/>
        <v>2061.1502277037021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Mélèze d'Europe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4238.5803040681694</v>
      </c>
      <c r="U14" s="190">
        <f>'Données projet'!D13</f>
        <v>0.70000000000000007</v>
      </c>
      <c r="V14" s="189">
        <f t="shared" si="1"/>
        <v>2967.0062128477189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Pin sylvestre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1585.6497636217937</v>
      </c>
      <c r="U15" s="190">
        <f>'Données projet'!D14</f>
        <v>1.05</v>
      </c>
      <c r="V15" s="189">
        <f t="shared" si="1"/>
        <v>1664.9322518028835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100</v>
      </c>
      <c r="O16" s="25"/>
      <c r="P16" s="25"/>
      <c r="Q16" s="265"/>
      <c r="R16" s="25"/>
      <c r="S16" s="185" t="str">
        <f>B200</f>
        <v>Robinier faux-acacia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3267.0297836577774</v>
      </c>
      <c r="U16" s="190">
        <f>'Données projet'!D15</f>
        <v>0.70000000000000007</v>
      </c>
      <c r="V16" s="189">
        <f t="shared" si="1"/>
        <v>2286.9208485604445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99.999999999999915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1999.9999999999982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14090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21</v>
      </c>
      <c r="B23" s="193">
        <f>'Données projet'!D36</f>
        <v>63</v>
      </c>
      <c r="C23" s="204">
        <v>15</v>
      </c>
      <c r="D23" s="194">
        <f>B23*C23</f>
        <v>945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-77987.735021153669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28</v>
      </c>
      <c r="B24" s="193">
        <f>'Données projet'!D37</f>
        <v>64</v>
      </c>
      <c r="C24" s="204">
        <v>20</v>
      </c>
      <c r="D24" s="194">
        <f t="shared" ref="D24:D42" si="2">B24*C24</f>
        <v>1280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171.592772337241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73</v>
      </c>
      <c r="C25" s="204">
        <v>30</v>
      </c>
      <c r="D25" s="194">
        <f t="shared" si="2"/>
        <v>2190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-78159.327793490913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42</v>
      </c>
      <c r="B26" s="193">
        <f>'Données projet'!D39</f>
        <v>77</v>
      </c>
      <c r="C26" s="204">
        <v>35</v>
      </c>
      <c r="D26" s="194">
        <f t="shared" si="2"/>
        <v>2695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49</v>
      </c>
      <c r="B27" s="193">
        <f>'Données projet'!D40</f>
        <v>80</v>
      </c>
      <c r="C27" s="204">
        <v>40</v>
      </c>
      <c r="D27" s="194">
        <f t="shared" si="2"/>
        <v>3200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56</v>
      </c>
      <c r="B28" s="193">
        <f>'Données projet'!D41</f>
        <v>85</v>
      </c>
      <c r="C28" s="204">
        <v>50</v>
      </c>
      <c r="D28" s="194">
        <f t="shared" si="2"/>
        <v>4250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63</v>
      </c>
      <c r="B29" s="193">
        <f>'Données projet'!D42</f>
        <v>84</v>
      </c>
      <c r="C29" s="204">
        <v>60</v>
      </c>
      <c r="D29" s="194">
        <f t="shared" si="2"/>
        <v>5040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70</v>
      </c>
      <c r="B30" s="193">
        <f>'Données projet'!D43</f>
        <v>551</v>
      </c>
      <c r="C30" s="204">
        <v>90</v>
      </c>
      <c r="D30" s="194">
        <f t="shared" si="2"/>
        <v>49590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34</v>
      </c>
      <c r="C55" s="206">
        <v>10</v>
      </c>
      <c r="D55" s="191">
        <f t="shared" ref="D55:D73" si="4">B55*C55</f>
        <v>340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0</v>
      </c>
      <c r="C56" s="206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56</v>
      </c>
      <c r="C57" s="206">
        <v>10</v>
      </c>
      <c r="D57" s="191">
        <f t="shared" si="4"/>
        <v>560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0</v>
      </c>
      <c r="C58" s="206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56</v>
      </c>
      <c r="C59" s="206">
        <v>10</v>
      </c>
      <c r="D59" s="191">
        <f t="shared" si="4"/>
        <v>560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0</v>
      </c>
      <c r="C60" s="206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56</v>
      </c>
      <c r="C61" s="206">
        <v>20</v>
      </c>
      <c r="D61" s="191">
        <f t="shared" si="4"/>
        <v>1120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0</v>
      </c>
      <c r="C62" s="206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56</v>
      </c>
      <c r="C63" s="206">
        <v>30</v>
      </c>
      <c r="D63" s="191">
        <f t="shared" si="4"/>
        <v>1680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0</v>
      </c>
      <c r="C64" s="206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56</v>
      </c>
      <c r="C65" s="206">
        <v>40</v>
      </c>
      <c r="D65" s="191">
        <f t="shared" si="4"/>
        <v>2240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0</v>
      </c>
      <c r="C66" s="206">
        <v>50</v>
      </c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56</v>
      </c>
      <c r="C67" s="206">
        <v>70</v>
      </c>
      <c r="D67" s="191">
        <f t="shared" si="4"/>
        <v>3920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100</v>
      </c>
      <c r="B68" s="193">
        <f>'Données projet'!D76</f>
        <v>55</v>
      </c>
      <c r="C68" s="206">
        <v>100</v>
      </c>
      <c r="D68" s="191">
        <f t="shared" si="4"/>
        <v>5500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110</v>
      </c>
      <c r="B69" s="193">
        <f>'Données projet'!D77</f>
        <v>53</v>
      </c>
      <c r="C69" s="206">
        <v>120</v>
      </c>
      <c r="D69" s="191">
        <f t="shared" si="4"/>
        <v>6360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120</v>
      </c>
      <c r="B70" s="193">
        <f>'Données projet'!D78</f>
        <v>47</v>
      </c>
      <c r="C70" s="206">
        <v>120</v>
      </c>
      <c r="D70" s="191">
        <f t="shared" si="4"/>
        <v>5640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130</v>
      </c>
      <c r="B71" s="193">
        <f>'Données projet'!D79</f>
        <v>44</v>
      </c>
      <c r="C71" s="206">
        <v>150</v>
      </c>
      <c r="D71" s="191">
        <f t="shared" si="4"/>
        <v>6600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140</v>
      </c>
      <c r="B72" s="193">
        <f>'Données projet'!D80</f>
        <v>43</v>
      </c>
      <c r="C72" s="206">
        <v>200</v>
      </c>
      <c r="D72" s="191">
        <f t="shared" si="4"/>
        <v>8600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150</v>
      </c>
      <c r="B73" s="193">
        <f>'Données projet'!D81</f>
        <v>335</v>
      </c>
      <c r="C73" s="206">
        <v>200</v>
      </c>
      <c r="D73" s="191">
        <f t="shared" si="4"/>
        <v>67000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34</v>
      </c>
      <c r="C86" s="206">
        <v>10</v>
      </c>
      <c r="D86" s="191">
        <f t="shared" ref="D86:D104" si="6">B86*C86</f>
        <v>340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0</v>
      </c>
      <c r="C87" s="206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56</v>
      </c>
      <c r="C88" s="206">
        <v>10</v>
      </c>
      <c r="D88" s="191">
        <f t="shared" si="6"/>
        <v>560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0</v>
      </c>
      <c r="C89" s="206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56</v>
      </c>
      <c r="C90" s="206">
        <v>10</v>
      </c>
      <c r="D90" s="191">
        <f t="shared" si="6"/>
        <v>560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0</v>
      </c>
      <c r="C91" s="206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56</v>
      </c>
      <c r="C92" s="206">
        <v>20</v>
      </c>
      <c r="D92" s="191">
        <f t="shared" si="6"/>
        <v>1120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0</v>
      </c>
      <c r="C93" s="206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56</v>
      </c>
      <c r="C94" s="206">
        <v>30</v>
      </c>
      <c r="D94" s="191">
        <f t="shared" si="6"/>
        <v>1680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0</v>
      </c>
      <c r="C95" s="206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56</v>
      </c>
      <c r="C96" s="206">
        <v>40</v>
      </c>
      <c r="D96" s="191">
        <f t="shared" si="6"/>
        <v>2240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0</v>
      </c>
      <c r="C97" s="206">
        <v>50</v>
      </c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56</v>
      </c>
      <c r="C98" s="206">
        <v>70</v>
      </c>
      <c r="D98" s="191">
        <f t="shared" si="6"/>
        <v>3920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100</v>
      </c>
      <c r="B99" s="193">
        <f>'Données projet'!D102</f>
        <v>55</v>
      </c>
      <c r="C99" s="206">
        <v>100</v>
      </c>
      <c r="D99" s="191">
        <f t="shared" si="6"/>
        <v>5500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110</v>
      </c>
      <c r="B100" s="193">
        <f>'Données projet'!D103</f>
        <v>53</v>
      </c>
      <c r="C100" s="206">
        <v>120</v>
      </c>
      <c r="D100" s="191">
        <f t="shared" si="6"/>
        <v>6360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120</v>
      </c>
      <c r="B101" s="193">
        <f>'Données projet'!D104</f>
        <v>47</v>
      </c>
      <c r="C101" s="206">
        <v>120</v>
      </c>
      <c r="D101" s="191">
        <f t="shared" si="6"/>
        <v>5640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130</v>
      </c>
      <c r="B102" s="193">
        <f>'Données projet'!D105</f>
        <v>44</v>
      </c>
      <c r="C102" s="206">
        <v>150</v>
      </c>
      <c r="D102" s="191">
        <f t="shared" si="6"/>
        <v>6600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140</v>
      </c>
      <c r="B103" s="193">
        <f>'Données projet'!D106</f>
        <v>43</v>
      </c>
      <c r="C103" s="206">
        <v>200</v>
      </c>
      <c r="D103" s="191">
        <f t="shared" si="6"/>
        <v>8600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150</v>
      </c>
      <c r="B104" s="193">
        <f>'Données projet'!D107</f>
        <v>335</v>
      </c>
      <c r="C104" s="206">
        <v>200</v>
      </c>
      <c r="D104" s="191">
        <f t="shared" si="6"/>
        <v>67000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laricio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22</v>
      </c>
      <c r="B116" s="193">
        <f>'Données projet'!D114</f>
        <v>16</v>
      </c>
      <c r="C116" s="204">
        <v>10</v>
      </c>
      <c r="D116" s="191">
        <f>B116*C116</f>
        <v>160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17</v>
      </c>
      <c r="C117" s="204">
        <v>10</v>
      </c>
      <c r="D117" s="191">
        <f t="shared" ref="D117:D135" si="8">B117*C117</f>
        <v>170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34</v>
      </c>
      <c r="C118" s="204">
        <v>15</v>
      </c>
      <c r="D118" s="191">
        <f t="shared" si="8"/>
        <v>510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41</v>
      </c>
      <c r="C119" s="204">
        <v>15</v>
      </c>
      <c r="D119" s="191">
        <f t="shared" si="8"/>
        <v>615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41</v>
      </c>
      <c r="C120" s="204">
        <v>20</v>
      </c>
      <c r="D120" s="191">
        <f t="shared" si="8"/>
        <v>820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53</v>
      </c>
      <c r="C121" s="204">
        <v>25</v>
      </c>
      <c r="D121" s="191">
        <f t="shared" si="8"/>
        <v>1325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53</v>
      </c>
      <c r="C122" s="204">
        <v>30</v>
      </c>
      <c r="D122" s="191">
        <f t="shared" si="8"/>
        <v>1590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58</v>
      </c>
      <c r="B123" s="193">
        <f>'Données projet'!D121</f>
        <v>78</v>
      </c>
      <c r="C123" s="204">
        <v>35</v>
      </c>
      <c r="D123" s="191">
        <f t="shared" si="8"/>
        <v>2730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66</v>
      </c>
      <c r="B124" s="193">
        <f>'Données projet'!D122</f>
        <v>65</v>
      </c>
      <c r="C124" s="204">
        <v>40</v>
      </c>
      <c r="D124" s="191">
        <f t="shared" si="8"/>
        <v>2600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74</v>
      </c>
      <c r="B125" s="193">
        <f>'Données projet'!D123</f>
        <v>37</v>
      </c>
      <c r="C125" s="204">
        <v>45</v>
      </c>
      <c r="D125" s="191">
        <f t="shared" si="8"/>
        <v>1665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82</v>
      </c>
      <c r="B126" s="193">
        <f>'Données projet'!D124</f>
        <v>541</v>
      </c>
      <c r="C126" s="204">
        <v>45</v>
      </c>
      <c r="D126" s="191">
        <f t="shared" si="8"/>
        <v>24345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Mélèze d'Europe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18</v>
      </c>
      <c r="B147" s="187">
        <f>'Données projet'!D140</f>
        <v>20</v>
      </c>
      <c r="C147" s="206">
        <v>10</v>
      </c>
      <c r="D147" s="194">
        <f>B147*C147</f>
        <v>200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21</v>
      </c>
      <c r="B148" s="187">
        <f>'Données projet'!D141</f>
        <v>26</v>
      </c>
      <c r="C148" s="206">
        <v>15</v>
      </c>
      <c r="D148" s="194">
        <f t="shared" ref="D148:D166" si="10">B148*C148</f>
        <v>390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24</v>
      </c>
      <c r="B149" s="187">
        <f>'Données projet'!D142</f>
        <v>29</v>
      </c>
      <c r="C149" s="206">
        <v>20</v>
      </c>
      <c r="D149" s="194">
        <f t="shared" si="10"/>
        <v>580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53</v>
      </c>
      <c r="C150" s="206">
        <v>35</v>
      </c>
      <c r="D150" s="194">
        <f t="shared" si="10"/>
        <v>1855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36</v>
      </c>
      <c r="B151" s="187">
        <f>'Données projet'!D144</f>
        <v>62</v>
      </c>
      <c r="C151" s="206">
        <v>50</v>
      </c>
      <c r="D151" s="194">
        <f t="shared" si="10"/>
        <v>3100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42</v>
      </c>
      <c r="B152" s="187">
        <f>'Données projet'!D145</f>
        <v>67</v>
      </c>
      <c r="C152" s="206">
        <v>60</v>
      </c>
      <c r="D152" s="194">
        <f t="shared" si="10"/>
        <v>4020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48</v>
      </c>
      <c r="B153" s="187">
        <f>'Données projet'!D146</f>
        <v>65</v>
      </c>
      <c r="C153" s="206">
        <v>65</v>
      </c>
      <c r="D153" s="194">
        <f t="shared" si="10"/>
        <v>4225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7">
        <f>'Données projet'!D147</f>
        <v>304</v>
      </c>
      <c r="C154" s="204">
        <v>70</v>
      </c>
      <c r="D154" s="194">
        <f t="shared" si="10"/>
        <v>21280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Pin sylvestre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22</v>
      </c>
      <c r="B178" s="193">
        <f>'Données projet'!D166</f>
        <v>0</v>
      </c>
      <c r="C178" s="204">
        <v>10</v>
      </c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25</v>
      </c>
      <c r="B179" s="193">
        <f>'Données projet'!D167</f>
        <v>21</v>
      </c>
      <c r="C179" s="204">
        <v>10</v>
      </c>
      <c r="D179" s="191">
        <f t="shared" ref="D179:D197" si="11">B179*C179</f>
        <v>210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30</v>
      </c>
      <c r="B180" s="193">
        <f>'Données projet'!D168</f>
        <v>36</v>
      </c>
      <c r="C180" s="204">
        <v>15</v>
      </c>
      <c r="D180" s="191">
        <f t="shared" si="11"/>
        <v>540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35</v>
      </c>
      <c r="B181" s="193">
        <f>'Données projet'!D169</f>
        <v>49</v>
      </c>
      <c r="C181" s="204">
        <v>15</v>
      </c>
      <c r="D181" s="191">
        <f t="shared" si="11"/>
        <v>735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40</v>
      </c>
      <c r="B182" s="193">
        <f>'Données projet'!D170</f>
        <v>42</v>
      </c>
      <c r="C182" s="204">
        <v>20</v>
      </c>
      <c r="D182" s="191">
        <f t="shared" si="11"/>
        <v>840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45</v>
      </c>
      <c r="B183" s="193">
        <f>'Données projet'!D171</f>
        <v>38</v>
      </c>
      <c r="C183" s="204">
        <v>25</v>
      </c>
      <c r="D183" s="191">
        <f t="shared" si="11"/>
        <v>950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50</v>
      </c>
      <c r="B184" s="193">
        <f>'Données projet'!D172</f>
        <v>37</v>
      </c>
      <c r="C184" s="204">
        <v>30</v>
      </c>
      <c r="D184" s="191">
        <f t="shared" si="11"/>
        <v>1110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58</v>
      </c>
      <c r="B185" s="193">
        <f>'Données projet'!D173</f>
        <v>48</v>
      </c>
      <c r="C185" s="204">
        <v>35</v>
      </c>
      <c r="D185" s="191">
        <f t="shared" si="11"/>
        <v>1680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66</v>
      </c>
      <c r="B186" s="193">
        <f>'Données projet'!D174</f>
        <v>50</v>
      </c>
      <c r="C186" s="204">
        <v>40</v>
      </c>
      <c r="D186" s="191">
        <f t="shared" si="11"/>
        <v>2000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74</v>
      </c>
      <c r="B187" s="193">
        <f>'Données projet'!D175</f>
        <v>20</v>
      </c>
      <c r="C187" s="204">
        <v>45</v>
      </c>
      <c r="D187" s="191">
        <f t="shared" si="11"/>
        <v>900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82</v>
      </c>
      <c r="B188" s="193">
        <f>'Données projet'!D176</f>
        <v>444</v>
      </c>
      <c r="C188" s="204">
        <v>45</v>
      </c>
      <c r="D188" s="191">
        <f t="shared" si="11"/>
        <v>19980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Robinier faux-acacia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5</v>
      </c>
      <c r="B209" s="193">
        <f>'Données projet'!D192</f>
        <v>0</v>
      </c>
      <c r="C209" s="206">
        <v>0</v>
      </c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10</v>
      </c>
      <c r="B210" s="193">
        <f>'Données projet'!D193</f>
        <v>34</v>
      </c>
      <c r="C210" s="206">
        <v>10</v>
      </c>
      <c r="D210" s="191">
        <f t="shared" ref="D210:D228" si="12">B210*C210</f>
        <v>340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15</v>
      </c>
      <c r="B211" s="193">
        <f>'Données projet'!D194</f>
        <v>23</v>
      </c>
      <c r="C211" s="206">
        <v>10</v>
      </c>
      <c r="D211" s="191">
        <f t="shared" si="12"/>
        <v>230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20</v>
      </c>
      <c r="B212" s="193">
        <f>'Données projet'!D195</f>
        <v>18</v>
      </c>
      <c r="C212" s="206">
        <v>15</v>
      </c>
      <c r="D212" s="191">
        <f t="shared" si="12"/>
        <v>270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25</v>
      </c>
      <c r="B213" s="193">
        <f>'Données projet'!D196</f>
        <v>14</v>
      </c>
      <c r="C213" s="206">
        <v>15</v>
      </c>
      <c r="D213" s="191">
        <f t="shared" si="12"/>
        <v>210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30</v>
      </c>
      <c r="B214" s="193">
        <f>'Données projet'!D197</f>
        <v>11</v>
      </c>
      <c r="C214" s="206">
        <v>20</v>
      </c>
      <c r="D214" s="191">
        <f t="shared" si="12"/>
        <v>220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35</v>
      </c>
      <c r="B215" s="193">
        <f>'Données projet'!D198</f>
        <v>9</v>
      </c>
      <c r="C215" s="206">
        <v>30</v>
      </c>
      <c r="D215" s="191">
        <f t="shared" si="12"/>
        <v>270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40</v>
      </c>
      <c r="B216" s="193">
        <f>'Données projet'!D199</f>
        <v>7</v>
      </c>
      <c r="C216" s="206">
        <v>40</v>
      </c>
      <c r="D216" s="191">
        <f t="shared" si="12"/>
        <v>280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45</v>
      </c>
      <c r="B217" s="193">
        <f>'Données projet'!D200</f>
        <v>312</v>
      </c>
      <c r="C217" s="206">
        <v>60</v>
      </c>
      <c r="D217" s="191">
        <f t="shared" si="12"/>
        <v>18720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Geoffrey.Rombaut</cp:lastModifiedBy>
  <dcterms:created xsi:type="dcterms:W3CDTF">2021-02-01T08:22:39Z</dcterms:created>
  <dcterms:modified xsi:type="dcterms:W3CDTF">2023-07-15T22:31:42Z</dcterms:modified>
</cp:coreProperties>
</file>