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70 - Velesmes\"/>
    </mc:Choice>
  </mc:AlternateContent>
  <bookViews>
    <workbookView xWindow="0" yWindow="0" windowWidth="11748" windowHeight="5316" tabRatio="657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7" i="1" l="1"/>
  <c r="B205" i="1" l="1"/>
  <c r="B250" i="1" l="1"/>
  <c r="D250" i="1" s="1"/>
  <c r="B249" i="1"/>
  <c r="D249" i="1" s="1"/>
  <c r="D248" i="1"/>
  <c r="B248" i="1"/>
  <c r="B247" i="1"/>
  <c r="D247" i="1" s="1"/>
  <c r="D246" i="1"/>
  <c r="B246" i="1"/>
  <c r="D245" i="1"/>
  <c r="B245" i="1"/>
  <c r="B244" i="1"/>
  <c r="D206" i="1" l="1"/>
  <c r="D205" i="1"/>
  <c r="B206" i="1"/>
  <c r="D204" i="1"/>
  <c r="B204" i="1"/>
  <c r="B203" i="1"/>
  <c r="D202" i="1"/>
  <c r="B202" i="1"/>
  <c r="B200" i="1"/>
  <c r="B201" i="1"/>
  <c r="D200" i="1"/>
  <c r="B199" i="1"/>
  <c r="D198" i="1"/>
  <c r="B198" i="1"/>
  <c r="B197" i="1"/>
  <c r="D196" i="1"/>
  <c r="B196" i="1"/>
  <c r="B195" i="1"/>
  <c r="D194" i="1"/>
  <c r="B194" i="1"/>
  <c r="B193" i="1"/>
  <c r="B192" i="1"/>
  <c r="D180" i="1"/>
  <c r="B180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B167" i="1"/>
  <c r="D167" i="1"/>
  <c r="D223" i="1"/>
  <c r="D221" i="1"/>
  <c r="D219" i="1"/>
  <c r="D101" i="1" l="1"/>
  <c r="B101" i="1"/>
  <c r="B100" i="1"/>
  <c r="D99" i="1"/>
  <c r="B99" i="1"/>
  <c r="B98" i="1"/>
  <c r="B97" i="1"/>
  <c r="B96" i="1"/>
  <c r="D95" i="1"/>
  <c r="D97" i="1" s="1"/>
  <c r="B95" i="1"/>
  <c r="B94" i="1"/>
  <c r="D93" i="1"/>
  <c r="B93" i="1"/>
  <c r="B92" i="1"/>
  <c r="D91" i="1"/>
  <c r="B91" i="1"/>
  <c r="B90" i="1"/>
  <c r="D89" i="1"/>
  <c r="D55" i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C18" i="1" l="1"/>
  <c r="C15" i="1"/>
  <c r="C14" i="1"/>
  <c r="C11" i="1"/>
  <c r="C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HI7" i="2"/>
  <c r="EX7" i="2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C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HG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Q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EX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B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EX130" i="2"/>
  <c r="HG130" i="2"/>
  <c r="HI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A145" i="2"/>
  <c r="HG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EA146" i="2"/>
  <c r="HI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I150" i="2"/>
  <c r="HG150" i="2"/>
  <c r="EC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J154" i="2" l="1"/>
  <c r="ED154" i="2"/>
  <c r="EY154" i="2"/>
  <c r="AC154" i="2"/>
  <c r="HH155" i="2"/>
  <c r="HG155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EY155" i="2"/>
  <c r="ED155" i="2"/>
  <c r="EX156" i="2"/>
  <c r="HG156" i="2"/>
  <c r="HI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EB157" i="2"/>
  <c r="HG157" i="2"/>
  <c r="EA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D157" i="2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EC160" i="2"/>
  <c r="EY159" i="2"/>
  <c r="H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ED160" i="2"/>
  <c r="HG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HG162" i="2"/>
  <c r="ED161" i="2"/>
  <c r="EB162" i="2"/>
  <c r="EW162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I163" i="2"/>
  <c r="ED162" i="2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HG164" i="2"/>
  <c r="FR164" i="2"/>
  <c r="FS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HI167" i="2"/>
  <c r="HH167" i="2"/>
  <c r="FR167" i="2"/>
  <c r="EX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HI168" i="2"/>
  <c r="EB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EY171" i="2"/>
  <c r="HG172" i="2"/>
  <c r="HI172" i="2"/>
  <c r="ED171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EA175" i="2"/>
  <c r="HI175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EW178" i="2"/>
  <c r="FQ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G179" i="2"/>
  <c r="HI179" i="2"/>
  <c r="EA179" i="2"/>
  <c r="EB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G180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HG186" i="2"/>
  <c r="HH186" i="2"/>
  <c r="FR186" i="2"/>
  <c r="FS186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V190" i="2"/>
  <c r="ED189" i="2"/>
  <c r="EY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Y191" i="2"/>
  <c r="EW192" i="2"/>
  <c r="HI192" i="2"/>
  <c r="EC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EB193" i="2"/>
  <c r="EA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EA194" i="2"/>
  <c r="ED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HI195" i="2"/>
  <c r="EA195" i="2"/>
  <c r="ED194" i="2"/>
  <c r="EB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Y196" i="2"/>
  <c r="EW197" i="2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I200" i="2" s="1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Y200" i="2"/>
  <c r="ED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H202" i="2"/>
  <c r="EW202" i="2"/>
  <c r="EY201" i="2"/>
  <c r="EX202" i="2"/>
  <c r="FR202" i="2"/>
  <c r="ED201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09" i="2" a="1"/>
  <c r="EI10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HH203" i="2" l="1"/>
  <c r="HG203" i="2"/>
  <c r="EI20" i="2" a="1"/>
  <c r="EI20" i="2" s="1"/>
  <c r="EI106" i="2" a="1"/>
  <c r="EI106" i="2" s="1"/>
  <c r="EI38" i="2" a="1"/>
  <c r="EI38" i="2" s="1"/>
  <c r="EI153" i="2" a="1"/>
  <c r="EI153" i="2" s="1"/>
  <c r="EI37" i="2" a="1"/>
  <c r="EI37" i="2" s="1"/>
  <c r="EI128" i="2" a="1"/>
  <c r="EI128" i="2" s="1"/>
  <c r="EI113" i="2" a="1"/>
  <c r="EI113" i="2" s="1"/>
  <c r="EI87" i="2" a="1"/>
  <c r="EI87" i="2" s="1"/>
  <c r="EI195" i="2" a="1"/>
  <c r="EI195" i="2" s="1"/>
  <c r="EI29" i="2" a="1"/>
  <c r="EI29" i="2" s="1"/>
  <c r="EI35" i="2" a="1"/>
  <c r="EI35" i="2" s="1"/>
  <c r="EI34" i="2" a="1"/>
  <c r="EI34" i="2" s="1"/>
  <c r="EI142" i="2" a="1"/>
  <c r="EI142" i="2" s="1"/>
  <c r="EI166" i="2" a="1"/>
  <c r="EI166" i="2" s="1"/>
  <c r="EI165" i="2" a="1"/>
  <c r="EI165" i="2" s="1"/>
  <c r="EI178" i="2" a="1"/>
  <c r="EI178" i="2" s="1"/>
  <c r="EI198" i="2" a="1"/>
  <c r="EI198" i="2" s="1"/>
  <c r="EI139" i="2" a="1"/>
  <c r="EI139" i="2" s="1"/>
  <c r="EI67" i="2" a="1"/>
  <c r="EI67" i="2" s="1"/>
  <c r="EI71" i="2" a="1"/>
  <c r="EI71" i="2" s="1"/>
  <c r="EI145" i="2" a="1"/>
  <c r="EI145" i="2" s="1"/>
  <c r="EI170" i="2" a="1"/>
  <c r="EI170" i="2" s="1"/>
  <c r="EI57" i="2" a="1"/>
  <c r="EI57" i="2" s="1"/>
  <c r="EI162" i="2" a="1"/>
  <c r="EI162" i="2" s="1"/>
  <c r="EI16" i="2" a="1"/>
  <c r="EI16" i="2" s="1"/>
  <c r="EI36" i="2" a="1"/>
  <c r="EI36" i="2" s="1"/>
  <c r="EI150" i="2" a="1"/>
  <c r="EI150" i="2" s="1"/>
  <c r="BP203" i="2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25" i="2" l="1"/>
  <c r="FJ107" i="2"/>
  <c r="FJ156" i="2"/>
  <c r="FE84" i="2"/>
  <c r="FF83" i="2"/>
  <c r="FG83" i="2" s="1"/>
  <c r="FH83" i="2" s="1"/>
  <c r="FI83" i="2" s="1"/>
  <c r="FJ56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85" i="2" l="1"/>
  <c r="FJ141" i="2"/>
  <c r="FJ17" i="2"/>
  <c r="FJ11" i="2"/>
  <c r="FJ112" i="2"/>
  <c r="FJ64" i="2"/>
  <c r="FJ117" i="2"/>
  <c r="FJ126" i="2"/>
  <c r="FJ8" i="2"/>
  <c r="FJ96" i="2"/>
  <c r="FJ74" i="2"/>
  <c r="FJ130" i="2"/>
  <c r="FJ145" i="2"/>
  <c r="FJ90" i="2"/>
  <c r="FJ109" i="2"/>
  <c r="FJ40" i="2"/>
  <c r="FJ124" i="2"/>
  <c r="FJ93" i="2"/>
  <c r="FJ200" i="2"/>
  <c r="FJ189" i="2"/>
  <c r="FJ182" i="2"/>
  <c r="FJ3" i="2"/>
  <c r="C13" i="4" s="1"/>
  <c r="E13" i="4" s="1"/>
  <c r="F13" i="4" s="1"/>
  <c r="G13" i="4" s="1"/>
  <c r="L13" i="4" s="1"/>
  <c r="FJ116" i="2"/>
  <c r="FJ94" i="2"/>
  <c r="FJ162" i="2"/>
  <c r="FJ159" i="2"/>
  <c r="FJ9" i="2"/>
  <c r="FJ163" i="2"/>
  <c r="FJ36" i="2"/>
  <c r="FJ47" i="2"/>
  <c r="FJ143" i="2"/>
  <c r="FJ5" i="2"/>
  <c r="FJ146" i="2"/>
  <c r="FJ110" i="2"/>
  <c r="FJ63" i="2"/>
  <c r="FJ30" i="2"/>
  <c r="FJ88" i="2"/>
  <c r="FJ39" i="2"/>
  <c r="FJ119" i="2"/>
  <c r="FJ187" i="2"/>
  <c r="FJ157" i="2"/>
  <c r="FJ190" i="2"/>
  <c r="FJ167" i="2"/>
  <c r="FJ27" i="2"/>
  <c r="FJ123" i="2"/>
  <c r="FJ108" i="2"/>
  <c r="FJ103" i="2"/>
  <c r="FJ85" i="2"/>
  <c r="FJ24" i="2"/>
  <c r="FJ35" i="2"/>
  <c r="FJ81" i="2"/>
  <c r="FJ15" i="2"/>
  <c r="FJ147" i="2"/>
  <c r="FJ41" i="2"/>
  <c r="FJ65" i="2"/>
  <c r="FJ134" i="2"/>
  <c r="FJ25" i="2"/>
  <c r="FJ174" i="2"/>
  <c r="FJ177" i="2"/>
  <c r="FJ150" i="2"/>
  <c r="FJ169" i="2"/>
  <c r="FJ16" i="2"/>
  <c r="FJ114" i="2"/>
  <c r="FJ115" i="2"/>
  <c r="FJ195" i="2"/>
  <c r="FJ196" i="2"/>
  <c r="FJ21" i="2"/>
  <c r="FJ180" i="2"/>
  <c r="FJ72" i="2"/>
  <c r="FJ73" i="2"/>
  <c r="FJ82" i="2"/>
  <c r="FJ79" i="2"/>
  <c r="FJ61" i="2"/>
  <c r="FJ139" i="2"/>
  <c r="FJ140" i="2"/>
  <c r="FJ127" i="2"/>
  <c r="FJ188" i="2"/>
  <c r="FJ197" i="2"/>
  <c r="FJ42" i="2"/>
  <c r="FJ49" i="2"/>
  <c r="FJ149" i="2"/>
  <c r="FJ67" i="2"/>
  <c r="FJ54" i="2"/>
  <c r="FJ171" i="2"/>
  <c r="FJ26" i="2"/>
  <c r="FJ128" i="2"/>
  <c r="FJ78" i="2"/>
  <c r="FJ44" i="2"/>
  <c r="FJ203" i="2"/>
  <c r="FJ19" i="2"/>
  <c r="FJ138" i="2"/>
  <c r="FJ76" i="2"/>
  <c r="FJ86" i="2"/>
  <c r="FJ89" i="2"/>
  <c r="FJ12" i="2"/>
  <c r="FJ194" i="2"/>
  <c r="FJ133" i="2"/>
  <c r="FJ178" i="2"/>
  <c r="FJ32" i="2"/>
  <c r="FJ101" i="2"/>
  <c r="FJ186" i="2"/>
  <c r="FJ33" i="2"/>
  <c r="FJ28" i="2"/>
  <c r="FJ46" i="2"/>
  <c r="FJ57" i="2"/>
  <c r="FJ70" i="2"/>
  <c r="FJ38" i="2"/>
  <c r="FJ131" i="2"/>
  <c r="FJ29" i="2"/>
  <c r="FJ158" i="2"/>
  <c r="FJ34" i="2"/>
  <c r="FJ135" i="2"/>
  <c r="FJ53" i="2"/>
  <c r="FJ23" i="2"/>
  <c r="FJ113" i="2"/>
  <c r="FJ68" i="2"/>
  <c r="FJ83" i="2"/>
  <c r="FJ51" i="2"/>
  <c r="FJ104" i="2"/>
  <c r="FJ161" i="2"/>
  <c r="FJ52" i="2"/>
  <c r="FJ43" i="2"/>
  <c r="FJ173" i="2"/>
  <c r="FJ48" i="2"/>
  <c r="FJ201" i="2"/>
  <c r="FJ175" i="2"/>
  <c r="FJ14" i="2"/>
  <c r="FJ37" i="2"/>
  <c r="FJ152" i="2"/>
  <c r="FJ122" i="2"/>
  <c r="FJ168" i="2"/>
  <c r="FJ75" i="2"/>
  <c r="FJ202" i="2"/>
  <c r="FJ179" i="2"/>
  <c r="FJ155" i="2"/>
  <c r="FJ183" i="2"/>
  <c r="FJ80" i="2"/>
  <c r="FJ45" i="2"/>
  <c r="FJ100" i="2"/>
  <c r="FJ132" i="2"/>
  <c r="FJ154" i="2"/>
  <c r="FJ95" i="2"/>
  <c r="FJ172" i="2"/>
  <c r="FJ87" i="2"/>
  <c r="FJ10" i="2"/>
  <c r="FJ58" i="2"/>
  <c r="FJ60" i="2"/>
  <c r="FJ142" i="2"/>
  <c r="FJ91" i="2"/>
  <c r="FJ84" i="2"/>
  <c r="FJ106" i="2"/>
  <c r="FJ164" i="2"/>
  <c r="FJ199" i="2"/>
  <c r="FJ111" i="2"/>
  <c r="FJ102" i="2"/>
  <c r="FJ105" i="2"/>
  <c r="FJ144" i="2"/>
  <c r="FJ69" i="2"/>
  <c r="FJ66" i="2"/>
  <c r="FJ71" i="2"/>
  <c r="FJ118" i="2"/>
  <c r="FJ160" i="2"/>
  <c r="FJ13" i="2"/>
  <c r="FJ151" i="2"/>
  <c r="FJ55" i="2"/>
  <c r="FJ98" i="2"/>
  <c r="FJ198" i="2"/>
  <c r="FJ20" i="2"/>
  <c r="FJ4" i="2"/>
  <c r="FJ120" i="2"/>
  <c r="FJ50" i="2"/>
  <c r="FJ22" i="2"/>
  <c r="FJ31" i="2"/>
  <c r="FJ6" i="2"/>
  <c r="FJ181" i="2"/>
  <c r="FJ129" i="2"/>
  <c r="FJ62" i="2"/>
  <c r="FJ59" i="2"/>
  <c r="FJ176" i="2"/>
  <c r="FJ77" i="2"/>
  <c r="FJ137" i="2"/>
  <c r="FJ165" i="2"/>
  <c r="FJ97" i="2"/>
  <c r="FJ191" i="2"/>
  <c r="FJ153" i="2"/>
  <c r="FJ7" i="2"/>
  <c r="FJ136" i="2"/>
  <c r="FJ121" i="2"/>
  <c r="FJ18" i="2"/>
  <c r="FJ92" i="2"/>
  <c r="FJ192" i="2"/>
  <c r="FJ166" i="2"/>
  <c r="FJ184" i="2"/>
  <c r="FJ170" i="2"/>
  <c r="FJ148" i="2"/>
  <c r="FJ99" i="2"/>
  <c r="FJ193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GE11" i="2" l="1"/>
  <c r="GE84" i="2"/>
  <c r="GE48" i="2"/>
  <c r="GE144" i="2"/>
  <c r="GE41" i="2"/>
  <c r="GE13" i="2"/>
  <c r="GE111" i="2"/>
  <c r="GE12" i="2"/>
  <c r="GE60" i="2"/>
  <c r="GE101" i="2"/>
  <c r="GE44" i="2"/>
  <c r="GE109" i="2"/>
  <c r="GE135" i="2"/>
  <c r="GE175" i="2"/>
  <c r="GE14" i="2"/>
  <c r="GE187" i="2"/>
  <c r="GE110" i="2"/>
  <c r="GE56" i="2"/>
  <c r="GE6" i="2"/>
  <c r="GE64" i="2"/>
  <c r="GE195" i="2"/>
  <c r="GE57" i="2"/>
  <c r="GE154" i="2"/>
  <c r="GE9" i="2"/>
  <c r="GE69" i="2"/>
  <c r="GE71" i="2"/>
  <c r="GE167" i="2"/>
  <c r="GE67" i="2"/>
  <c r="GE87" i="2"/>
  <c r="GE58" i="2"/>
  <c r="GE53" i="2"/>
  <c r="GE139" i="2"/>
  <c r="GE164" i="2"/>
  <c r="GE31" i="2"/>
  <c r="GE162" i="2"/>
  <c r="GE148" i="2"/>
  <c r="GE159" i="2"/>
  <c r="GE155" i="2"/>
  <c r="GE27" i="2"/>
  <c r="GE8" i="2"/>
  <c r="GE18" i="2"/>
  <c r="GE134" i="2"/>
  <c r="GE198" i="2"/>
  <c r="GE165" i="2"/>
  <c r="GE89" i="2"/>
  <c r="GE107" i="2"/>
  <c r="GE158" i="2"/>
  <c r="GE29" i="2"/>
  <c r="GE3" i="2"/>
  <c r="C14" i="4" s="1"/>
  <c r="E14" i="4" s="1"/>
  <c r="F14" i="4" s="1"/>
  <c r="G14" i="4" s="1"/>
  <c r="L14" i="4" s="1"/>
  <c r="GE120" i="2"/>
  <c r="GE129" i="2"/>
  <c r="GE119" i="2"/>
  <c r="GE112" i="2"/>
  <c r="GE150" i="2"/>
  <c r="GE54" i="2"/>
  <c r="GE106" i="2"/>
  <c r="GE196" i="2"/>
  <c r="GE104" i="2"/>
  <c r="GE121" i="2"/>
  <c r="GE73" i="2"/>
  <c r="GE133" i="2"/>
  <c r="GE132" i="2"/>
  <c r="GE37" i="2"/>
  <c r="GE114" i="2"/>
  <c r="GE30" i="2"/>
  <c r="GE26" i="2"/>
  <c r="GE20" i="2"/>
  <c r="GE34" i="2"/>
  <c r="GE180" i="2"/>
  <c r="GE23" i="2"/>
  <c r="GE168" i="2"/>
  <c r="GE153" i="2"/>
  <c r="GE146" i="2"/>
  <c r="GE50" i="2"/>
  <c r="GE125" i="2"/>
  <c r="GE122" i="2"/>
  <c r="GE62" i="2"/>
  <c r="GE189" i="2"/>
  <c r="GE115" i="2"/>
  <c r="GE171" i="2"/>
  <c r="GE102" i="2"/>
  <c r="GE10" i="2"/>
  <c r="GE38" i="2"/>
  <c r="GE136" i="2"/>
  <c r="GE127" i="2"/>
  <c r="GE66" i="2"/>
  <c r="GE52" i="2"/>
  <c r="GE178" i="2"/>
  <c r="GE201" i="2"/>
  <c r="GE100" i="2"/>
  <c r="GE19" i="2"/>
  <c r="GE85" i="2"/>
  <c r="GE151" i="2"/>
  <c r="GE117" i="2"/>
  <c r="GE123" i="2"/>
  <c r="GE194" i="2"/>
  <c r="GE88" i="2"/>
  <c r="GE70" i="2"/>
  <c r="GE76" i="2"/>
  <c r="GE176" i="2"/>
  <c r="GE163" i="2"/>
  <c r="GE39" i="2"/>
  <c r="GE131" i="2"/>
  <c r="GE172" i="2"/>
  <c r="GE17" i="2"/>
  <c r="GE51" i="2"/>
  <c r="GE4" i="2"/>
  <c r="GE103" i="2"/>
  <c r="GE91" i="2"/>
  <c r="GE63" i="2"/>
  <c r="GE72" i="2"/>
  <c r="GE157" i="2"/>
  <c r="GE145" i="2"/>
  <c r="GE190" i="2"/>
  <c r="GE81" i="2"/>
  <c r="GE36" i="2"/>
  <c r="GE40" i="2"/>
  <c r="GE42" i="2"/>
  <c r="GE75" i="2"/>
  <c r="GE200" i="2"/>
  <c r="GE188" i="2"/>
  <c r="GE160" i="2"/>
  <c r="GE179" i="2"/>
  <c r="GE15" i="2"/>
  <c r="GE92" i="2"/>
  <c r="GE49" i="2"/>
  <c r="GE173" i="2"/>
  <c r="GE140" i="2"/>
  <c r="GE177" i="2"/>
  <c r="GE161" i="2"/>
  <c r="GE16" i="2"/>
  <c r="GE113" i="2"/>
  <c r="GE94" i="2"/>
  <c r="GE78" i="2"/>
  <c r="GE116" i="2"/>
  <c r="GE83" i="2"/>
  <c r="GE191" i="2"/>
  <c r="GE80" i="2"/>
  <c r="GE108" i="2"/>
  <c r="GE99" i="2"/>
  <c r="GE170" i="2"/>
  <c r="GE61" i="2"/>
  <c r="GE126" i="2"/>
  <c r="GE197" i="2"/>
  <c r="GE79" i="2"/>
  <c r="GE98" i="2"/>
  <c r="GE105" i="2"/>
  <c r="GE152" i="2"/>
  <c r="GE96" i="2"/>
  <c r="GE5" i="2"/>
  <c r="GE138" i="2"/>
  <c r="GE7" i="2"/>
  <c r="GE47" i="2"/>
  <c r="GE28" i="2"/>
  <c r="GE90" i="2"/>
  <c r="GE174" i="2"/>
  <c r="GE21" i="2"/>
  <c r="GE202" i="2"/>
  <c r="GE25" i="2"/>
  <c r="GE193" i="2"/>
  <c r="GE95" i="2"/>
  <c r="GE32" i="2"/>
  <c r="GE166" i="2"/>
  <c r="GE22" i="2"/>
  <c r="GE124" i="2"/>
  <c r="GE55" i="2"/>
  <c r="GE143" i="2"/>
  <c r="GE137" i="2"/>
  <c r="GE45" i="2"/>
  <c r="GE203" i="2"/>
  <c r="GE33" i="2"/>
  <c r="GE149" i="2"/>
  <c r="GE86" i="2"/>
  <c r="GE156" i="2"/>
  <c r="GE182" i="2"/>
  <c r="GE186" i="2"/>
  <c r="GE118" i="2"/>
  <c r="GE65" i="2"/>
  <c r="GE59" i="2"/>
  <c r="GE74" i="2"/>
  <c r="GE68" i="2"/>
  <c r="GE46" i="2"/>
  <c r="GE181" i="2"/>
  <c r="GE43" i="2"/>
  <c r="GE128" i="2"/>
  <c r="GE183" i="2"/>
  <c r="GE35" i="2"/>
  <c r="GE147" i="2"/>
  <c r="GE192" i="2"/>
  <c r="GE141" i="2"/>
  <c r="GE142" i="2"/>
  <c r="GE184" i="2"/>
  <c r="GE130" i="2"/>
  <c r="GE185" i="2"/>
  <c r="GE77" i="2"/>
  <c r="GE199" i="2"/>
  <c r="GE24" i="2"/>
  <c r="GE82" i="2"/>
  <c r="GE93" i="2"/>
  <c r="GE169" i="2"/>
  <c r="GE97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67" i="2"/>
  <c r="CY49" i="2"/>
  <c r="CY175" i="2"/>
  <c r="CY19" i="2"/>
  <c r="CY117" i="2"/>
  <c r="CY124" i="2"/>
  <c r="CY76" i="2"/>
  <c r="CY178" i="2"/>
  <c r="CY142" i="2"/>
  <c r="CY73" i="2"/>
  <c r="CY111" i="2"/>
  <c r="CY182" i="2"/>
  <c r="CY20" i="2"/>
  <c r="CY150" i="2"/>
  <c r="CY56" i="2"/>
  <c r="CY187" i="2"/>
  <c r="CY64" i="2"/>
  <c r="CY183" i="2"/>
  <c r="CY157" i="2"/>
  <c r="CY138" i="2"/>
  <c r="CY171" i="2"/>
  <c r="CY193" i="2"/>
  <c r="CY180" i="2"/>
  <c r="CY130" i="2"/>
  <c r="CY52" i="2"/>
  <c r="CY85" i="2"/>
  <c r="CY113" i="2"/>
  <c r="CY145" i="2"/>
  <c r="CY63" i="2"/>
  <c r="CY55" i="2"/>
  <c r="CY129" i="2"/>
  <c r="CY59" i="2"/>
  <c r="CY38" i="2"/>
  <c r="CY10" i="2"/>
  <c r="CY156" i="2"/>
  <c r="CY108" i="2"/>
  <c r="CY23" i="2"/>
  <c r="CY15" i="2"/>
  <c r="CY134" i="2"/>
  <c r="CY82" i="2"/>
  <c r="CY149" i="2"/>
  <c r="CY66" i="2"/>
  <c r="CY98" i="2"/>
  <c r="CY45" i="2"/>
  <c r="CY135" i="2"/>
  <c r="CY92" i="2"/>
  <c r="CY139" i="2"/>
  <c r="CY41" i="2"/>
  <c r="CY143" i="2"/>
  <c r="CY203" i="2"/>
  <c r="CY202" i="2"/>
  <c r="CY81" i="2"/>
  <c r="CY13" i="2"/>
  <c r="CY114" i="2"/>
  <c r="CY140" i="2"/>
  <c r="CY122" i="2"/>
  <c r="CY34" i="2"/>
  <c r="CY191" i="2"/>
  <c r="CY190" i="2"/>
  <c r="CY51" i="2"/>
  <c r="CY199" i="2"/>
  <c r="CY9" i="2"/>
  <c r="CY75" i="2"/>
  <c r="CY158" i="2"/>
  <c r="CY7" i="2"/>
  <c r="CY30" i="2"/>
  <c r="CY176" i="2"/>
  <c r="CY14" i="2"/>
  <c r="CY86" i="2"/>
  <c r="CY54" i="2"/>
  <c r="CY169" i="2"/>
  <c r="CY155" i="2"/>
  <c r="CY95" i="2"/>
  <c r="CY89" i="2"/>
  <c r="CY25" i="2"/>
  <c r="CY36" i="2"/>
  <c r="CY26" i="2"/>
  <c r="CY118" i="2"/>
  <c r="CY125" i="2"/>
  <c r="CY97" i="2"/>
  <c r="CY62" i="2"/>
  <c r="CY29" i="2"/>
  <c r="CY17" i="2"/>
  <c r="CY165" i="2"/>
  <c r="CY18" i="2"/>
  <c r="CY177" i="2"/>
  <c r="CY39" i="2"/>
  <c r="CY53" i="2"/>
  <c r="CY61" i="2"/>
  <c r="CY40" i="2"/>
  <c r="CY22" i="2"/>
  <c r="CY184" i="2"/>
  <c r="CY196" i="2"/>
  <c r="CY96" i="2"/>
  <c r="CY6" i="2"/>
  <c r="CY5" i="2"/>
  <c r="CY87" i="2"/>
  <c r="CY141" i="2"/>
  <c r="CY28" i="2"/>
  <c r="CY161" i="2"/>
  <c r="CY164" i="2"/>
  <c r="CY43" i="2"/>
  <c r="CY144" i="2"/>
  <c r="CY173" i="2"/>
  <c r="CY137" i="2"/>
  <c r="CY31" i="2"/>
  <c r="CY65" i="2"/>
  <c r="CY120" i="2"/>
  <c r="CY119" i="2"/>
  <c r="CY88" i="2"/>
  <c r="CY8" i="2"/>
  <c r="CY179" i="2"/>
  <c r="CY181" i="2"/>
  <c r="CY197" i="2"/>
  <c r="CY110" i="2"/>
  <c r="CY170" i="2"/>
  <c r="CY189" i="2"/>
  <c r="CY148" i="2"/>
  <c r="CY131" i="2"/>
  <c r="CY166" i="2"/>
  <c r="CY106" i="2"/>
  <c r="CY105" i="2"/>
  <c r="CY16" i="2"/>
  <c r="CY112" i="2"/>
  <c r="CY101" i="2"/>
  <c r="CY12" i="2"/>
  <c r="CY172" i="2"/>
  <c r="CY21" i="2"/>
  <c r="CY70" i="2"/>
  <c r="CY83" i="2"/>
  <c r="CY44" i="2"/>
  <c r="CY79" i="2"/>
  <c r="CY72" i="2"/>
  <c r="CY84" i="2"/>
  <c r="CY103" i="2"/>
  <c r="CY160" i="2"/>
  <c r="CY185" i="2"/>
  <c r="CY80" i="2"/>
  <c r="CY107" i="2"/>
  <c r="CY4" i="2"/>
  <c r="CY74" i="2"/>
  <c r="CY152" i="2"/>
  <c r="CY93" i="2"/>
  <c r="CY162" i="2"/>
  <c r="CY33" i="2"/>
  <c r="CY146" i="2"/>
  <c r="CY3" i="2"/>
  <c r="C10" i="4" s="1"/>
  <c r="E10" i="4" s="1"/>
  <c r="F10" i="4" s="1"/>
  <c r="G10" i="4" s="1"/>
  <c r="L10" i="4" s="1"/>
  <c r="CY163" i="2"/>
  <c r="CY94" i="2"/>
  <c r="CY77" i="2"/>
  <c r="CY47" i="2"/>
  <c r="CY71" i="2"/>
  <c r="CY151" i="2"/>
  <c r="CY58" i="2"/>
  <c r="CY195" i="2"/>
  <c r="CY48" i="2"/>
  <c r="CY32" i="2"/>
  <c r="CY188" i="2"/>
  <c r="CY90" i="2"/>
  <c r="CY67" i="2"/>
  <c r="CY42" i="2"/>
  <c r="CY68" i="2"/>
  <c r="CY168" i="2"/>
  <c r="CY136" i="2"/>
  <c r="CY200" i="2"/>
  <c r="CY186" i="2"/>
  <c r="CY133" i="2"/>
  <c r="CY198" i="2"/>
  <c r="CY50" i="2"/>
  <c r="CY194" i="2"/>
  <c r="CY201" i="2"/>
  <c r="CY46" i="2"/>
  <c r="CY153" i="2"/>
  <c r="CY35" i="2"/>
  <c r="CY78" i="2"/>
  <c r="CY57" i="2"/>
  <c r="CY123" i="2"/>
  <c r="CY37" i="2"/>
  <c r="CY121" i="2"/>
  <c r="CY126" i="2"/>
  <c r="CY99" i="2"/>
  <c r="CY128" i="2"/>
  <c r="CY91" i="2"/>
  <c r="CY69" i="2"/>
  <c r="CY27" i="2"/>
  <c r="CY104" i="2"/>
  <c r="CY109" i="2"/>
  <c r="CY60" i="2"/>
  <c r="CY100" i="2"/>
  <c r="CY154" i="2"/>
  <c r="CY116" i="2"/>
  <c r="CY132" i="2"/>
  <c r="CY192" i="2"/>
  <c r="CY115" i="2"/>
  <c r="CY127" i="2"/>
  <c r="CY102" i="2"/>
  <c r="CY11" i="2"/>
  <c r="CY159" i="2"/>
  <c r="CY174" i="2"/>
  <c r="CY147" i="2"/>
  <c r="CD78" i="2"/>
  <c r="CD28" i="2"/>
  <c r="CD180" i="2"/>
  <c r="CD96" i="2"/>
  <c r="CD34" i="2"/>
  <c r="CD125" i="2"/>
  <c r="CD30" i="2"/>
  <c r="CD27" i="2"/>
  <c r="CD29" i="2"/>
  <c r="CD188" i="2"/>
  <c r="CD15" i="2"/>
  <c r="CD121" i="2"/>
  <c r="CD81" i="2"/>
  <c r="CD59" i="2"/>
  <c r="CD162" i="2"/>
  <c r="CD145" i="2"/>
  <c r="CD154" i="2"/>
  <c r="CD6" i="2"/>
  <c r="CD116" i="2"/>
  <c r="CD8" i="2"/>
  <c r="CD146" i="2"/>
  <c r="CD135" i="2"/>
  <c r="CD123" i="2"/>
  <c r="CD129" i="2"/>
  <c r="CD43" i="2"/>
  <c r="CD18" i="2"/>
  <c r="CD108" i="2"/>
  <c r="CD178" i="2"/>
  <c r="CD149" i="2"/>
  <c r="CD112" i="2"/>
  <c r="CD167" i="2"/>
  <c r="CD63" i="2"/>
  <c r="CD11" i="2"/>
  <c r="CD172" i="2"/>
  <c r="CD117" i="2"/>
  <c r="CD124" i="2"/>
  <c r="CD134" i="2"/>
  <c r="CD128" i="2"/>
  <c r="CD31" i="2"/>
  <c r="CD25" i="2"/>
  <c r="CD158" i="2"/>
  <c r="CD137" i="2"/>
  <c r="CD200" i="2"/>
  <c r="CD127" i="2"/>
  <c r="CD10" i="2"/>
  <c r="CD126" i="2"/>
  <c r="CD99" i="2"/>
  <c r="CD165" i="2"/>
  <c r="CD55" i="2"/>
  <c r="CD187" i="2"/>
  <c r="CD164" i="2"/>
  <c r="CD64" i="2"/>
  <c r="CD90" i="2"/>
  <c r="CD79" i="2"/>
  <c r="CD170" i="2"/>
  <c r="CD51" i="2"/>
  <c r="CD62" i="2"/>
  <c r="CD56" i="2"/>
  <c r="CD84" i="2"/>
  <c r="CD119" i="2"/>
  <c r="CD35" i="2"/>
  <c r="CD183" i="2"/>
  <c r="CD131" i="2"/>
  <c r="CD48" i="2"/>
  <c r="CD9" i="2"/>
  <c r="CD104" i="2"/>
  <c r="CD91" i="2"/>
  <c r="CD80" i="2"/>
  <c r="CD156" i="2"/>
  <c r="CD198" i="2"/>
  <c r="CD74" i="2"/>
  <c r="CD184" i="2"/>
  <c r="CD115" i="2"/>
  <c r="CD67" i="2"/>
  <c r="CD17" i="2"/>
  <c r="CD163" i="2"/>
  <c r="CD76" i="2"/>
  <c r="CD136" i="2"/>
  <c r="CD140" i="2"/>
  <c r="CD75" i="2"/>
  <c r="CD54" i="2"/>
  <c r="CD86" i="2"/>
  <c r="CD100" i="2"/>
  <c r="CD181" i="2"/>
  <c r="CD101" i="2"/>
  <c r="CD52" i="2"/>
  <c r="CD192" i="2"/>
  <c r="CD21" i="2"/>
  <c r="CD114" i="2"/>
  <c r="CD151" i="2"/>
  <c r="CD3" i="2"/>
  <c r="C9" i="4" s="1"/>
  <c r="E9" i="4" s="1"/>
  <c r="F9" i="4" s="1"/>
  <c r="G9" i="4" s="1"/>
  <c r="L9" i="4" s="1"/>
  <c r="CD94" i="2"/>
  <c r="CD82" i="2"/>
  <c r="CD57" i="2"/>
  <c r="CD141" i="2"/>
  <c r="CD40" i="2"/>
  <c r="CD133" i="2"/>
  <c r="CD171" i="2"/>
  <c r="CD70" i="2"/>
  <c r="CD73" i="2"/>
  <c r="CD161" i="2"/>
  <c r="CD22" i="2"/>
  <c r="CD32" i="2"/>
  <c r="CD139" i="2"/>
  <c r="CD93" i="2"/>
  <c r="CD89" i="2"/>
  <c r="CD36" i="2"/>
  <c r="CD37" i="2"/>
  <c r="CD45" i="2"/>
  <c r="CD39" i="2"/>
  <c r="CD60" i="2"/>
  <c r="CD185" i="2"/>
  <c r="CD196" i="2"/>
  <c r="CD153" i="2"/>
  <c r="CD102" i="2"/>
  <c r="CD33" i="2"/>
  <c r="CD194" i="2"/>
  <c r="CD168" i="2"/>
  <c r="CD5" i="2"/>
  <c r="CD199" i="2"/>
  <c r="CD24" i="2"/>
  <c r="CD148" i="2"/>
  <c r="CD174" i="2"/>
  <c r="CD50" i="2"/>
  <c r="CD157" i="2"/>
  <c r="CD173" i="2"/>
  <c r="CD12" i="2"/>
  <c r="CD166" i="2"/>
  <c r="CD159" i="2"/>
  <c r="CD186" i="2"/>
  <c r="CD66" i="2"/>
  <c r="CD46" i="2"/>
  <c r="CD41" i="2"/>
  <c r="CD122" i="2"/>
  <c r="CD179" i="2"/>
  <c r="CD177" i="2"/>
  <c r="CD202" i="2"/>
  <c r="CD120" i="2"/>
  <c r="CD7" i="2"/>
  <c r="CD106" i="2"/>
  <c r="CD47" i="2"/>
  <c r="CD103" i="2"/>
  <c r="CD109" i="2"/>
  <c r="CD130" i="2"/>
  <c r="CD191" i="2"/>
  <c r="CD87" i="2"/>
  <c r="CD72" i="2"/>
  <c r="CD203" i="2"/>
  <c r="CD4" i="2"/>
  <c r="CD26" i="2"/>
  <c r="CD152" i="2"/>
  <c r="CD113" i="2"/>
  <c r="CD105" i="2"/>
  <c r="CD155" i="2"/>
  <c r="CD85" i="2"/>
  <c r="CD88" i="2"/>
  <c r="CD14" i="2"/>
  <c r="CD83" i="2"/>
  <c r="CD175" i="2"/>
  <c r="CD190" i="2"/>
  <c r="CD142" i="2"/>
  <c r="CD201" i="2"/>
  <c r="CD19" i="2"/>
  <c r="CD169" i="2"/>
  <c r="CD150" i="2"/>
  <c r="CD13" i="2"/>
  <c r="CD38" i="2"/>
  <c r="CD58" i="2"/>
  <c r="CD20" i="2"/>
  <c r="CD182" i="2"/>
  <c r="CD16" i="2"/>
  <c r="CD69" i="2"/>
  <c r="CD189" i="2"/>
  <c r="CD147" i="2"/>
  <c r="CD53" i="2"/>
  <c r="CD92" i="2"/>
  <c r="CD107" i="2"/>
  <c r="CD118" i="2"/>
  <c r="CD23" i="2"/>
  <c r="CD195" i="2"/>
  <c r="CD95" i="2"/>
  <c r="CD98" i="2"/>
  <c r="CD71" i="2"/>
  <c r="CD68" i="2"/>
  <c r="CD176" i="2"/>
  <c r="CD193" i="2"/>
  <c r="CD42" i="2"/>
  <c r="CD132" i="2"/>
  <c r="CD110" i="2"/>
  <c r="CD77" i="2"/>
  <c r="CD138" i="2"/>
  <c r="CD143" i="2"/>
  <c r="CD44" i="2"/>
  <c r="CD65" i="2"/>
  <c r="CD160" i="2"/>
  <c r="CD49" i="2"/>
  <c r="CD61" i="2"/>
  <c r="CD144" i="2"/>
  <c r="CD111" i="2"/>
  <c r="CD197" i="2"/>
  <c r="CD9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69" i="2" l="1"/>
  <c r="BI181" i="2"/>
  <c r="BI47" i="2"/>
  <c r="BI143" i="2"/>
  <c r="BI43" i="2"/>
  <c r="BI179" i="2"/>
  <c r="BI90" i="2"/>
  <c r="BI7" i="2"/>
  <c r="BI76" i="2"/>
  <c r="BI39" i="2"/>
  <c r="BI51" i="2"/>
  <c r="BI84" i="2"/>
  <c r="BI111" i="2"/>
  <c r="BI105" i="2"/>
  <c r="BI20" i="2"/>
  <c r="BI57" i="2"/>
  <c r="BI155" i="2"/>
  <c r="BI175" i="2"/>
  <c r="BI112" i="2"/>
  <c r="BI188" i="2"/>
  <c r="BI108" i="2"/>
  <c r="BI82" i="2"/>
  <c r="BI93" i="2"/>
  <c r="BI153" i="2"/>
  <c r="BI60" i="2"/>
  <c r="BI142" i="2"/>
  <c r="BI139" i="2"/>
  <c r="BI55" i="2"/>
  <c r="BI41" i="2"/>
  <c r="BI26" i="2"/>
  <c r="BI156" i="2"/>
  <c r="BI180" i="2"/>
  <c r="BI148" i="2"/>
  <c r="BI98" i="2"/>
  <c r="BI190" i="2"/>
  <c r="BI152" i="2"/>
  <c r="BI117" i="2"/>
  <c r="BI161" i="2"/>
  <c r="BI106" i="2"/>
  <c r="BI91" i="2"/>
  <c r="BI46" i="2"/>
  <c r="BI38" i="2"/>
  <c r="BI36" i="2"/>
  <c r="BI78" i="2"/>
  <c r="BI5" i="2"/>
  <c r="BI122" i="2"/>
  <c r="BI30" i="2"/>
  <c r="BI162" i="2"/>
  <c r="BI48" i="2"/>
  <c r="BI144" i="2"/>
  <c r="BI193" i="2"/>
  <c r="BI22" i="2"/>
  <c r="BI135" i="2"/>
  <c r="BI202" i="2"/>
  <c r="BI83" i="2"/>
  <c r="BI164" i="2"/>
  <c r="BI169" i="2"/>
  <c r="BI189" i="2"/>
  <c r="BI191" i="2"/>
  <c r="BI66" i="2"/>
  <c r="BI115" i="2"/>
  <c r="BI61" i="2"/>
  <c r="BI80" i="2"/>
  <c r="BI88" i="2"/>
  <c r="BI159" i="2"/>
  <c r="BI54" i="2"/>
  <c r="BI167" i="2"/>
  <c r="BI119" i="2"/>
  <c r="BI12" i="2"/>
  <c r="BI81" i="2"/>
  <c r="BI14" i="2"/>
  <c r="BI68" i="2"/>
  <c r="BI157" i="2"/>
  <c r="BI32" i="2"/>
  <c r="BI182" i="2"/>
  <c r="BI176" i="2"/>
  <c r="BI131" i="2"/>
  <c r="BI118" i="2"/>
  <c r="BI75" i="2"/>
  <c r="BI125" i="2"/>
  <c r="BI86" i="2"/>
  <c r="BI103" i="2"/>
  <c r="BI203" i="2"/>
  <c r="BI102" i="2"/>
  <c r="BI149" i="2"/>
  <c r="BI136" i="2"/>
  <c r="BI168" i="2"/>
  <c r="BI151" i="2"/>
  <c r="BI64" i="2"/>
  <c r="BI158" i="2"/>
  <c r="BI197" i="2"/>
  <c r="BI127" i="2"/>
  <c r="BI113" i="2"/>
  <c r="BI28" i="2"/>
  <c r="BI42" i="2"/>
  <c r="BI23" i="2"/>
  <c r="BI29" i="2"/>
  <c r="BI63" i="2"/>
  <c r="BI59" i="2"/>
  <c r="BI170" i="2"/>
  <c r="BI123" i="2"/>
  <c r="BI150" i="2"/>
  <c r="BI165" i="2"/>
  <c r="BI13" i="2"/>
  <c r="BI72" i="2"/>
  <c r="BI154" i="2"/>
  <c r="BI133" i="2"/>
  <c r="BI53" i="2"/>
  <c r="BI109" i="2"/>
  <c r="BI40" i="2"/>
  <c r="BI166" i="2"/>
  <c r="BI97" i="2"/>
  <c r="BI58" i="2"/>
  <c r="BI89" i="2"/>
  <c r="BI177" i="2"/>
  <c r="BI134" i="2"/>
  <c r="BI128" i="2"/>
  <c r="BI34" i="2"/>
  <c r="BI186" i="2"/>
  <c r="BI9" i="2"/>
  <c r="BI44" i="2"/>
  <c r="BI201" i="2"/>
  <c r="BI95" i="2"/>
  <c r="BI196" i="2"/>
  <c r="BI11" i="2"/>
  <c r="BI96" i="2"/>
  <c r="BI110" i="2"/>
  <c r="BI160" i="2"/>
  <c r="BI71" i="2"/>
  <c r="BI27" i="2"/>
  <c r="BI50" i="2"/>
  <c r="BI116" i="2"/>
  <c r="BI52" i="2"/>
  <c r="BI37" i="2"/>
  <c r="BI65" i="2"/>
  <c r="BI25" i="2"/>
  <c r="BI18" i="2"/>
  <c r="BI130" i="2"/>
  <c r="BI200" i="2"/>
  <c r="BI17" i="2"/>
  <c r="BI92" i="2"/>
  <c r="BI73" i="2"/>
  <c r="BI173" i="2"/>
  <c r="BI79" i="2"/>
  <c r="BI21" i="2"/>
  <c r="BI85" i="2"/>
  <c r="BI33" i="2"/>
  <c r="BI3" i="2"/>
  <c r="C8" i="4" s="1"/>
  <c r="E8" i="4" s="1"/>
  <c r="F8" i="4" s="1"/>
  <c r="G8" i="4" s="1"/>
  <c r="L8" i="4" s="1"/>
  <c r="BI132" i="2"/>
  <c r="BI45" i="2"/>
  <c r="BI141" i="2"/>
  <c r="BI174" i="2"/>
  <c r="BI74" i="2"/>
  <c r="BI138" i="2"/>
  <c r="BI120" i="2"/>
  <c r="BI184" i="2"/>
  <c r="BI121" i="2"/>
  <c r="BI183" i="2"/>
  <c r="BI24" i="2"/>
  <c r="BI99" i="2"/>
  <c r="BI104" i="2"/>
  <c r="BI140" i="2"/>
  <c r="BI185" i="2"/>
  <c r="BI67" i="2"/>
  <c r="BI129" i="2"/>
  <c r="BI6" i="2"/>
  <c r="BI94" i="2"/>
  <c r="BI70" i="2"/>
  <c r="BI8" i="2"/>
  <c r="BI198" i="2"/>
  <c r="BI87" i="2"/>
  <c r="BI49" i="2"/>
  <c r="BI178" i="2"/>
  <c r="BI4" i="2"/>
  <c r="BI124" i="2"/>
  <c r="BI15" i="2"/>
  <c r="BI147" i="2"/>
  <c r="BI172" i="2"/>
  <c r="BI199" i="2"/>
  <c r="BI56" i="2"/>
  <c r="BI195" i="2"/>
  <c r="BI31" i="2"/>
  <c r="BI19" i="2"/>
  <c r="BI163" i="2"/>
  <c r="BI100" i="2"/>
  <c r="BI146" i="2"/>
  <c r="BI10" i="2"/>
  <c r="BI101" i="2"/>
  <c r="BI192" i="2"/>
  <c r="BI62" i="2"/>
  <c r="BI16" i="2"/>
  <c r="BI77" i="2"/>
  <c r="BI137" i="2"/>
  <c r="BI114" i="2"/>
  <c r="BI107" i="2"/>
  <c r="BI194" i="2"/>
  <c r="BI35" i="2"/>
  <c r="BI145" i="2"/>
  <c r="BI187" i="2"/>
  <c r="BI171" i="2"/>
  <c r="BI12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<sst xmlns="http://schemas.openxmlformats.org/spreadsheetml/2006/main" count="1187" uniqueCount="327">
  <si>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</si>
  <si>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</si>
  <si>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</si>
  <si>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</si>
  <si>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</si>
  <si>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</si>
  <si>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</si>
  <si>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</si>
  <si>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</si>
  <si>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</si>
  <si>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</si>
  <si>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</si>
  <si>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</si>
  <si>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</si>
  <si>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</si>
  <si>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</si>
  <si>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</si>
  <si>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</si>
  <si>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</si>
  <si>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</si>
  <si>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</si>
  <si>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</si>
  <si>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</si>
  <si>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</si>
  <si>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</si>
  <si>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</si>
  <si>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</si>
  <si>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</si>
  <si>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</si>
  <si>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</si>
  <si>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</si>
  <si>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</si>
  <si>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</si>
  <si>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</si>
  <si>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</si>
  <si>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</si>
  <si>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</si>
  <si>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</si>
  <si>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</si>
  <si>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</si>
  <si>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</si>
  <si>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</si>
  <si>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</si>
  <si>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</si>
  <si>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</si>
  <si>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</si>
  <si>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</si>
  <si>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</si>
  <si>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</si>
  <si>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</si>
  <si>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</si>
  <si>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</si>
  <si>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</si>
  <si>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</si>
  <si>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</si>
  <si>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</si>
  <si>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</si>
  <si>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</si>
  <si>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</si>
  <si>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</si>
  <si>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</si>
  <si>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</si>
  <si>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</si>
  <si>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</si>
  <si>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</si>
  <si>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</si>
  <si>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</si>
  <si>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</si>
  <si>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</si>
  <si>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</si>
  <si>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</si>
  <si>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</si>
  <si>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</si>
  <si>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</si>
  <si>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</si>
  <si>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</si>
  <si>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</si>
  <si>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</si>
  <si>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</si>
  <si>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</si>
  <si>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</si>
  <si>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</si>
  <si>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</si>
  <si>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</si>
  <si>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</si>
  <si>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</si>
  <si>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</si>
  <si>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</si>
  <si>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</si>
  <si>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</si>
  <si>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</si>
  <si>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</si>
  <si>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</si>
  <si>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</si>
  <si>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</si>
  <si>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</si>
  <si>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</si>
  <si>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</si>
  <si>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</si>
  <si>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</si>
  <si>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</si>
  <si>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</si>
  <si>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</si>
  <si>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</si>
  <si>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</si>
  <si>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</si>
  <si>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</si>
  <si>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</si>
  <si>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</si>
  <si>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</si>
  <si>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</si>
  <si>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</si>
  <si>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</si>
  <si>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</si>
  <si>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</si>
  <si>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</si>
  <si>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</si>
  <si>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</si>
  <si>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</si>
  <si>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</si>
  <si>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</si>
  <si>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</si>
  <si>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</si>
  <si>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</si>
  <si>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</si>
  <si>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</si>
  <si>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</si>
  <si>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</si>
  <si>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</si>
  <si>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</si>
  <si>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</si>
  <si>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</si>
  <si>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</si>
  <si>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</si>
  <si>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</si>
  <si>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</si>
  <si>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</si>
  <si>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</si>
  <si>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</si>
  <si>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</si>
  <si>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</si>
  <si>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</si>
  <si>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</si>
  <si>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</si>
  <si>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</si>
  <si>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</si>
  <si>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</si>
  <si>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</si>
  <si>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</si>
  <si>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</si>
  <si>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</si>
  <si>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</si>
  <si>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</si>
  <si>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</si>
  <si>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</si>
  <si>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</si>
  <si>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</si>
  <si>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</si>
  <si>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</si>
  <si>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</si>
  <si>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</si>
  <si>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</si>
  <si>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</si>
  <si>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</si>
  <si>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</si>
  <si>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</si>
  <si>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</si>
  <si>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</si>
  <si>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</si>
  <si>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</si>
  <si>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</si>
  <si>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</si>
  <si>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</si>
  <si>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</si>
  <si>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</si>
  <si>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</si>
  <si>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</si>
  <si>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</si>
  <si>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</si>
  <si>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</si>
  <si>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</si>
  <si>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</si>
  <si>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</si>
  <si>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</si>
  <si>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</si>
  <si>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</si>
  <si>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</si>
  <si>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</si>
  <si>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</si>
  <si>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</si>
  <si>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</si>
  <si>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</si>
  <si>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</si>
  <si>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</si>
  <si>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</si>
  <si>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</si>
  <si>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</si>
  <si>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</si>
  <si>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</si>
  <si>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</si>
  <si>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</si>
  <si>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</si>
  <si>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</si>
  <si>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</si>
  <si>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</si>
  <si>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</si>
  <si>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</si>
  <si>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</si>
  <si>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</si>
  <si>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</si>
  <si>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</si>
  <si>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</si>
  <si>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</si>
  <si>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</si>
  <si>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</si>
  <si>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</si>
  <si>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</si>
  <si>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</si>
  <si>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</si>
  <si>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</si>
  <si>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</si>
  <si>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</si>
  <si>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</si>
  <si>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</si>
  <si>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</si>
  <si>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</si>
  <si>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</si>
  <si>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</si>
  <si>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</si>
  <si>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</si>
  <si>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</si>
  <si>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</si>
  <si>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</si>
  <si>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</si>
  <si>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</si>
  <si>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</si>
  <si>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</si>
  <si>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</si>
  <si>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</si>
  <si>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</si>
  <si>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</si>
  <si>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</si>
  <si>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</si>
  <si>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</si>
  <si>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</si>
  <si>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</si>
  <si>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</si>
  <si>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</si>
  <si>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</si>
  <si>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</si>
  <si>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</si>
  <si>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</si>
  <si>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</si>
  <si>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</si>
  <si>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</si>
  <si>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</si>
  <si>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</si>
  <si>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</si>
  <si>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</si>
  <si>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</si>
  <si>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</si>
  <si>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</si>
  <si>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</si>
  <si>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</si>
  <si>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</si>
  <si>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</si>
  <si>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</si>
  <si>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</si>
  <si>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</si>
  <si>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</si>
  <si>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</si>
  <si>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</si>
  <si>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</si>
  <si>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</si>
  <si>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</si>
  <si>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</si>
  <si>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</si>
  <si>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</si>
  <si>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</si>
  <si>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</si>
  <si>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</si>
  <si>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</si>
  <si>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</si>
  <si>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</si>
  <si>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</si>
  <si>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</si>
  <si>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</si>
  <si>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</si>
  <si>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</si>
  <si>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</si>
  <si>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</si>
  <si>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</si>
  <si>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</si>
  <si>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</si>
  <si>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</si>
  <si>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</si>
  <si>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</si>
  <si>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</si>
  <si>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</si>
  <si>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</si>
  <si>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</si>
  <si>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</si>
  <si>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</si>
  <si>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</si>
  <si>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</si>
  <si>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</si>
  <si>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</si>
  <si>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</si>
  <si>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</si>
  <si>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</si>
  <si>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</si>
  <si>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</si>
  <si>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</si>
  <si>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</si>
  <si>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</si>
  <si>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</si>
  <si>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</si>
  <si>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</si>
  <si>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</si>
  <si>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</si>
  <si>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</si>
  <si>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</si>
  <si>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</si>
  <si>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</si>
  <si>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</t>
  </si>
  <si>
    <t>Classe 2</t>
  </si>
  <si>
    <t>Classe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</si>
</sst>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631.66036748923955</c:v>
                </c:pt>
                <c:pt idx="82">
                  <c:v>638.90661802503621</c:v>
                </c:pt>
                <c:pt idx="83">
                  <c:v>646.15117115988835</c:v>
                </c:pt>
                <c:pt idx="84">
                  <c:v>653.39404860903915</c:v>
                </c:pt>
                <c:pt idx="85">
                  <c:v>660.63527156703708</c:v>
                </c:pt>
                <c:pt idx="86">
                  <c:v>667.87486072591469</c:v>
                </c:pt>
                <c:pt idx="87">
                  <c:v>675.11283629253967</c:v>
                </c:pt>
                <c:pt idx="88">
                  <c:v>682.34921800518089</c:v>
                </c:pt>
                <c:pt idx="89">
                  <c:v>689.58402514933766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659.49202971702437</c:v>
                </c:pt>
                <c:pt idx="107">
                  <c:v>669.77974676670851</c:v>
                </c:pt>
                <c:pt idx="108">
                  <c:v>680.06421584344037</c:v>
                </c:pt>
                <c:pt idx="109">
                  <c:v>690.34549297401929</c:v>
                </c:pt>
                <c:pt idx="110">
                  <c:v>700.62363238092303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603.8033106091608</c:v>
                </c:pt>
                <c:pt idx="122">
                  <c:v>611.81966247181992</c:v>
                </c:pt>
                <c:pt idx="123">
                  <c:v>619.83383559808942</c:v>
                </c:pt>
                <c:pt idx="124">
                  <c:v>627.84586213083344</c:v>
                </c:pt>
                <c:pt idx="125">
                  <c:v>635.85577332565276</c:v>
                </c:pt>
                <c:pt idx="126">
                  <c:v>643.86359958648518</c:v>
                </c:pt>
                <c:pt idx="127">
                  <c:v>651.86937049934511</c:v>
                </c:pt>
                <c:pt idx="128">
                  <c:v>659.87311486431611</c:v>
                </c:pt>
                <c:pt idx="129">
                  <c:v>667.87486072591389</c:v>
                </c:pt>
                <c:pt idx="130">
                  <c:v>675.87463540191834</c:v>
                </c:pt>
                <c:pt idx="131">
                  <c:v>599.60338857466627</c:v>
                </c:pt>
                <c:pt idx="132">
                  <c:v>607.23915886223779</c:v>
                </c:pt>
                <c:pt idx="133">
                  <c:v>614.87293594423409</c:v>
                </c:pt>
                <c:pt idx="134">
                  <c:v>622.50474805800286</c:v>
                </c:pt>
                <c:pt idx="135">
                  <c:v>630.13462269202034</c:v>
                </c:pt>
                <c:pt idx="136">
                  <c:v>637.76258661477277</c:v>
                </c:pt>
                <c:pt idx="137">
                  <c:v>645.38866590218811</c:v>
                </c:pt>
                <c:pt idx="138">
                  <c:v>653.0128859637</c:v>
                </c:pt>
                <c:pt idx="139">
                  <c:v>660.63527156703606</c:v>
                </c:pt>
                <c:pt idx="140">
                  <c:v>668.25584686179889</c:v>
                </c:pt>
                <c:pt idx="141">
                  <c:v>592.92043173039758</c:v>
                </c:pt>
                <c:pt idx="142">
                  <c:v>599.60338857466627</c:v>
                </c:pt>
                <c:pt idx="143">
                  <c:v>606.28479716716993</c:v>
                </c:pt>
                <c:pt idx="144">
                  <c:v>612.96467697950118</c:v>
                </c:pt>
                <c:pt idx="145">
                  <c:v>619.64304702417701</c:v>
                </c:pt>
                <c:pt idx="146">
                  <c:v>626.31992587040372</c:v>
                </c:pt>
                <c:pt idx="147">
                  <c:v>632.99533165913078</c:v>
                </c:pt>
                <c:pt idx="148">
                  <c:v>639.66928211743823</c:v>
                </c:pt>
                <c:pt idx="149">
                  <c:v>646.34179457229163</c:v>
                </c:pt>
                <c:pt idx="150">
                  <c:v>653.0128859637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762176"/>
        <c:axId val="444767616"/>
      </c:scatterChart>
      <c:valAx>
        <c:axId val="444762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767616"/>
        <c:crosses val="autoZero"/>
        <c:crossBetween val="midCat"/>
      </c:valAx>
      <c:valAx>
        <c:axId val="44476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762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1.8477914855993844</c:v>
                </c:pt>
                <c:pt idx="2">
                  <c:v>2.5731879970917286</c:v>
                </c:pt>
                <c:pt idx="3">
                  <c:v>3.5845967821953444</c:v>
                </c:pt>
                <c:pt idx="4">
                  <c:v>4.9952483495273787</c:v>
                </c:pt>
                <c:pt idx="5">
                  <c:v>6.963370720784364</c:v>
                </c:pt>
                <c:pt idx="6">
                  <c:v>9.7101340211018208</c:v>
                </c:pt>
                <c:pt idx="7">
                  <c:v>13.544774205464314</c:v>
                </c:pt>
                <c:pt idx="8">
                  <c:v>18.899776503967264</c:v>
                </c:pt>
                <c:pt idx="9">
                  <c:v>42.998798473651568</c:v>
                </c:pt>
                <c:pt idx="10">
                  <c:v>72.605221256713165</c:v>
                </c:pt>
                <c:pt idx="11">
                  <c:v>98.976731776989922</c:v>
                </c:pt>
                <c:pt idx="12">
                  <c:v>128.07411813676472</c:v>
                </c:pt>
                <c:pt idx="13">
                  <c:v>157.01056045652561</c:v>
                </c:pt>
                <c:pt idx="14">
                  <c:v>182.94410396174055</c:v>
                </c:pt>
                <c:pt idx="15">
                  <c:v>208.79157918384408</c:v>
                </c:pt>
                <c:pt idx="16">
                  <c:v>231.70475880982315</c:v>
                </c:pt>
                <c:pt idx="17">
                  <c:v>251.71112801808036</c:v>
                </c:pt>
                <c:pt idx="18">
                  <c:v>268.83064805939489</c:v>
                </c:pt>
                <c:pt idx="19">
                  <c:v>285.92562871492515</c:v>
                </c:pt>
                <c:pt idx="20">
                  <c:v>300.15391429600487</c:v>
                </c:pt>
                <c:pt idx="21">
                  <c:v>314.36718299063779</c:v>
                </c:pt>
                <c:pt idx="22">
                  <c:v>325.7275088543916</c:v>
                </c:pt>
                <c:pt idx="23">
                  <c:v>334.24199166804357</c:v>
                </c:pt>
                <c:pt idx="24">
                  <c:v>342.75169580828856</c:v>
                </c:pt>
                <c:pt idx="25">
                  <c:v>348.42224427650677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7163520"/>
        <c:axId val="547164064"/>
      </c:scatterChart>
      <c:valAx>
        <c:axId val="547163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7164064"/>
        <c:crosses val="autoZero"/>
        <c:crossBetween val="midCat"/>
      </c:valAx>
      <c:valAx>
        <c:axId val="54716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7163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770880"/>
        <c:axId val="444771968"/>
      </c:scatterChart>
      <c:valAx>
        <c:axId val="444770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771968"/>
        <c:crosses val="autoZero"/>
        <c:crossBetween val="midCat"/>
      </c:valAx>
      <c:valAx>
        <c:axId val="4447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4770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589.04162375287956</c:v>
                </c:pt>
                <c:pt idx="82">
                  <c:v>595.79791554499855</c:v>
                </c:pt>
                <c:pt idx="83">
                  <c:v>602.55261379850742</c:v>
                </c:pt>
                <c:pt idx="84">
                  <c:v>609.30573889991399</c:v>
                </c:pt>
                <c:pt idx="85">
                  <c:v>616.05731074689311</c:v>
                </c:pt>
                <c:pt idx="86">
                  <c:v>622.807348765352</c:v>
                </c:pt>
                <c:pt idx="87">
                  <c:v>629.55587192571863</c:v>
                </c:pt>
                <c:pt idx="88">
                  <c:v>636.30289875849701</c:v>
                </c:pt>
                <c:pt idx="89">
                  <c:v>643.04844736912457</c:v>
                </c:pt>
                <c:pt idx="90">
                  <c:v>649.79253545217819</c:v>
                </c:pt>
                <c:pt idx="91">
                  <c:v>560.75411650027092</c:v>
                </c:pt>
                <c:pt idx="92">
                  <c:v>571.25413823451822</c:v>
                </c:pt>
                <c:pt idx="93">
                  <c:v>581.75012922929807</c:v>
                </c:pt>
                <c:pt idx="94">
                  <c:v>592.24217245006048</c:v>
                </c:pt>
                <c:pt idx="95">
                  <c:v>602.73034768336277</c:v>
                </c:pt>
                <c:pt idx="96">
                  <c:v>613.21473171304262</c:v>
                </c:pt>
                <c:pt idx="97">
                  <c:v>623.69539848371858</c:v>
                </c:pt>
                <c:pt idx="98">
                  <c:v>634.17241925273447</c:v>
                </c:pt>
                <c:pt idx="99">
                  <c:v>644.64586273154214</c:v>
                </c:pt>
                <c:pt idx="100">
                  <c:v>655.11579521742192</c:v>
                </c:pt>
                <c:pt idx="101">
                  <c:v>566.98343408817993</c:v>
                </c:pt>
                <c:pt idx="102">
                  <c:v>576.59158121605935</c:v>
                </c:pt>
                <c:pt idx="103">
                  <c:v>586.19638755057986</c:v>
                </c:pt>
                <c:pt idx="104">
                  <c:v>595.79791554499832</c:v>
                </c:pt>
                <c:pt idx="105">
                  <c:v>605.39622547563852</c:v>
                </c:pt>
                <c:pt idx="106">
                  <c:v>614.99137555182222</c:v>
                </c:pt>
                <c:pt idx="107">
                  <c:v>624.58342201858102</c:v>
                </c:pt>
                <c:pt idx="108">
                  <c:v>634.1724192527339</c:v>
                </c:pt>
                <c:pt idx="109">
                  <c:v>643.75841985285513</c:v>
                </c:pt>
                <c:pt idx="110">
                  <c:v>653.34147472360064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563.06803117603783</c:v>
                </c:pt>
                <c:pt idx="122">
                  <c:v>570.54240067835826</c:v>
                </c:pt>
                <c:pt idx="123">
                  <c:v>578.01472475907724</c:v>
                </c:pt>
                <c:pt idx="124">
                  <c:v>585.48503359426752</c:v>
                </c:pt>
                <c:pt idx="125">
                  <c:v>592.95335652703</c:v>
                </c:pt>
                <c:pt idx="126">
                  <c:v>600.41972210091501</c:v>
                </c:pt>
                <c:pt idx="127">
                  <c:v>607.88415809159676</c:v>
                </c:pt>
                <c:pt idx="128">
                  <c:v>615.34669153690879</c:v>
                </c:pt>
                <c:pt idx="129">
                  <c:v>622.80734876535098</c:v>
                </c:pt>
                <c:pt idx="130">
                  <c:v>630.26615542315369</c:v>
                </c:pt>
                <c:pt idx="131">
                  <c:v>559.15205854563067</c:v>
                </c:pt>
                <c:pt idx="132">
                  <c:v>566.27158482196887</c:v>
                </c:pt>
                <c:pt idx="133">
                  <c:v>573.38923985506699</c:v>
                </c:pt>
                <c:pt idx="134">
                  <c:v>580.50505015445754</c:v>
                </c:pt>
                <c:pt idx="135">
                  <c:v>587.61904152662248</c:v>
                </c:pt>
                <c:pt idx="136">
                  <c:v>594.73123910211064</c:v>
                </c:pt>
                <c:pt idx="137">
                  <c:v>601.84166736128827</c:v>
                </c:pt>
                <c:pt idx="138">
                  <c:v>608.95035015881103</c:v>
                </c:pt>
                <c:pt idx="139">
                  <c:v>616.05731074689231</c:v>
                </c:pt>
                <c:pt idx="140">
                  <c:v>623.16257179744423</c:v>
                </c:pt>
                <c:pt idx="141">
                  <c:v>552.9209166529912</c:v>
                </c:pt>
                <c:pt idx="142">
                  <c:v>559.15205854563067</c:v>
                </c:pt>
                <c:pt idx="143">
                  <c:v>565.38174692254449</c:v>
                </c:pt>
                <c:pt idx="144">
                  <c:v>571.61000006387678</c:v>
                </c:pt>
                <c:pt idx="145">
                  <c:v>577.83683581878711</c:v>
                </c:pt>
                <c:pt idx="146">
                  <c:v>584.06227162025004</c:v>
                </c:pt>
                <c:pt idx="147">
                  <c:v>590.28632449918746</c:v>
                </c:pt>
                <c:pt idx="148">
                  <c:v>596.50901109797655</c:v>
                </c:pt>
                <c:pt idx="149">
                  <c:v>602.73034768336208</c:v>
                </c:pt>
                <c:pt idx="150">
                  <c:v>608.95035015881103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650320"/>
        <c:axId val="419645424"/>
      </c:scatterChart>
      <c:valAx>
        <c:axId val="419650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5424"/>
        <c:crosses val="autoZero"/>
        <c:crossBetween val="midCat"/>
      </c:valAx>
      <c:valAx>
        <c:axId val="41964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5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145.00665050019282</c:v>
                </c:pt>
                <c:pt idx="27">
                  <c:v>157.83692263801234</c:v>
                </c:pt>
                <c:pt idx="28">
                  <c:v>170.6424524976421</c:v>
                </c:pt>
                <c:pt idx="29">
                  <c:v>183.42535972935536</c:v>
                </c:pt>
                <c:pt idx="30">
                  <c:v>196.18744401776075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231.45994723108012</c:v>
                </c:pt>
                <c:pt idx="37">
                  <c:v>246.69319751240889</c:v>
                </c:pt>
                <c:pt idx="38">
                  <c:v>261.90509392198993</c:v>
                </c:pt>
                <c:pt idx="39">
                  <c:v>277.0970514904804</c:v>
                </c:pt>
                <c:pt idx="40">
                  <c:v>292.27031736625912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307.06534562328858</c:v>
                </c:pt>
                <c:pt idx="47">
                  <c:v>321.84453817650837</c:v>
                </c:pt>
                <c:pt idx="48">
                  <c:v>336.60872461695169</c:v>
                </c:pt>
                <c:pt idx="49">
                  <c:v>351.35865581477151</c:v>
                </c:pt>
                <c:pt idx="50">
                  <c:v>366.09501444973074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376.1513920342295</c:v>
                </c:pt>
                <c:pt idx="57">
                  <c:v>389.79000290566495</c:v>
                </c:pt>
                <c:pt idx="58">
                  <c:v>403.41826063463105</c:v>
                </c:pt>
                <c:pt idx="59">
                  <c:v>417.03656422780779</c:v>
                </c:pt>
                <c:pt idx="60">
                  <c:v>430.64528450788231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432.07723822137638</c:v>
                </c:pt>
                <c:pt idx="67">
                  <c:v>444.24476695077215</c:v>
                </c:pt>
                <c:pt idx="68">
                  <c:v>456.40515882712975</c:v>
                </c:pt>
                <c:pt idx="69">
                  <c:v>468.55863080015001</c:v>
                </c:pt>
                <c:pt idx="70">
                  <c:v>480.70538764731208</c:v>
                </c:pt>
                <c:pt idx="71">
                  <c:v>416.67831216352141</c:v>
                </c:pt>
                <c:pt idx="72">
                  <c:v>427.7810696781832</c:v>
                </c:pt>
                <c:pt idx="73">
                  <c:v>438.87763264294864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471.77459416013545</c:v>
                </c:pt>
                <c:pt idx="77">
                  <c:v>482.4911208700949</c:v>
                </c:pt>
                <c:pt idx="78">
                  <c:v>493.20259187340275</c:v>
                </c:pt>
                <c:pt idx="79">
                  <c:v>503.90913245527832</c:v>
                </c:pt>
                <c:pt idx="80">
                  <c:v>514.61086214265538</c:v>
                </c:pt>
                <c:pt idx="81">
                  <c:v>449.61051233832995</c:v>
                </c:pt>
                <c:pt idx="82">
                  <c:v>459.62291917328042</c:v>
                </c:pt>
                <c:pt idx="83">
                  <c:v>469.6306706784556</c:v>
                </c:pt>
                <c:pt idx="84">
                  <c:v>479.63388006306309</c:v>
                </c:pt>
                <c:pt idx="85">
                  <c:v>489.6326554281622</c:v>
                </c:pt>
                <c:pt idx="86">
                  <c:v>499.62710009899462</c:v>
                </c:pt>
                <c:pt idx="87">
                  <c:v>509.61731292933632</c:v>
                </c:pt>
                <c:pt idx="88">
                  <c:v>519.60338858074306</c:v>
                </c:pt>
                <c:pt idx="89">
                  <c:v>529.58541777921107</c:v>
                </c:pt>
                <c:pt idx="90">
                  <c:v>539.56348755148178</c:v>
                </c:pt>
                <c:pt idx="91">
                  <c:v>473.38240056334689</c:v>
                </c:pt>
                <c:pt idx="92">
                  <c:v>482.13398547834095</c:v>
                </c:pt>
                <c:pt idx="93">
                  <c:v>490.88219577778773</c:v>
                </c:pt>
                <c:pt idx="94">
                  <c:v>499.62710009899462</c:v>
                </c:pt>
                <c:pt idx="95">
                  <c:v>508.36876447997855</c:v>
                </c:pt>
                <c:pt idx="96">
                  <c:v>517.10725250186931</c:v>
                </c:pt>
                <c:pt idx="97">
                  <c:v>525.84262542118813</c:v>
                </c:pt>
                <c:pt idx="98">
                  <c:v>534.57494229287533</c:v>
                </c:pt>
                <c:pt idx="99">
                  <c:v>543.30426008486279</c:v>
                </c:pt>
                <c:pt idx="100">
                  <c:v>552.03063378489958</c:v>
                </c:pt>
                <c:pt idx="101">
                  <c:v>484.99091160498818</c:v>
                </c:pt>
                <c:pt idx="102">
                  <c:v>492.84562295362815</c:v>
                </c:pt>
                <c:pt idx="103">
                  <c:v>500.69768075588348</c:v>
                </c:pt>
                <c:pt idx="104">
                  <c:v>508.54713250848886</c:v>
                </c:pt>
                <c:pt idx="105">
                  <c:v>516.39402412186962</c:v>
                </c:pt>
                <c:pt idx="106">
                  <c:v>524.2383999969461</c:v>
                </c:pt>
                <c:pt idx="107">
                  <c:v>532.08030309710023</c:v>
                </c:pt>
                <c:pt idx="108">
                  <c:v>539.91977501567897</c:v>
                </c:pt>
                <c:pt idx="109">
                  <c:v>547.75685603937313</c:v>
                </c:pt>
                <c:pt idx="110">
                  <c:v>555.59158520777794</c:v>
                </c:pt>
                <c:pt idx="111">
                  <c:v>492.66713643818139</c:v>
                </c:pt>
                <c:pt idx="112">
                  <c:v>499.27022909127487</c:v>
                </c:pt>
                <c:pt idx="113">
                  <c:v>505.87147293953734</c:v>
                </c:pt>
                <c:pt idx="114">
                  <c:v>512.47089552301156</c:v>
                </c:pt>
                <c:pt idx="115">
                  <c:v>519.06852361425183</c:v>
                </c:pt>
                <c:pt idx="116">
                  <c:v>525.66438324941146</c:v>
                </c:pt>
                <c:pt idx="117">
                  <c:v>532.25849975768563</c:v>
                </c:pt>
                <c:pt idx="118">
                  <c:v>538.85089778922088</c:v>
                </c:pt>
                <c:pt idx="119">
                  <c:v>545.44160134158631</c:v>
                </c:pt>
                <c:pt idx="120">
                  <c:v>552.0306337848989</c:v>
                </c:pt>
                <c:pt idx="121">
                  <c:v>495.34429051823003</c:v>
                </c:pt>
                <c:pt idx="122">
                  <c:v>501.05453020073833</c:v>
                </c:pt>
                <c:pt idx="123">
                  <c:v>506.76339263133724</c:v>
                </c:pt>
                <c:pt idx="124">
                  <c:v>512.47089552301134</c:v>
                </c:pt>
                <c:pt idx="125">
                  <c:v>518.17705616178876</c:v>
                </c:pt>
                <c:pt idx="126">
                  <c:v>523.88189142172769</c:v>
                </c:pt>
                <c:pt idx="127">
                  <c:v>529.58541777920993</c:v>
                </c:pt>
                <c:pt idx="128">
                  <c:v>535.28765132659282</c:v>
                </c:pt>
                <c:pt idx="129">
                  <c:v>540.98860778524329</c:v>
                </c:pt>
                <c:pt idx="130">
                  <c:v>546.68830251799761</c:v>
                </c:pt>
                <c:pt idx="131">
                  <c:v>496.23660698450158</c:v>
                </c:pt>
                <c:pt idx="132">
                  <c:v>501.0545302007381</c:v>
                </c:pt>
                <c:pt idx="133">
                  <c:v>505.87147293953677</c:v>
                </c:pt>
                <c:pt idx="134">
                  <c:v>510.68744586077599</c:v>
                </c:pt>
                <c:pt idx="135">
                  <c:v>515.50245940674063</c:v>
                </c:pt>
                <c:pt idx="136">
                  <c:v>520.31652380860351</c:v>
                </c:pt>
                <c:pt idx="137">
                  <c:v>525.12964909264781</c:v>
                </c:pt>
                <c:pt idx="138">
                  <c:v>529.94184508625449</c:v>
                </c:pt>
                <c:pt idx="139">
                  <c:v>534.75312142365681</c:v>
                </c:pt>
                <c:pt idx="140">
                  <c:v>539.56348755148042</c:v>
                </c:pt>
                <c:pt idx="141">
                  <c:v>495.70122118881187</c:v>
                </c:pt>
                <c:pt idx="142">
                  <c:v>499.98396570940122</c:v>
                </c:pt>
                <c:pt idx="143">
                  <c:v>504.26593363931647</c:v>
                </c:pt>
                <c:pt idx="144">
                  <c:v>508.54713250848772</c:v>
                </c:pt>
                <c:pt idx="145">
                  <c:v>512.82756970962453</c:v>
                </c:pt>
                <c:pt idx="146">
                  <c:v>517.10725250186795</c:v>
                </c:pt>
                <c:pt idx="147">
                  <c:v>521.38618801431301</c:v>
                </c:pt>
                <c:pt idx="148">
                  <c:v>525.66438324941055</c:v>
                </c:pt>
                <c:pt idx="149">
                  <c:v>529.94184508625403</c:v>
                </c:pt>
                <c:pt idx="150">
                  <c:v>534.21858028375061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648144"/>
        <c:axId val="419645968"/>
      </c:scatterChart>
      <c:valAx>
        <c:axId val="419648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5968"/>
        <c:crosses val="autoZero"/>
        <c:crossBetween val="midCat"/>
      </c:valAx>
      <c:valAx>
        <c:axId val="41964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8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648688"/>
        <c:axId val="419650864"/>
      </c:scatterChart>
      <c:valAx>
        <c:axId val="41964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50864"/>
        <c:crosses val="autoZero"/>
        <c:crossBetween val="midCat"/>
      </c:valAx>
      <c:valAx>
        <c:axId val="41965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76.024968261409541</c:v>
                </c:pt>
                <c:pt idx="12">
                  <c:v>116.29027446560372</c:v>
                </c:pt>
                <c:pt idx="13">
                  <c:v>156.20910143162027</c:v>
                </c:pt>
                <c:pt idx="14">
                  <c:v>195.88381458792546</c:v>
                </c:pt>
                <c:pt idx="15">
                  <c:v>235.3711313482562</c:v>
                </c:pt>
                <c:pt idx="16">
                  <c:v>178.65965761508951</c:v>
                </c:pt>
                <c:pt idx="17">
                  <c:v>206.20120269571112</c:v>
                </c:pt>
                <c:pt idx="18">
                  <c:v>233.65765238260346</c:v>
                </c:pt>
                <c:pt idx="19">
                  <c:v>261.04041434217834</c:v>
                </c:pt>
                <c:pt idx="20">
                  <c:v>288.35830325418613</c:v>
                </c:pt>
                <c:pt idx="21">
                  <c:v>316.97991460302597</c:v>
                </c:pt>
                <c:pt idx="22">
                  <c:v>345.54428327562624</c:v>
                </c:pt>
                <c:pt idx="23">
                  <c:v>374.05680208950565</c:v>
                </c:pt>
                <c:pt idx="24">
                  <c:v>402.52197482878046</c:v>
                </c:pt>
                <c:pt idx="25">
                  <c:v>430.9436166245668</c:v>
                </c:pt>
                <c:pt idx="26">
                  <c:v>316.29913637651748</c:v>
                </c:pt>
                <c:pt idx="27">
                  <c:v>344.18528987135386</c:v>
                </c:pt>
                <c:pt idx="28">
                  <c:v>372.02181276517587</c:v>
                </c:pt>
                <c:pt idx="29">
                  <c:v>399.81293702596389</c:v>
                </c:pt>
                <c:pt idx="30">
                  <c:v>427.56225857158461</c:v>
                </c:pt>
                <c:pt idx="31">
                  <c:v>453.24651523667325</c:v>
                </c:pt>
                <c:pt idx="32">
                  <c:v>478.89966956438485</c:v>
                </c:pt>
                <c:pt idx="33">
                  <c:v>504.52362006169346</c:v>
                </c:pt>
                <c:pt idx="34">
                  <c:v>530.12005684727103</c:v>
                </c:pt>
                <c:pt idx="35">
                  <c:v>555.69049368437527</c:v>
                </c:pt>
                <c:pt idx="36">
                  <c:v>435.67656131929766</c:v>
                </c:pt>
                <c:pt idx="37">
                  <c:v>457.29902960903064</c:v>
                </c:pt>
                <c:pt idx="38">
                  <c:v>478.89966956438485</c:v>
                </c:pt>
                <c:pt idx="39">
                  <c:v>500.47960344489934</c:v>
                </c:pt>
                <c:pt idx="40">
                  <c:v>522.03984891229675</c:v>
                </c:pt>
                <c:pt idx="41">
                  <c:v>536.51504790454055</c:v>
                </c:pt>
                <c:pt idx="42">
                  <c:v>550.98203979994003</c:v>
                </c:pt>
                <c:pt idx="43">
                  <c:v>565.44107035982972</c:v>
                </c:pt>
                <c:pt idx="44">
                  <c:v>579.89237175720154</c:v>
                </c:pt>
                <c:pt idx="45">
                  <c:v>594.33616365495243</c:v>
                </c:pt>
                <c:pt idx="46">
                  <c:v>498.12027463245289</c:v>
                </c:pt>
                <c:pt idx="47">
                  <c:v>512.94645994076427</c:v>
                </c:pt>
                <c:pt idx="48">
                  <c:v>527.76359926059888</c:v>
                </c:pt>
                <c:pt idx="49">
                  <c:v>542.57198223629962</c:v>
                </c:pt>
                <c:pt idx="50">
                  <c:v>557.37188141896752</c:v>
                </c:pt>
                <c:pt idx="51">
                  <c:v>570.48308837829723</c:v>
                </c:pt>
                <c:pt idx="52">
                  <c:v>583.58800158350039</c:v>
                </c:pt>
                <c:pt idx="53">
                  <c:v>596.68678223021652</c:v>
                </c:pt>
                <c:pt idx="54">
                  <c:v>609.77958386237992</c:v>
                </c:pt>
                <c:pt idx="55">
                  <c:v>622.86655289536213</c:v>
                </c:pt>
                <c:pt idx="56">
                  <c:v>574.51603206521463</c:v>
                </c:pt>
                <c:pt idx="57">
                  <c:v>584.93174584337066</c:v>
                </c:pt>
                <c:pt idx="58">
                  <c:v>595.34359525501588</c:v>
                </c:pt>
                <c:pt idx="59">
                  <c:v>605.75165740042212</c:v>
                </c:pt>
                <c:pt idx="60">
                  <c:v>616.15600651476359</c:v>
                </c:pt>
                <c:pt idx="61">
                  <c:v>620.51803289386771</c:v>
                </c:pt>
                <c:pt idx="62">
                  <c:v>624.87942405233025</c:v>
                </c:pt>
                <c:pt idx="63">
                  <c:v>629.24018505078425</c:v>
                </c:pt>
                <c:pt idx="64">
                  <c:v>633.60032087397315</c:v>
                </c:pt>
                <c:pt idx="65">
                  <c:v>637.95983643241539</c:v>
                </c:pt>
                <c:pt idx="66">
                  <c:v>596.68678223021652</c:v>
                </c:pt>
                <c:pt idx="67">
                  <c:v>610.78647904168236</c:v>
                </c:pt>
                <c:pt idx="68">
                  <c:v>624.87942405233025</c:v>
                </c:pt>
                <c:pt idx="69">
                  <c:v>638.96579091175909</c:v>
                </c:pt>
                <c:pt idx="70">
                  <c:v>653.04574499302601</c:v>
                </c:pt>
                <c:pt idx="71">
                  <c:v>635.6124817576416</c:v>
                </c:pt>
                <c:pt idx="72">
                  <c:v>643.32454970129493</c:v>
                </c:pt>
                <c:pt idx="73">
                  <c:v>651.03470954469492</c:v>
                </c:pt>
                <c:pt idx="74">
                  <c:v>658.7429870711793</c:v>
                </c:pt>
                <c:pt idx="75">
                  <c:v>666.44940741149765</c:v>
                </c:pt>
                <c:pt idx="76">
                  <c:v>649.6939481105444</c:v>
                </c:pt>
                <c:pt idx="77">
                  <c:v>656.39718730925347</c:v>
                </c:pt>
                <c:pt idx="78">
                  <c:v>663.09901648594598</c:v>
                </c:pt>
                <c:pt idx="79">
                  <c:v>669.79945190168985</c:v>
                </c:pt>
                <c:pt idx="80">
                  <c:v>676.49850946567346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644880"/>
        <c:axId val="419646512"/>
      </c:scatterChart>
      <c:valAx>
        <c:axId val="419644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6512"/>
        <c:crosses val="autoZero"/>
        <c:crossBetween val="midCat"/>
      </c:valAx>
      <c:valAx>
        <c:axId val="41964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4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51.613399015111831</c:v>
                </c:pt>
                <c:pt idx="12">
                  <c:v>82.005556648324799</c:v>
                </c:pt>
                <c:pt idx="13">
                  <c:v>112.10731250688555</c:v>
                </c:pt>
                <c:pt idx="14">
                  <c:v>142.00909904265754</c:v>
                </c:pt>
                <c:pt idx="15">
                  <c:v>171.75929390005533</c:v>
                </c:pt>
                <c:pt idx="16">
                  <c:v>196.57202562416433</c:v>
                </c:pt>
                <c:pt idx="17">
                  <c:v>221.31197957043</c:v>
                </c:pt>
                <c:pt idx="18">
                  <c:v>245.98843749648799</c:v>
                </c:pt>
                <c:pt idx="19">
                  <c:v>270.60866382321643</c:v>
                </c:pt>
                <c:pt idx="20">
                  <c:v>295.17849192957459</c:v>
                </c:pt>
                <c:pt idx="21">
                  <c:v>205.85748573415978</c:v>
                </c:pt>
                <c:pt idx="22">
                  <c:v>231.25829908950223</c:v>
                </c:pt>
                <c:pt idx="23">
                  <c:v>256.59533723485094</c:v>
                </c:pt>
                <c:pt idx="24">
                  <c:v>281.87578144105822</c:v>
                </c:pt>
                <c:pt idx="25">
                  <c:v>307.10541864100441</c:v>
                </c:pt>
                <c:pt idx="26">
                  <c:v>331.26889354954574</c:v>
                </c:pt>
                <c:pt idx="27">
                  <c:v>355.39350662617045</c:v>
                </c:pt>
                <c:pt idx="28">
                  <c:v>379.48226477312465</c:v>
                </c:pt>
                <c:pt idx="29">
                  <c:v>403.5377621518823</c:v>
                </c:pt>
                <c:pt idx="30">
                  <c:v>427.56225857158461</c:v>
                </c:pt>
                <c:pt idx="31">
                  <c:v>330.58877943904662</c:v>
                </c:pt>
                <c:pt idx="32">
                  <c:v>352.3374996284021</c:v>
                </c:pt>
                <c:pt idx="33">
                  <c:v>374.05680208950565</c:v>
                </c:pt>
                <c:pt idx="34">
                  <c:v>395.74863405798754</c:v>
                </c:pt>
                <c:pt idx="35">
                  <c:v>417.41471198632922</c:v>
                </c:pt>
                <c:pt idx="36">
                  <c:v>436.69061972160199</c:v>
                </c:pt>
                <c:pt idx="37">
                  <c:v>455.94827709810465</c:v>
                </c:pt>
                <c:pt idx="38">
                  <c:v>475.18856294702255</c:v>
                </c:pt>
                <c:pt idx="39">
                  <c:v>494.41227916982416</c:v>
                </c:pt>
                <c:pt idx="40">
                  <c:v>513.62016026280992</c:v>
                </c:pt>
                <c:pt idx="41">
                  <c:v>408.27737426224104</c:v>
                </c:pt>
                <c:pt idx="42">
                  <c:v>421.13608919058862</c:v>
                </c:pt>
                <c:pt idx="43">
                  <c:v>433.9863513171926</c:v>
                </c:pt>
                <c:pt idx="44">
                  <c:v>446.82844618779313</c:v>
                </c:pt>
                <c:pt idx="45">
                  <c:v>459.66264159638763</c:v>
                </c:pt>
                <c:pt idx="46">
                  <c:v>472.48918916409275</c:v>
                </c:pt>
                <c:pt idx="47">
                  <c:v>485.30832573764337</c:v>
                </c:pt>
                <c:pt idx="48">
                  <c:v>498.12027463245266</c:v>
                </c:pt>
                <c:pt idx="49">
                  <c:v>510.92524674114173</c:v>
                </c:pt>
                <c:pt idx="50">
                  <c:v>523.72344152517496</c:v>
                </c:pt>
                <c:pt idx="51">
                  <c:v>462.70119023345609</c:v>
                </c:pt>
                <c:pt idx="52">
                  <c:v>474.17633612900028</c:v>
                </c:pt>
                <c:pt idx="53">
                  <c:v>485.64557342314265</c:v>
                </c:pt>
                <c:pt idx="54">
                  <c:v>497.1090613236226</c:v>
                </c:pt>
                <c:pt idx="55">
                  <c:v>508.56695109668982</c:v>
                </c:pt>
                <c:pt idx="56">
                  <c:v>518.33554162748987</c:v>
                </c:pt>
                <c:pt idx="57">
                  <c:v>528.10024959890745</c:v>
                </c:pt>
                <c:pt idx="58">
                  <c:v>537.86115692679823</c:v>
                </c:pt>
                <c:pt idx="59">
                  <c:v>547.6183423112235</c:v>
                </c:pt>
                <c:pt idx="60">
                  <c:v>557.37188141896775</c:v>
                </c:pt>
                <c:pt idx="61">
                  <c:v>515.30432949652766</c:v>
                </c:pt>
                <c:pt idx="62">
                  <c:v>523.72344152517496</c:v>
                </c:pt>
                <c:pt idx="63">
                  <c:v>532.13970212346374</c:v>
                </c:pt>
                <c:pt idx="64">
                  <c:v>540.55316275774442</c:v>
                </c:pt>
                <c:pt idx="65">
                  <c:v>548.9638731613062</c:v>
                </c:pt>
                <c:pt idx="66">
                  <c:v>556.36306154811143</c:v>
                </c:pt>
                <c:pt idx="67">
                  <c:v>563.76018917630006</c:v>
                </c:pt>
                <c:pt idx="68">
                  <c:v>571.15528690457643</c:v>
                </c:pt>
                <c:pt idx="69">
                  <c:v>578.54838472721212</c:v>
                </c:pt>
                <c:pt idx="70">
                  <c:v>585.93951180923602</c:v>
                </c:pt>
                <c:pt idx="71">
                  <c:v>549.30024505819006</c:v>
                </c:pt>
                <c:pt idx="72">
                  <c:v>556.3630615481112</c:v>
                </c:pt>
                <c:pt idx="73">
                  <c:v>563.42400036942331</c:v>
                </c:pt>
                <c:pt idx="74">
                  <c:v>570.483088378297</c:v>
                </c:pt>
                <c:pt idx="75">
                  <c:v>577.54035171190264</c:v>
                </c:pt>
                <c:pt idx="76">
                  <c:v>563.08780736582833</c:v>
                </c:pt>
                <c:pt idx="77">
                  <c:v>568.80251960831094</c:v>
                </c:pt>
                <c:pt idx="78">
                  <c:v>574.51603206521429</c:v>
                </c:pt>
                <c:pt idx="79">
                  <c:v>580.22835835580952</c:v>
                </c:pt>
                <c:pt idx="80">
                  <c:v>585.9395118092358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647056"/>
        <c:axId val="241819408"/>
      </c:scatterChart>
      <c:valAx>
        <c:axId val="419647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1819408"/>
        <c:crosses val="autoZero"/>
        <c:crossBetween val="midCat"/>
      </c:valAx>
      <c:valAx>
        <c:axId val="24181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64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82.357003551703173</c:v>
                </c:pt>
                <c:pt idx="17">
                  <c:v>97.435579235164482</c:v>
                </c:pt>
                <c:pt idx="18">
                  <c:v>112.45603690749546</c:v>
                </c:pt>
                <c:pt idx="19">
                  <c:v>127.42725117721011</c:v>
                </c:pt>
                <c:pt idx="20">
                  <c:v>142.35583160682572</c:v>
                </c:pt>
                <c:pt idx="21">
                  <c:v>94.63497747993533</c:v>
                </c:pt>
                <c:pt idx="22">
                  <c:v>121.86186167582692</c:v>
                </c:pt>
                <c:pt idx="23">
                  <c:v>148.93996563525323</c:v>
                </c:pt>
                <c:pt idx="24">
                  <c:v>175.90027726143936</c:v>
                </c:pt>
                <c:pt idx="25">
                  <c:v>202.76343275622807</c:v>
                </c:pt>
                <c:pt idx="26">
                  <c:v>213.75966826195815</c:v>
                </c:pt>
                <c:pt idx="27">
                  <c:v>224.74287942627927</c:v>
                </c:pt>
                <c:pt idx="28">
                  <c:v>235.71379290964839</c:v>
                </c:pt>
                <c:pt idx="29">
                  <c:v>246.67306214732389</c:v>
                </c:pt>
                <c:pt idx="30">
                  <c:v>257.62127772428227</c:v>
                </c:pt>
                <c:pt idx="31">
                  <c:v>189.34297444965307</c:v>
                </c:pt>
                <c:pt idx="32">
                  <c:v>217.19328512238812</c:v>
                </c:pt>
                <c:pt idx="33">
                  <c:v>244.96141929271744</c:v>
                </c:pt>
                <c:pt idx="34">
                  <c:v>272.6580023613389</c:v>
                </c:pt>
                <c:pt idx="35">
                  <c:v>300.2913216340458</c:v>
                </c:pt>
                <c:pt idx="36">
                  <c:v>307.10541864100418</c:v>
                </c:pt>
                <c:pt idx="37">
                  <c:v>313.91615631143895</c:v>
                </c:pt>
                <c:pt idx="38">
                  <c:v>320.7236178929042</c:v>
                </c:pt>
                <c:pt idx="39">
                  <c:v>327.52788280677856</c:v>
                </c:pt>
                <c:pt idx="40">
                  <c:v>334.32902690172892</c:v>
                </c:pt>
                <c:pt idx="41">
                  <c:v>262.40778495948558</c:v>
                </c:pt>
                <c:pt idx="42">
                  <c:v>285.97038929413475</c:v>
                </c:pt>
                <c:pt idx="43">
                  <c:v>309.48955460516714</c:v>
                </c:pt>
                <c:pt idx="44">
                  <c:v>332.96904422153949</c:v>
                </c:pt>
                <c:pt idx="45">
                  <c:v>356.41204743833867</c:v>
                </c:pt>
                <c:pt idx="46">
                  <c:v>360.82499034748622</c:v>
                </c:pt>
                <c:pt idx="47">
                  <c:v>365.2367529708078</c:v>
                </c:pt>
                <c:pt idx="48">
                  <c:v>369.64735159591169</c:v>
                </c:pt>
                <c:pt idx="49">
                  <c:v>374.05680208950554</c:v>
                </c:pt>
                <c:pt idx="50">
                  <c:v>378.46511991321876</c:v>
                </c:pt>
                <c:pt idx="51">
                  <c:v>330.58877943904662</c:v>
                </c:pt>
                <c:pt idx="52">
                  <c:v>348.94125427596026</c:v>
                </c:pt>
                <c:pt idx="53">
                  <c:v>367.2725575433945</c:v>
                </c:pt>
                <c:pt idx="54">
                  <c:v>385.58389424489491</c:v>
                </c:pt>
                <c:pt idx="55">
                  <c:v>403.87634562786894</c:v>
                </c:pt>
                <c:pt idx="56">
                  <c:v>407.93887014257706</c:v>
                </c:pt>
                <c:pt idx="57">
                  <c:v>412.00052062729009</c:v>
                </c:pt>
                <c:pt idx="58">
                  <c:v>416.06130692450489</c:v>
                </c:pt>
                <c:pt idx="59">
                  <c:v>420.12123866869621</c:v>
                </c:pt>
                <c:pt idx="60">
                  <c:v>424.18032529272637</c:v>
                </c:pt>
                <c:pt idx="61">
                  <c:v>393.71614391217787</c:v>
                </c:pt>
                <c:pt idx="62">
                  <c:v>405.56917103469499</c:v>
                </c:pt>
                <c:pt idx="63">
                  <c:v>417.41471198632934</c:v>
                </c:pt>
                <c:pt idx="64">
                  <c:v>429.25300917701105</c:v>
                </c:pt>
                <c:pt idx="65">
                  <c:v>441.08429055375791</c:v>
                </c:pt>
                <c:pt idx="66">
                  <c:v>443.7876210096145</c:v>
                </c:pt>
                <c:pt idx="67">
                  <c:v>446.49059866524152</c:v>
                </c:pt>
                <c:pt idx="68">
                  <c:v>449.19322596047977</c:v>
                </c:pt>
                <c:pt idx="69">
                  <c:v>451.89550530337857</c:v>
                </c:pt>
                <c:pt idx="70">
                  <c:v>454.59743907080457</c:v>
                </c:pt>
                <c:pt idx="71">
                  <c:v>428.57672614990469</c:v>
                </c:pt>
                <c:pt idx="72">
                  <c:v>438.04261900487001</c:v>
                </c:pt>
                <c:pt idx="73">
                  <c:v>447.50412482878806</c:v>
                </c:pt>
                <c:pt idx="74">
                  <c:v>456.96134948264512</c:v>
                </c:pt>
                <c:pt idx="75">
                  <c:v>466.41439408694424</c:v>
                </c:pt>
                <c:pt idx="76">
                  <c:v>456.28597323169151</c:v>
                </c:pt>
                <c:pt idx="77">
                  <c:v>461.35077692036316</c:v>
                </c:pt>
                <c:pt idx="78">
                  <c:v>466.41439408694424</c:v>
                </c:pt>
                <c:pt idx="79">
                  <c:v>471.47683944067677</c:v>
                </c:pt>
                <c:pt idx="80">
                  <c:v>476.5381273489059</c:v>
                </c:pt>
                <c:pt idx="81">
                  <c:v>4.7326673552561798E-12</c:v>
                </c:pt>
                <c:pt idx="82">
                  <c:v>4.7326673552561798E-12</c:v>
                </c:pt>
                <c:pt idx="83">
                  <c:v>4.7326673552561798E-12</c:v>
                </c:pt>
                <c:pt idx="84">
                  <c:v>4.7326673552561798E-12</c:v>
                </c:pt>
                <c:pt idx="85">
                  <c:v>4.7326673552561798E-12</c:v>
                </c:pt>
                <c:pt idx="86">
                  <c:v>4.7326673552561798E-12</c:v>
                </c:pt>
                <c:pt idx="87">
                  <c:v>4.7326673552561798E-12</c:v>
                </c:pt>
                <c:pt idx="88">
                  <c:v>4.7326673552561798E-12</c:v>
                </c:pt>
                <c:pt idx="89">
                  <c:v>4.7326673552561798E-12</c:v>
                </c:pt>
                <c:pt idx="90">
                  <c:v>4.7326673552561798E-12</c:v>
                </c:pt>
                <c:pt idx="91">
                  <c:v>4.7326673552561798E-12</c:v>
                </c:pt>
                <c:pt idx="92">
                  <c:v>4.7326673552561798E-12</c:v>
                </c:pt>
                <c:pt idx="93">
                  <c:v>4.7326673552561798E-12</c:v>
                </c:pt>
                <c:pt idx="94">
                  <c:v>4.7326673552561798E-12</c:v>
                </c:pt>
                <c:pt idx="95">
                  <c:v>4.7326673552561798E-12</c:v>
                </c:pt>
                <c:pt idx="96">
                  <c:v>4.7326673552561798E-12</c:v>
                </c:pt>
                <c:pt idx="97">
                  <c:v>4.7326673552561798E-12</c:v>
                </c:pt>
                <c:pt idx="98">
                  <c:v>4.7326673552561798E-12</c:v>
                </c:pt>
                <c:pt idx="99">
                  <c:v>4.7326673552561798E-12</c:v>
                </c:pt>
                <c:pt idx="100">
                  <c:v>4.7326673552561798E-12</c:v>
                </c:pt>
                <c:pt idx="101">
                  <c:v>4.7326673552561798E-12</c:v>
                </c:pt>
                <c:pt idx="102">
                  <c:v>4.7326673552561798E-12</c:v>
                </c:pt>
                <c:pt idx="103">
                  <c:v>4.7326673552561798E-12</c:v>
                </c:pt>
                <c:pt idx="104">
                  <c:v>4.7326673552561798E-12</c:v>
                </c:pt>
                <c:pt idx="105">
                  <c:v>4.7326673552561798E-12</c:v>
                </c:pt>
                <c:pt idx="106">
                  <c:v>4.7326673552561798E-12</c:v>
                </c:pt>
                <c:pt idx="107">
                  <c:v>4.7326673552561798E-12</c:v>
                </c:pt>
                <c:pt idx="108">
                  <c:v>4.7326673552561798E-12</c:v>
                </c:pt>
                <c:pt idx="109">
                  <c:v>4.7326673552561798E-12</c:v>
                </c:pt>
                <c:pt idx="110">
                  <c:v>4.7326673552561798E-12</c:v>
                </c:pt>
                <c:pt idx="111">
                  <c:v>4.7326673552561798E-12</c:v>
                </c:pt>
                <c:pt idx="112">
                  <c:v>4.7326673552561798E-12</c:v>
                </c:pt>
                <c:pt idx="113">
                  <c:v>4.7326673552561798E-12</c:v>
                </c:pt>
                <c:pt idx="114">
                  <c:v>4.7326673552561798E-12</c:v>
                </c:pt>
                <c:pt idx="115">
                  <c:v>4.7326673552561798E-12</c:v>
                </c:pt>
                <c:pt idx="116">
                  <c:v>4.7326673552561798E-12</c:v>
                </c:pt>
                <c:pt idx="117">
                  <c:v>4.7326673552561798E-12</c:v>
                </c:pt>
                <c:pt idx="118">
                  <c:v>4.7326673552561798E-12</c:v>
                </c:pt>
                <c:pt idx="119">
                  <c:v>4.7326673552561798E-12</c:v>
                </c:pt>
                <c:pt idx="120">
                  <c:v>4.7326673552561798E-12</c:v>
                </c:pt>
                <c:pt idx="121">
                  <c:v>4.7326673552561798E-12</c:v>
                </c:pt>
                <c:pt idx="122">
                  <c:v>4.7326673552561798E-12</c:v>
                </c:pt>
                <c:pt idx="123">
                  <c:v>4.7326673552561798E-12</c:v>
                </c:pt>
                <c:pt idx="124">
                  <c:v>4.7326673552561798E-12</c:v>
                </c:pt>
                <c:pt idx="125">
                  <c:v>4.7326673552561798E-12</c:v>
                </c:pt>
                <c:pt idx="126">
                  <c:v>4.7326673552561798E-12</c:v>
                </c:pt>
                <c:pt idx="127">
                  <c:v>4.7326673552561798E-12</c:v>
                </c:pt>
                <c:pt idx="128">
                  <c:v>4.7326673552561798E-12</c:v>
                </c:pt>
                <c:pt idx="129">
                  <c:v>4.7326673552561798E-12</c:v>
                </c:pt>
                <c:pt idx="130">
                  <c:v>4.7326673552561798E-12</c:v>
                </c:pt>
                <c:pt idx="131">
                  <c:v>4.7326673552561798E-12</c:v>
                </c:pt>
                <c:pt idx="132">
                  <c:v>4.7326673552561798E-12</c:v>
                </c:pt>
                <c:pt idx="133">
                  <c:v>4.7326673552561798E-12</c:v>
                </c:pt>
                <c:pt idx="134">
                  <c:v>4.7326673552561798E-12</c:v>
                </c:pt>
                <c:pt idx="135">
                  <c:v>4.7326673552561798E-12</c:v>
                </c:pt>
                <c:pt idx="136">
                  <c:v>4.7326673552561798E-12</c:v>
                </c:pt>
                <c:pt idx="137">
                  <c:v>4.7326673552561798E-12</c:v>
                </c:pt>
                <c:pt idx="138">
                  <c:v>4.7326673552561798E-12</c:v>
                </c:pt>
                <c:pt idx="139">
                  <c:v>4.7326673552561798E-12</c:v>
                </c:pt>
                <c:pt idx="140">
                  <c:v>4.7326673552561798E-12</c:v>
                </c:pt>
                <c:pt idx="141">
                  <c:v>4.7326673552561798E-12</c:v>
                </c:pt>
                <c:pt idx="142">
                  <c:v>4.7326673552561798E-12</c:v>
                </c:pt>
                <c:pt idx="143">
                  <c:v>4.7326673552561798E-12</c:v>
                </c:pt>
                <c:pt idx="144">
                  <c:v>4.7326673552561798E-12</c:v>
                </c:pt>
                <c:pt idx="145">
                  <c:v>4.7326673552561798E-12</c:v>
                </c:pt>
                <c:pt idx="146">
                  <c:v>4.7326673552561798E-12</c:v>
                </c:pt>
                <c:pt idx="147">
                  <c:v>4.7326673552561798E-12</c:v>
                </c:pt>
                <c:pt idx="148">
                  <c:v>4.7326673552561798E-12</c:v>
                </c:pt>
                <c:pt idx="149">
                  <c:v>4.7326673552561798E-12</c:v>
                </c:pt>
                <c:pt idx="150">
                  <c:v>4.7326673552561798E-12</c:v>
                </c:pt>
                <c:pt idx="151">
                  <c:v>4.7326673552561798E-12</c:v>
                </c:pt>
                <c:pt idx="152">
                  <c:v>4.7326673552561798E-12</c:v>
                </c:pt>
                <c:pt idx="153">
                  <c:v>4.7326673552561798E-12</c:v>
                </c:pt>
                <c:pt idx="154">
                  <c:v>4.7326673552561798E-12</c:v>
                </c:pt>
                <c:pt idx="155">
                  <c:v>4.7326673552561798E-12</c:v>
                </c:pt>
                <c:pt idx="156">
                  <c:v>4.7326673552561798E-12</c:v>
                </c:pt>
                <c:pt idx="157">
                  <c:v>4.7326673552561798E-12</c:v>
                </c:pt>
                <c:pt idx="158">
                  <c:v>4.7326673552561798E-12</c:v>
                </c:pt>
                <c:pt idx="159">
                  <c:v>4.7326673552561798E-12</c:v>
                </c:pt>
                <c:pt idx="160">
                  <c:v>4.7326673552561798E-12</c:v>
                </c:pt>
                <c:pt idx="161">
                  <c:v>4.7326673552561798E-12</c:v>
                </c:pt>
                <c:pt idx="162">
                  <c:v>4.7326673552561798E-12</c:v>
                </c:pt>
                <c:pt idx="163">
                  <c:v>4.7326673552561798E-12</c:v>
                </c:pt>
                <c:pt idx="164">
                  <c:v>4.7326673552561798E-12</c:v>
                </c:pt>
                <c:pt idx="165">
                  <c:v>4.7326673552561798E-12</c:v>
                </c:pt>
                <c:pt idx="166">
                  <c:v>4.7326673552561798E-12</c:v>
                </c:pt>
                <c:pt idx="167">
                  <c:v>4.7326673552561798E-12</c:v>
                </c:pt>
                <c:pt idx="168">
                  <c:v>4.7326673552561798E-12</c:v>
                </c:pt>
                <c:pt idx="169">
                  <c:v>4.7326673552561798E-12</c:v>
                </c:pt>
                <c:pt idx="170">
                  <c:v>4.7326673552561798E-12</c:v>
                </c:pt>
                <c:pt idx="171">
                  <c:v>4.7326673552561798E-12</c:v>
                </c:pt>
                <c:pt idx="172">
                  <c:v>4.7326673552561798E-12</c:v>
                </c:pt>
                <c:pt idx="173">
                  <c:v>4.7326673552561798E-12</c:v>
                </c:pt>
                <c:pt idx="174">
                  <c:v>4.7326673552561798E-12</c:v>
                </c:pt>
                <c:pt idx="175">
                  <c:v>4.7326673552561798E-12</c:v>
                </c:pt>
                <c:pt idx="176">
                  <c:v>4.7326673552561798E-12</c:v>
                </c:pt>
                <c:pt idx="177">
                  <c:v>4.7326673552561798E-12</c:v>
                </c:pt>
                <c:pt idx="178">
                  <c:v>4.7326673552561798E-12</c:v>
                </c:pt>
                <c:pt idx="179">
                  <c:v>4.7326673552561798E-12</c:v>
                </c:pt>
                <c:pt idx="180">
                  <c:v>4.7326673552561798E-12</c:v>
                </c:pt>
                <c:pt idx="181">
                  <c:v>4.7326673552561798E-12</c:v>
                </c:pt>
                <c:pt idx="182">
                  <c:v>4.7326673552561798E-12</c:v>
                </c:pt>
                <c:pt idx="183">
                  <c:v>4.7326673552561798E-12</c:v>
                </c:pt>
                <c:pt idx="184">
                  <c:v>4.7326673552561798E-12</c:v>
                </c:pt>
                <c:pt idx="185">
                  <c:v>4.7326673552561798E-12</c:v>
                </c:pt>
                <c:pt idx="186">
                  <c:v>4.7326673552561798E-12</c:v>
                </c:pt>
                <c:pt idx="187">
                  <c:v>4.7326673552561798E-12</c:v>
                </c:pt>
                <c:pt idx="188">
                  <c:v>4.7326673552561798E-12</c:v>
                </c:pt>
                <c:pt idx="189">
                  <c:v>4.7326673552561798E-12</c:v>
                </c:pt>
                <c:pt idx="190">
                  <c:v>4.7326673552561798E-12</c:v>
                </c:pt>
                <c:pt idx="191">
                  <c:v>4.7326673552561798E-12</c:v>
                </c:pt>
                <c:pt idx="192">
                  <c:v>4.7326673552561798E-12</c:v>
                </c:pt>
                <c:pt idx="193">
                  <c:v>4.7326673552561798E-12</c:v>
                </c:pt>
                <c:pt idx="194">
                  <c:v>4.7326673552561798E-12</c:v>
                </c:pt>
                <c:pt idx="195">
                  <c:v>4.7326673552561798E-12</c:v>
                </c:pt>
                <c:pt idx="196">
                  <c:v>4.7326673552561798E-12</c:v>
                </c:pt>
                <c:pt idx="197">
                  <c:v>4.7326673552561798E-12</c:v>
                </c:pt>
                <c:pt idx="198">
                  <c:v>4.7326673552561798E-12</c:v>
                </c:pt>
                <c:pt idx="199">
                  <c:v>4.7326673552561798E-12</c:v>
                </c:pt>
                <c:pt idx="200">
                  <c:v>4.7326673552561798E-12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825936"/>
        <c:axId val="241826480"/>
      </c:scatterChart>
      <c:valAx>
        <c:axId val="241825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1826480"/>
        <c:crosses val="autoZero"/>
        <c:crossBetween val="midCat"/>
      </c:valAx>
      <c:valAx>
        <c:axId val="24182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1825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15600"/>
        <c:axId val="547162976"/>
      </c:scatterChart>
      <c:valAx>
        <c:axId val="91515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7162976"/>
        <c:crosses val="autoZero"/>
        <c:crossBetween val="midCat"/>
      </c:valAx>
      <c:valAx>
        <c:axId val="5471629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1515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7" t="s">
        <v>291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</row>
    <row r="13" spans="2:13" ht="15" customHeight="1" x14ac:dyDescent="0.3"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</row>
    <row r="14" spans="2:13" ht="15" customHeight="1" x14ac:dyDescent="0.3"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</row>
    <row r="15" spans="2:13" ht="18.75" customHeight="1" x14ac:dyDescent="0.3"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</row>
    <row r="16" spans="2:13" ht="18.75" customHeight="1" x14ac:dyDescent="0.3"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</row>
    <row r="18" spans="2:13" ht="12" customHeight="1" x14ac:dyDescent="0.3">
      <c r="B18" s="287" t="s">
        <v>292</v>
      </c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</row>
    <row r="19" spans="2:13" ht="12" customHeight="1" x14ac:dyDescent="0.3"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2:13" ht="12" customHeight="1" x14ac:dyDescent="0.3"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</row>
    <row r="21" spans="2:13" ht="12" customHeight="1" x14ac:dyDescent="0.3"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</row>
    <row r="22" spans="2:13" ht="12" customHeight="1" x14ac:dyDescent="0.3"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</row>
    <row r="23" spans="2:13" ht="12" customHeight="1" x14ac:dyDescent="0.3"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</row>
    <row r="24" spans="2:13" ht="12" customHeight="1" x14ac:dyDescent="0.3"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</row>
    <row r="25" spans="2:13" ht="12" customHeight="1" x14ac:dyDescent="0.3"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</row>
    <row r="26" spans="2:13" ht="12" customHeight="1" x14ac:dyDescent="0.3"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</row>
    <row r="27" spans="2:13" ht="12" customHeight="1" x14ac:dyDescent="0.3"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spans="2:13" ht="12" customHeight="1" x14ac:dyDescent="0.3"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spans="2:13" ht="12" customHeight="1" x14ac:dyDescent="0.3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</row>
    <row r="30" spans="2:13" ht="12" customHeight="1" x14ac:dyDescent="0.3"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</row>
    <row r="31" spans="2:13" ht="12" customHeight="1" x14ac:dyDescent="0.3"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Normal="100" workbookViewId="0">
      <selection activeCell="G1" sqref="G1:G104857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3" t="s">
        <v>192</v>
      </c>
      <c r="C3" s="294"/>
      <c r="D3" s="294"/>
      <c r="E3" s="294"/>
      <c r="F3" s="295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9" t="s">
        <v>231</v>
      </c>
      <c r="B5" s="299"/>
      <c r="C5" s="26">
        <v>5.5</v>
      </c>
      <c r="D5" s="300" t="s">
        <v>229</v>
      </c>
      <c r="E5" s="301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297" t="s">
        <v>226</v>
      </c>
      <c r="B7" s="297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f>0.8/C5</f>
        <v>0.14545454545454548</v>
      </c>
      <c r="D9" s="36">
        <f t="shared" ref="D9:D18" si="0">C9*$C$5</f>
        <v>0.80000000000000016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H9" s="25" t="s">
        <v>324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0.121</v>
      </c>
      <c r="D10" s="36">
        <f t="shared" si="0"/>
        <v>0.66549999999999998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325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</v>
      </c>
      <c r="C11" s="35">
        <f>1.21/C5</f>
        <v>0.22</v>
      </c>
      <c r="D11" s="36">
        <f t="shared" si="0"/>
        <v>1.21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7" t="s">
        <v>324</v>
      </c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</v>
      </c>
      <c r="C12" s="35">
        <v>0.04</v>
      </c>
      <c r="D12" s="36">
        <f t="shared" si="0"/>
        <v>0.22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 t="s">
        <v>325</v>
      </c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12</v>
      </c>
      <c r="C13" s="35">
        <v>4.1000000000000002E-2</v>
      </c>
      <c r="D13" s="36">
        <f t="shared" si="0"/>
        <v>0.22550000000000001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 t="s">
        <v>325</v>
      </c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23</v>
      </c>
      <c r="C14" s="35">
        <f>0.59/C5</f>
        <v>0.10727272727272727</v>
      </c>
      <c r="D14" s="36">
        <f t="shared" si="0"/>
        <v>0.59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27" t="s">
        <v>324</v>
      </c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23</v>
      </c>
      <c r="C15" s="35">
        <f>0.4/C5</f>
        <v>7.2727272727272738E-2</v>
      </c>
      <c r="D15" s="36">
        <f t="shared" si="0"/>
        <v>0.40000000000000008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7" t="s">
        <v>325</v>
      </c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23</v>
      </c>
      <c r="C16" s="35">
        <v>5.2999999999999999E-2</v>
      </c>
      <c r="D16" s="36">
        <f t="shared" si="0"/>
        <v>0.29149999999999998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7" t="s">
        <v>326</v>
      </c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164</v>
      </c>
      <c r="C17" s="35">
        <v>4.2000000000000003E-2</v>
      </c>
      <c r="D17" s="36">
        <f t="shared" si="0"/>
        <v>0.23100000000000001</v>
      </c>
      <c r="E17" s="37">
        <v>109</v>
      </c>
      <c r="F17" s="38" t="str">
        <f t="array" ref="F17">IF(E17="","",IF(INDEX(A:A,MAX(IF(ISNUMBER($A$244:$A$263),ROW($A$244:$A$263),"")))&lt;&gt;E17,"Corrigez : révolution incorrecte","OK"))</f>
        <v>OK</v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112</v>
      </c>
      <c r="C18" s="35">
        <f>0.65/C5</f>
        <v>0.11818181818181818</v>
      </c>
      <c r="D18" s="36">
        <f t="shared" si="0"/>
        <v>0.65</v>
      </c>
      <c r="E18" s="37">
        <v>25</v>
      </c>
      <c r="F18" s="38" t="str">
        <f t="array" ref="F18">IF(E18="","",IF(INDEX(A:A,MAX(IF(ISNUMBER($A$270:$A$289),ROW($A$270:$A$289),"")))&lt;&gt;E18,"Corrigez : révolution incorrecte","OK"))</f>
        <v>OK</v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0.96063636363636384</v>
      </c>
      <c r="D19" s="41">
        <f>SUM(D9:D18)</f>
        <v>5.2835000000000001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6" t="s">
        <v>232</v>
      </c>
      <c r="B22" s="296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8" t="s">
        <v>227</v>
      </c>
      <c r="B30" s="298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88" t="s">
        <v>186</v>
      </c>
      <c r="D34" s="288"/>
      <c r="E34" s="289" t="s">
        <v>187</v>
      </c>
      <c r="F34" s="290"/>
      <c r="G34" s="290"/>
      <c r="H34" s="291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109</v>
      </c>
      <c r="C37" s="61">
        <v>1</v>
      </c>
      <c r="D37" s="61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93+28</f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119+28+28</f>
        <v>175</v>
      </c>
      <c r="C39" s="61">
        <v>2</v>
      </c>
      <c r="D39" s="61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147+28</f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176+28+28</f>
        <v>232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203+28</f>
        <v>231</v>
      </c>
      <c r="C42" s="53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f>226+28+28</f>
        <v>282</v>
      </c>
      <c r="C43" s="53">
        <v>4</v>
      </c>
      <c r="D43" s="61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1">
        <f>245+28</f>
        <v>273</v>
      </c>
      <c r="C44" s="53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1">
        <f>261+28+28</f>
        <v>317</v>
      </c>
      <c r="C45" s="53">
        <v>5</v>
      </c>
      <c r="D45" s="61">
        <f>D43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1">
        <f>274+28</f>
        <v>302</v>
      </c>
      <c r="C46" s="53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1">
        <f>284+28+28</f>
        <v>340</v>
      </c>
      <c r="C47" s="53">
        <v>6</v>
      </c>
      <c r="D47" s="61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1">
        <f>292+28</f>
        <v>320</v>
      </c>
      <c r="C48" s="53"/>
      <c r="D48" s="61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61">
        <f>302+28+28</f>
        <v>358</v>
      </c>
      <c r="C49" s="53">
        <v>7</v>
      </c>
      <c r="D49" s="61">
        <f>28+28</f>
        <v>56</v>
      </c>
      <c r="E49" s="54"/>
      <c r="F49" s="54"/>
      <c r="G49" s="54"/>
      <c r="H49" s="54"/>
      <c r="I49" s="52">
        <f t="shared" si="1"/>
        <v>3.8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f>306+28+27</f>
        <v>361</v>
      </c>
      <c r="C50" s="53">
        <v>8</v>
      </c>
      <c r="D50" s="53">
        <f>27+28</f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f>307+25+28</f>
        <v>360</v>
      </c>
      <c r="C51" s="53">
        <v>9</v>
      </c>
      <c r="D51" s="53">
        <f>27+26</f>
        <v>53</v>
      </c>
      <c r="E51" s="54"/>
      <c r="F51" s="54"/>
      <c r="G51" s="54"/>
      <c r="H51" s="54"/>
      <c r="I51" s="52">
        <f t="shared" si="1"/>
        <v>5.4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f>305+23+24</f>
        <v>352</v>
      </c>
      <c r="C52" s="53">
        <v>10</v>
      </c>
      <c r="D52" s="53">
        <f>23+24</f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f>303+22+22</f>
        <v>347</v>
      </c>
      <c r="C53" s="53">
        <v>11</v>
      </c>
      <c r="D53" s="53">
        <f>22+22</f>
        <v>44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f>300+21+22</f>
        <v>343</v>
      </c>
      <c r="C54" s="53">
        <v>12</v>
      </c>
      <c r="D54" s="53">
        <f>21+22</f>
        <v>43</v>
      </c>
      <c r="E54" s="54"/>
      <c r="F54" s="54"/>
      <c r="G54" s="54"/>
      <c r="H54" s="54"/>
      <c r="I54" s="52">
        <f t="shared" si="1"/>
        <v>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f>298+19+18</f>
        <v>335</v>
      </c>
      <c r="C55" s="53">
        <v>13</v>
      </c>
      <c r="D55" s="53">
        <f>B55</f>
        <v>335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88" t="s">
        <v>186</v>
      </c>
      <c r="D60" s="288"/>
      <c r="E60" s="289" t="s">
        <v>187</v>
      </c>
      <c r="F60" s="290"/>
      <c r="G60" s="290"/>
      <c r="H60" s="291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v>105</v>
      </c>
      <c r="C64" s="61">
        <v>1</v>
      </c>
      <c r="D64" s="61"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v>158</v>
      </c>
      <c r="C66" s="61">
        <v>2</v>
      </c>
      <c r="D66" s="61"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v>199</v>
      </c>
      <c r="C68" s="61">
        <v>3</v>
      </c>
      <c r="D68" s="61"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/>
      <c r="D69" s="5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pédonculé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88" t="s">
        <v>186</v>
      </c>
      <c r="D86" s="288"/>
      <c r="E86" s="289" t="s">
        <v>187</v>
      </c>
      <c r="F86" s="290"/>
      <c r="G86" s="290"/>
      <c r="H86" s="291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73</v>
      </c>
      <c r="C88" s="61"/>
      <c r="D88" s="61"/>
      <c r="E88" s="54"/>
      <c r="F88" s="54"/>
      <c r="G88" s="54"/>
      <c r="H88" s="54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v>109</v>
      </c>
      <c r="C89" s="61">
        <v>1</v>
      </c>
      <c r="D89" s="61">
        <f>6+28</f>
        <v>34</v>
      </c>
      <c r="E89" s="54"/>
      <c r="F89" s="54"/>
      <c r="G89" s="54"/>
      <c r="H89" s="54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f>93+28</f>
        <v>121</v>
      </c>
      <c r="C90" s="61"/>
      <c r="D90" s="61"/>
      <c r="E90" s="54"/>
      <c r="F90" s="54"/>
      <c r="G90" s="54"/>
      <c r="H90" s="54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f>119+28+28</f>
        <v>175</v>
      </c>
      <c r="C91" s="61">
        <v>2</v>
      </c>
      <c r="D91" s="61">
        <f>28+28</f>
        <v>56</v>
      </c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f>147+28</f>
        <v>175</v>
      </c>
      <c r="C92" s="61"/>
      <c r="D92" s="61"/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f>176+28+28</f>
        <v>232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f>203+28</f>
        <v>231</v>
      </c>
      <c r="C94" s="53"/>
      <c r="D94" s="61"/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1">
        <f>226+28+28</f>
        <v>282</v>
      </c>
      <c r="C95" s="53">
        <v>4</v>
      </c>
      <c r="D95" s="61">
        <f>28+28</f>
        <v>56</v>
      </c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61">
        <f>245+28</f>
        <v>273</v>
      </c>
      <c r="C96" s="53"/>
      <c r="D96" s="61"/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61">
        <f>261+28+28</f>
        <v>317</v>
      </c>
      <c r="C97" s="53">
        <v>5</v>
      </c>
      <c r="D97" s="61">
        <f>D95</f>
        <v>56</v>
      </c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61">
        <f>274+28</f>
        <v>302</v>
      </c>
      <c r="C98" s="53"/>
      <c r="D98" s="61"/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61">
        <f>284+28+28</f>
        <v>340</v>
      </c>
      <c r="C99" s="53">
        <v>6</v>
      </c>
      <c r="D99" s="61">
        <f>28+28</f>
        <v>56</v>
      </c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61">
        <f>292+28</f>
        <v>320</v>
      </c>
      <c r="C100" s="53"/>
      <c r="D100" s="61"/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61">
        <f>302+28+28</f>
        <v>358</v>
      </c>
      <c r="C101" s="53">
        <v>7</v>
      </c>
      <c r="D101" s="61">
        <f>28+28</f>
        <v>56</v>
      </c>
      <c r="E101" s="54"/>
      <c r="F101" s="54"/>
      <c r="G101" s="54"/>
      <c r="H101" s="54"/>
      <c r="I101" s="56">
        <f t="shared" si="3"/>
        <v>3.8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361</v>
      </c>
      <c r="C102" s="53">
        <v>8</v>
      </c>
      <c r="D102" s="53">
        <v>55</v>
      </c>
      <c r="E102" s="54"/>
      <c r="F102" s="54"/>
      <c r="G102" s="54"/>
      <c r="H102" s="54"/>
      <c r="I102" s="56">
        <f t="shared" si="3"/>
        <v>5.9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360</v>
      </c>
      <c r="C103" s="53">
        <v>9</v>
      </c>
      <c r="D103" s="53">
        <v>53</v>
      </c>
      <c r="E103" s="54"/>
      <c r="F103" s="54"/>
      <c r="G103" s="54"/>
      <c r="H103" s="54"/>
      <c r="I103" s="56">
        <f t="shared" si="3"/>
        <v>5.4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352</v>
      </c>
      <c r="C104" s="53">
        <v>10</v>
      </c>
      <c r="D104" s="53">
        <v>47</v>
      </c>
      <c r="E104" s="54"/>
      <c r="F104" s="54"/>
      <c r="G104" s="54"/>
      <c r="H104" s="54"/>
      <c r="I104" s="56">
        <f t="shared" si="3"/>
        <v>4.5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347</v>
      </c>
      <c r="C105" s="53">
        <v>11</v>
      </c>
      <c r="D105" s="53">
        <v>44</v>
      </c>
      <c r="E105" s="54"/>
      <c r="F105" s="54"/>
      <c r="G105" s="54"/>
      <c r="H105" s="54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343</v>
      </c>
      <c r="C106" s="53">
        <v>12</v>
      </c>
      <c r="D106" s="53">
        <v>43</v>
      </c>
      <c r="E106" s="54"/>
      <c r="F106" s="54"/>
      <c r="G106" s="54"/>
      <c r="H106" s="54"/>
      <c r="I106" s="56">
        <f t="shared" si="3"/>
        <v>4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335</v>
      </c>
      <c r="C107" s="53">
        <v>13</v>
      </c>
      <c r="D107" s="53">
        <v>335</v>
      </c>
      <c r="E107" s="54"/>
      <c r="F107" s="54"/>
      <c r="G107" s="54"/>
      <c r="H107" s="54"/>
      <c r="I107" s="56">
        <f t="shared" si="3"/>
        <v>3.5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pédonculé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88" t="s">
        <v>186</v>
      </c>
      <c r="D112" s="288"/>
      <c r="E112" s="289" t="s">
        <v>187</v>
      </c>
      <c r="F112" s="290"/>
      <c r="G112" s="290"/>
      <c r="H112" s="291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v>105</v>
      </c>
      <c r="C116" s="61">
        <v>1</v>
      </c>
      <c r="D116" s="61"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v>158</v>
      </c>
      <c r="C118" s="61">
        <v>2</v>
      </c>
      <c r="D118" s="61"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v>199</v>
      </c>
      <c r="C120" s="61">
        <v>3</v>
      </c>
      <c r="D120" s="61"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53">
        <v>197</v>
      </c>
      <c r="C121" s="53"/>
      <c r="D121" s="5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pubescent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88" t="s">
        <v>186</v>
      </c>
      <c r="D138" s="288"/>
      <c r="E138" s="289" t="s">
        <v>187</v>
      </c>
      <c r="F138" s="290"/>
      <c r="G138" s="290"/>
      <c r="H138" s="291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105</v>
      </c>
      <c r="C142" s="61">
        <v>1</v>
      </c>
      <c r="D142" s="61"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158</v>
      </c>
      <c r="C144" s="61">
        <v>2</v>
      </c>
      <c r="D144" s="61"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199</v>
      </c>
      <c r="C146" s="61">
        <v>3</v>
      </c>
      <c r="D146" s="61"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197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Erable sycomore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88" t="s">
        <v>186</v>
      </c>
      <c r="D164" s="288"/>
      <c r="E164" s="289" t="s">
        <v>187</v>
      </c>
      <c r="F164" s="290"/>
      <c r="G164" s="290"/>
      <c r="H164" s="291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61">
        <v>19</v>
      </c>
      <c r="C166" s="61"/>
      <c r="D166" s="61"/>
      <c r="E166" s="54"/>
      <c r="F166" s="54"/>
      <c r="G166" s="54"/>
      <c r="H166" s="54"/>
      <c r="I166" s="52">
        <f>IFERROR(B166/A166,"")</f>
        <v>1.9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61">
        <f>85+7+42</f>
        <v>134</v>
      </c>
      <c r="C167" s="61">
        <v>1</v>
      </c>
      <c r="D167" s="61">
        <f>7+42</f>
        <v>49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23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20</v>
      </c>
      <c r="B168" s="61">
        <f>123+42</f>
        <v>165</v>
      </c>
      <c r="C168" s="61"/>
      <c r="D168" s="61"/>
      <c r="E168" s="54"/>
      <c r="F168" s="54"/>
      <c r="G168" s="54"/>
      <c r="H168" s="54"/>
      <c r="I168" s="52">
        <f t="shared" si="6"/>
        <v>16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25</v>
      </c>
      <c r="B169" s="61">
        <f>165+42+42</f>
        <v>249</v>
      </c>
      <c r="C169" s="61">
        <v>2</v>
      </c>
      <c r="D169" s="61">
        <f>42+42</f>
        <v>84</v>
      </c>
      <c r="E169" s="54"/>
      <c r="F169" s="54"/>
      <c r="G169" s="54"/>
      <c r="H169" s="54">
        <v>1</v>
      </c>
      <c r="I169" s="52">
        <f t="shared" si="6"/>
        <v>16.8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30</v>
      </c>
      <c r="B170" s="61">
        <f>205+42</f>
        <v>247</v>
      </c>
      <c r="C170" s="61"/>
      <c r="D170" s="61"/>
      <c r="E170" s="54"/>
      <c r="F170" s="54"/>
      <c r="G170" s="54"/>
      <c r="H170" s="54"/>
      <c r="I170" s="52">
        <f t="shared" si="6"/>
        <v>16.399999999999999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35</v>
      </c>
      <c r="B171" s="61">
        <f>239+42+42</f>
        <v>323</v>
      </c>
      <c r="C171" s="61">
        <v>3</v>
      </c>
      <c r="D171" s="61">
        <f>42+42</f>
        <v>84</v>
      </c>
      <c r="E171" s="54"/>
      <c r="F171" s="54"/>
      <c r="G171" s="54"/>
      <c r="H171" s="54"/>
      <c r="I171" s="52">
        <f t="shared" si="6"/>
        <v>15.2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40</v>
      </c>
      <c r="B172" s="61">
        <f>263+40</f>
        <v>303</v>
      </c>
      <c r="C172" s="61"/>
      <c r="D172" s="61"/>
      <c r="E172" s="54"/>
      <c r="F172" s="54"/>
      <c r="G172" s="54"/>
      <c r="H172" s="54"/>
      <c r="I172" s="52">
        <f t="shared" si="6"/>
        <v>12.8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45</v>
      </c>
      <c r="B173" s="53">
        <f>280+26+40</f>
        <v>346</v>
      </c>
      <c r="C173" s="53">
        <v>4</v>
      </c>
      <c r="D173" s="53">
        <f>40+26</f>
        <v>66</v>
      </c>
      <c r="E173" s="54"/>
      <c r="F173" s="54"/>
      <c r="G173" s="54"/>
      <c r="H173" s="54"/>
      <c r="I173" s="52">
        <f t="shared" si="6"/>
        <v>8.6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50</v>
      </c>
      <c r="B174" s="53">
        <f>303+21</f>
        <v>324</v>
      </c>
      <c r="C174" s="53"/>
      <c r="D174" s="53"/>
      <c r="E174" s="54"/>
      <c r="F174" s="54"/>
      <c r="G174" s="54"/>
      <c r="H174" s="54"/>
      <c r="I174" s="52">
        <f t="shared" si="6"/>
        <v>8.8000000000000007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55</v>
      </c>
      <c r="B175" s="53">
        <f>324+18+21</f>
        <v>363</v>
      </c>
      <c r="C175" s="53">
        <v>5</v>
      </c>
      <c r="D175" s="53">
        <f>17+18</f>
        <v>35</v>
      </c>
      <c r="E175" s="54"/>
      <c r="F175" s="54"/>
      <c r="G175" s="54"/>
      <c r="H175" s="54"/>
      <c r="I175" s="52">
        <f t="shared" si="6"/>
        <v>7.8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60</v>
      </c>
      <c r="B176" s="53">
        <f>342+17</f>
        <v>359</v>
      </c>
      <c r="C176" s="53"/>
      <c r="D176" s="53"/>
      <c r="E176" s="54"/>
      <c r="F176" s="54"/>
      <c r="G176" s="54"/>
      <c r="H176" s="54"/>
      <c r="I176" s="52">
        <f t="shared" si="6"/>
        <v>6.2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65</v>
      </c>
      <c r="B177" s="53">
        <f>356+16</f>
        <v>372</v>
      </c>
      <c r="C177" s="53">
        <v>6</v>
      </c>
      <c r="D177" s="53">
        <f>16+17</f>
        <v>33</v>
      </c>
      <c r="E177" s="54"/>
      <c r="F177" s="54"/>
      <c r="G177" s="54"/>
      <c r="H177" s="54"/>
      <c r="I177" s="52">
        <f t="shared" si="6"/>
        <v>2.6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70</v>
      </c>
      <c r="B178" s="53">
        <f>366+15</f>
        <v>381</v>
      </c>
      <c r="C178" s="53">
        <v>7</v>
      </c>
      <c r="D178" s="53">
        <v>15</v>
      </c>
      <c r="E178" s="54"/>
      <c r="F178" s="54"/>
      <c r="G178" s="54"/>
      <c r="H178" s="54"/>
      <c r="I178" s="52">
        <f t="shared" si="6"/>
        <v>8.4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75</v>
      </c>
      <c r="B179" s="53">
        <f>375+14</f>
        <v>389</v>
      </c>
      <c r="C179" s="53">
        <v>8</v>
      </c>
      <c r="D179" s="53">
        <v>14</v>
      </c>
      <c r="E179" s="54"/>
      <c r="F179" s="54"/>
      <c r="G179" s="54"/>
      <c r="H179" s="54"/>
      <c r="I179" s="52">
        <f t="shared" si="6"/>
        <v>4.5999999999999996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80</v>
      </c>
      <c r="B180" s="53">
        <f>382+13</f>
        <v>395</v>
      </c>
      <c r="C180" s="53">
        <v>9</v>
      </c>
      <c r="D180" s="53">
        <f>B180</f>
        <v>395</v>
      </c>
      <c r="E180" s="54"/>
      <c r="F180" s="54"/>
      <c r="G180" s="54"/>
      <c r="H180" s="54"/>
      <c r="I180" s="52">
        <f t="shared" si="6"/>
        <v>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sycomore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88" t="s">
        <v>186</v>
      </c>
      <c r="D190" s="288"/>
      <c r="E190" s="289" t="s">
        <v>187</v>
      </c>
      <c r="F190" s="290"/>
      <c r="G190" s="290"/>
      <c r="H190" s="291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10</v>
      </c>
      <c r="B192" s="61">
        <f>11</f>
        <v>11</v>
      </c>
      <c r="C192" s="61"/>
      <c r="D192" s="61"/>
      <c r="E192" s="54"/>
      <c r="F192" s="54"/>
      <c r="G192" s="54"/>
      <c r="H192" s="54"/>
      <c r="I192" s="52">
        <f>IFERROR(B192/A192,"")</f>
        <v>1.1000000000000001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15</v>
      </c>
      <c r="B193" s="61">
        <f>65+32</f>
        <v>97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17.2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20</v>
      </c>
      <c r="B194" s="61">
        <f>102+32+35</f>
        <v>169</v>
      </c>
      <c r="C194" s="61">
        <v>1</v>
      </c>
      <c r="D194" s="61">
        <f>32+35</f>
        <v>67</v>
      </c>
      <c r="E194" s="54"/>
      <c r="F194" s="54"/>
      <c r="G194" s="54"/>
      <c r="H194" s="54">
        <v>1</v>
      </c>
      <c r="I194" s="52">
        <f t="shared" si="7"/>
        <v>14.4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25</v>
      </c>
      <c r="B195" s="61">
        <f>141+35</f>
        <v>176</v>
      </c>
      <c r="C195" s="61"/>
      <c r="D195" s="61"/>
      <c r="E195" s="54"/>
      <c r="F195" s="54"/>
      <c r="G195" s="54"/>
      <c r="H195" s="54"/>
      <c r="I195" s="52">
        <f t="shared" si="7"/>
        <v>14.8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30</v>
      </c>
      <c r="B196" s="61">
        <f>177+35+35</f>
        <v>247</v>
      </c>
      <c r="C196" s="61">
        <v>2</v>
      </c>
      <c r="D196" s="61">
        <f>35+35</f>
        <v>70</v>
      </c>
      <c r="E196" s="54"/>
      <c r="F196" s="54"/>
      <c r="G196" s="54"/>
      <c r="H196" s="54">
        <v>1</v>
      </c>
      <c r="I196" s="52">
        <f t="shared" si="7"/>
        <v>14.2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35</v>
      </c>
      <c r="B197" s="61">
        <f>206+35</f>
        <v>241</v>
      </c>
      <c r="C197" s="61"/>
      <c r="D197" s="61"/>
      <c r="E197" s="54"/>
      <c r="F197" s="54"/>
      <c r="G197" s="54"/>
      <c r="H197" s="54"/>
      <c r="I197" s="52">
        <f t="shared" si="7"/>
        <v>12.8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40</v>
      </c>
      <c r="B198" s="61">
        <f>228+35+35</f>
        <v>298</v>
      </c>
      <c r="C198" s="61">
        <v>3</v>
      </c>
      <c r="D198" s="61">
        <f>35+35</f>
        <v>70</v>
      </c>
      <c r="E198" s="54"/>
      <c r="F198" s="54"/>
      <c r="G198" s="54"/>
      <c r="H198" s="54"/>
      <c r="I198" s="52">
        <f t="shared" si="7"/>
        <v>11.4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45</v>
      </c>
      <c r="B199" s="53">
        <f>242+24</f>
        <v>266</v>
      </c>
      <c r="C199" s="61"/>
      <c r="D199" s="53"/>
      <c r="E199" s="54"/>
      <c r="F199" s="54"/>
      <c r="G199" s="54"/>
      <c r="H199" s="54"/>
      <c r="I199" s="52">
        <f t="shared" si="7"/>
        <v>7.6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50</v>
      </c>
      <c r="B200" s="53">
        <f>261+19+24</f>
        <v>304</v>
      </c>
      <c r="C200" s="53">
        <v>4</v>
      </c>
      <c r="D200" s="53">
        <f>19+24</f>
        <v>43</v>
      </c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55</v>
      </c>
      <c r="B201" s="53">
        <f>279+16</f>
        <v>295</v>
      </c>
      <c r="C201" s="53"/>
      <c r="D201" s="53"/>
      <c r="E201" s="54"/>
      <c r="F201" s="54"/>
      <c r="G201" s="54"/>
      <c r="H201" s="54"/>
      <c r="I201" s="52">
        <f t="shared" si="7"/>
        <v>6.8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60</v>
      </c>
      <c r="B202" s="53">
        <f>294+14+16</f>
        <v>324</v>
      </c>
      <c r="C202" s="53">
        <v>5</v>
      </c>
      <c r="D202" s="53">
        <f>14+16</f>
        <v>30</v>
      </c>
      <c r="E202" s="54"/>
      <c r="F202" s="54"/>
      <c r="G202" s="54"/>
      <c r="H202" s="54"/>
      <c r="I202" s="52">
        <f t="shared" si="7"/>
        <v>5.8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65</v>
      </c>
      <c r="B203" s="53">
        <f>306+13</f>
        <v>319</v>
      </c>
      <c r="C203" s="53"/>
      <c r="D203" s="53"/>
      <c r="E203" s="54"/>
      <c r="F203" s="54"/>
      <c r="G203" s="54"/>
      <c r="H203" s="54"/>
      <c r="I203" s="52">
        <f t="shared" si="7"/>
        <v>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70</v>
      </c>
      <c r="B204" s="53">
        <f>315+13+13</f>
        <v>341</v>
      </c>
      <c r="C204" s="53">
        <v>6</v>
      </c>
      <c r="D204" s="53">
        <f>13+13</f>
        <v>26</v>
      </c>
      <c r="E204" s="54"/>
      <c r="F204" s="54"/>
      <c r="G204" s="54"/>
      <c r="H204" s="54"/>
      <c r="I204" s="52">
        <f t="shared" si="7"/>
        <v>4.4000000000000004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75</v>
      </c>
      <c r="B205" s="53">
        <f>324+12</f>
        <v>336</v>
      </c>
      <c r="C205" s="53">
        <v>7</v>
      </c>
      <c r="D205" s="53">
        <f>12</f>
        <v>12</v>
      </c>
      <c r="E205" s="54"/>
      <c r="F205" s="54"/>
      <c r="G205" s="54"/>
      <c r="H205" s="54"/>
      <c r="I205" s="52">
        <f t="shared" si="7"/>
        <v>4.2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80</v>
      </c>
      <c r="B206" s="53">
        <f>330+11</f>
        <v>341</v>
      </c>
      <c r="C206" s="53">
        <v>8</v>
      </c>
      <c r="D206" s="53">
        <f>B206</f>
        <v>341</v>
      </c>
      <c r="E206" s="54"/>
      <c r="F206" s="54"/>
      <c r="G206" s="54"/>
      <c r="H206" s="54"/>
      <c r="I206" s="52">
        <f t="shared" si="7"/>
        <v>3.4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Erable sycomore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88" t="s">
        <v>186</v>
      </c>
      <c r="D216" s="288"/>
      <c r="E216" s="289" t="s">
        <v>187</v>
      </c>
      <c r="F216" s="290"/>
      <c r="G216" s="290"/>
      <c r="H216" s="291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1">
        <v>37</v>
      </c>
      <c r="C218" s="61"/>
      <c r="D218" s="61"/>
      <c r="E218" s="54"/>
      <c r="F218" s="54"/>
      <c r="G218" s="54"/>
      <c r="H218" s="54"/>
      <c r="I218" s="56">
        <f>IFERROR(B218/A218,"")</f>
        <v>2.4666666666666668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1">
        <v>80</v>
      </c>
      <c r="C219" s="61">
        <v>1</v>
      </c>
      <c r="D219" s="61">
        <f>15+28</f>
        <v>43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8.6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1">
        <v>115</v>
      </c>
      <c r="C220" s="61"/>
      <c r="D220" s="61"/>
      <c r="E220" s="54"/>
      <c r="F220" s="54"/>
      <c r="G220" s="54"/>
      <c r="H220" s="54"/>
      <c r="I220" s="56">
        <f t="shared" si="8"/>
        <v>15.6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1">
        <v>147</v>
      </c>
      <c r="C221" s="61">
        <v>2</v>
      </c>
      <c r="D221" s="61">
        <f>28+28</f>
        <v>56</v>
      </c>
      <c r="E221" s="54"/>
      <c r="F221" s="54"/>
      <c r="G221" s="54"/>
      <c r="H221" s="54">
        <v>1</v>
      </c>
      <c r="I221" s="56">
        <f t="shared" si="8"/>
        <v>6.4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1">
        <v>172</v>
      </c>
      <c r="C222" s="61"/>
      <c r="D222" s="61"/>
      <c r="E222" s="54"/>
      <c r="F222" s="54"/>
      <c r="G222" s="54"/>
      <c r="H222" s="54"/>
      <c r="I222" s="56">
        <f t="shared" si="8"/>
        <v>16.2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1">
        <v>192</v>
      </c>
      <c r="C223" s="61">
        <v>3</v>
      </c>
      <c r="D223" s="61">
        <f>28+28</f>
        <v>56</v>
      </c>
      <c r="E223" s="54"/>
      <c r="F223" s="54"/>
      <c r="G223" s="54"/>
      <c r="H223" s="54"/>
      <c r="I223" s="56">
        <f t="shared" si="8"/>
        <v>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1">
        <v>205</v>
      </c>
      <c r="C224" s="61"/>
      <c r="D224" s="61"/>
      <c r="E224" s="54"/>
      <c r="F224" s="54"/>
      <c r="G224" s="54"/>
      <c r="H224" s="54"/>
      <c r="I224" s="56">
        <f t="shared" si="8"/>
        <v>13.8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53">
        <v>218</v>
      </c>
      <c r="C225" s="53">
        <v>4</v>
      </c>
      <c r="D225" s="53">
        <v>39</v>
      </c>
      <c r="E225" s="54"/>
      <c r="F225" s="54"/>
      <c r="G225" s="54"/>
      <c r="H225" s="54"/>
      <c r="I225" s="56">
        <f t="shared" si="8"/>
        <v>2.6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53">
        <v>233</v>
      </c>
      <c r="C226" s="53"/>
      <c r="D226" s="53"/>
      <c r="E226" s="54"/>
      <c r="F226" s="54"/>
      <c r="G226" s="54"/>
      <c r="H226" s="54"/>
      <c r="I226" s="56">
        <f t="shared" si="8"/>
        <v>10.8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53">
        <v>245</v>
      </c>
      <c r="C227" s="53">
        <v>5</v>
      </c>
      <c r="D227" s="53">
        <v>25</v>
      </c>
      <c r="E227" s="54"/>
      <c r="F227" s="54"/>
      <c r="G227" s="54"/>
      <c r="H227" s="54"/>
      <c r="I227" s="56">
        <f t="shared" si="8"/>
        <v>2.4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53">
        <v>255</v>
      </c>
      <c r="C228" s="53"/>
      <c r="D228" s="53"/>
      <c r="E228" s="54"/>
      <c r="F228" s="54"/>
      <c r="G228" s="54"/>
      <c r="H228" s="54"/>
      <c r="I228" s="56">
        <f t="shared" si="8"/>
        <v>7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53">
        <v>263</v>
      </c>
      <c r="C229" s="53">
        <v>6</v>
      </c>
      <c r="D229" s="53">
        <v>21</v>
      </c>
      <c r="E229" s="54"/>
      <c r="F229" s="54"/>
      <c r="G229" s="54"/>
      <c r="H229" s="54"/>
      <c r="I229" s="56">
        <f t="shared" si="8"/>
        <v>1.6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53">
        <v>270</v>
      </c>
      <c r="C230" s="53">
        <v>7</v>
      </c>
      <c r="D230" s="53">
        <v>9</v>
      </c>
      <c r="E230" s="54"/>
      <c r="F230" s="54"/>
      <c r="G230" s="54"/>
      <c r="H230" s="54"/>
      <c r="I230" s="56">
        <f t="shared" si="8"/>
        <v>5.6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53">
        <v>276</v>
      </c>
      <c r="C231" s="53">
        <v>8</v>
      </c>
      <c r="D231" s="53">
        <v>276</v>
      </c>
      <c r="E231" s="54"/>
      <c r="F231" s="54"/>
      <c r="G231" s="54"/>
      <c r="H231" s="54"/>
      <c r="I231" s="56">
        <f t="shared" si="8"/>
        <v>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Cèdre de l'Atlas</v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88" t="s">
        <v>186</v>
      </c>
      <c r="D242" s="288"/>
      <c r="E242" s="289" t="s">
        <v>187</v>
      </c>
      <c r="F242" s="290"/>
      <c r="G242" s="290"/>
      <c r="H242" s="291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30</v>
      </c>
      <c r="B244" s="61">
        <f>134/1.3</f>
        <v>103.07692307692308</v>
      </c>
      <c r="C244" s="53"/>
      <c r="D244" s="61"/>
      <c r="E244" s="54"/>
      <c r="F244" s="54"/>
      <c r="G244" s="54"/>
      <c r="H244" s="64"/>
      <c r="I244" s="56">
        <f>IFERROR(B244/A244,"")</f>
        <v>3.4358974358974361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51</v>
      </c>
      <c r="B245" s="61">
        <f>418/1.3</f>
        <v>321.53846153846155</v>
      </c>
      <c r="C245" s="53">
        <v>1</v>
      </c>
      <c r="D245" s="61">
        <f>(418-288)/1.3</f>
        <v>100</v>
      </c>
      <c r="E245" s="64"/>
      <c r="F245" s="64"/>
      <c r="G245" s="64"/>
      <c r="H245" s="64"/>
      <c r="I245" s="56">
        <f>IF(A245&lt;&gt;0,(B245-(B244-D244))/(A245-A244),"")</f>
        <v>10.402930402930403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63</v>
      </c>
      <c r="B246" s="61">
        <f>456/1.3</f>
        <v>350.76923076923077</v>
      </c>
      <c r="C246" s="53">
        <v>2</v>
      </c>
      <c r="D246" s="61">
        <f>(456-315)/1.3</f>
        <v>108.46153846153845</v>
      </c>
      <c r="E246" s="64"/>
      <c r="F246" s="64"/>
      <c r="G246" s="64"/>
      <c r="H246" s="64"/>
      <c r="I246" s="56">
        <f>IF(A246&lt;&gt;0,(B246-(B245-D245))/(A246-A245),"")</f>
        <v>10.769230769230768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75</v>
      </c>
      <c r="B247" s="61">
        <f>469/1.3</f>
        <v>360.76923076923077</v>
      </c>
      <c r="C247" s="53">
        <v>3</v>
      </c>
      <c r="D247" s="61">
        <f>B247-(358/1.3)</f>
        <v>85.384615384615415</v>
      </c>
      <c r="E247" s="64"/>
      <c r="F247" s="64"/>
      <c r="G247" s="64"/>
      <c r="H247" s="64"/>
      <c r="I247" s="56">
        <f t="shared" ref="I247:I263" si="9">IF(A247&lt;&gt;0,(B247-(B246-D246))/(A247-A246),"")</f>
        <v>9.8717948717948705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87</v>
      </c>
      <c r="B248" s="61">
        <f>498/1.3</f>
        <v>383.07692307692304</v>
      </c>
      <c r="C248" s="53">
        <v>4</v>
      </c>
      <c r="D248" s="61">
        <f>B248-(390/1.3)</f>
        <v>83.076923076923038</v>
      </c>
      <c r="E248" s="64"/>
      <c r="F248" s="64"/>
      <c r="G248" s="64"/>
      <c r="H248" s="64"/>
      <c r="I248" s="56">
        <f t="shared" si="9"/>
        <v>8.9743589743589727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99</v>
      </c>
      <c r="B249" s="61">
        <f>517/1.3</f>
        <v>397.69230769230768</v>
      </c>
      <c r="C249" s="53">
        <v>5</v>
      </c>
      <c r="D249" s="61">
        <f>B249-(259/1.3)</f>
        <v>198.46153846153845</v>
      </c>
      <c r="E249" s="64"/>
      <c r="F249" s="64"/>
      <c r="G249" s="64"/>
      <c r="H249" s="64"/>
      <c r="I249" s="56">
        <f t="shared" si="9"/>
        <v>8.1410256410256405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61">
        <v>109</v>
      </c>
      <c r="B250" s="61">
        <f>333/1.3</f>
        <v>256.15384615384613</v>
      </c>
      <c r="C250" s="61">
        <v>6</v>
      </c>
      <c r="D250" s="61">
        <f>B250</f>
        <v>256.15384615384613</v>
      </c>
      <c r="E250" s="64"/>
      <c r="F250" s="64"/>
      <c r="G250" s="64"/>
      <c r="H250" s="64"/>
      <c r="I250" s="56">
        <f t="shared" si="9"/>
        <v>5.6923076923076907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0"/>
      <c r="B257" s="61"/>
      <c r="C257" s="90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Peuplier Koster</v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88" t="s">
        <v>186</v>
      </c>
      <c r="D268" s="288"/>
      <c r="E268" s="289" t="s">
        <v>187</v>
      </c>
      <c r="F268" s="290"/>
      <c r="G268" s="290"/>
      <c r="H268" s="291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8</v>
      </c>
      <c r="B270" s="61">
        <v>15.667200000000001</v>
      </c>
      <c r="C270" s="53"/>
      <c r="D270" s="61"/>
      <c r="E270" s="54"/>
      <c r="F270" s="54"/>
      <c r="G270" s="54"/>
      <c r="H270" s="54"/>
      <c r="I270" s="56">
        <f>IFERROR(B270/A270,"")</f>
        <v>1.9584000000000001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9</v>
      </c>
      <c r="B271" s="61">
        <v>36.556799999999996</v>
      </c>
      <c r="C271" s="53"/>
      <c r="D271" s="61"/>
      <c r="E271" s="54"/>
      <c r="F271" s="54"/>
      <c r="G271" s="54"/>
      <c r="H271" s="54"/>
      <c r="I271" s="56">
        <f>IF(A271&lt;&gt;0,(B271-(B270-D270))/(A271-A270),"")</f>
        <v>20.889599999999994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10</v>
      </c>
      <c r="B272" s="61">
        <v>62.668800000000005</v>
      </c>
      <c r="C272" s="53"/>
      <c r="D272" s="61"/>
      <c r="E272" s="54"/>
      <c r="F272" s="54"/>
      <c r="G272" s="54"/>
      <c r="H272" s="54"/>
      <c r="I272" s="56">
        <f t="shared" ref="I272:I289" si="10">IF(A272&lt;&gt;0,(B272-(B271-D271))/(A272-A271),"")</f>
        <v>26.112000000000009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11</v>
      </c>
      <c r="B273" s="61">
        <v>86.169599999999988</v>
      </c>
      <c r="C273" s="53"/>
      <c r="D273" s="61"/>
      <c r="E273" s="54"/>
      <c r="F273" s="54"/>
      <c r="G273" s="54"/>
      <c r="H273" s="54"/>
      <c r="I273" s="56">
        <f t="shared" si="10"/>
        <v>23.500799999999984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12</v>
      </c>
      <c r="B274" s="61">
        <v>112.2816</v>
      </c>
      <c r="C274" s="53"/>
      <c r="D274" s="61"/>
      <c r="E274" s="54"/>
      <c r="F274" s="54"/>
      <c r="G274" s="54"/>
      <c r="H274" s="54"/>
      <c r="I274" s="56">
        <f t="shared" si="10"/>
        <v>26.112000000000009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13</v>
      </c>
      <c r="B275" s="61">
        <v>138.39360000000002</v>
      </c>
      <c r="C275" s="53"/>
      <c r="D275" s="61"/>
      <c r="E275" s="64"/>
      <c r="F275" s="64"/>
      <c r="G275" s="64"/>
      <c r="H275" s="64"/>
      <c r="I275" s="56">
        <f t="shared" si="10"/>
        <v>26.112000000000023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14</v>
      </c>
      <c r="B276" s="61">
        <v>161.89440000000002</v>
      </c>
      <c r="C276" s="53"/>
      <c r="D276" s="61"/>
      <c r="E276" s="64"/>
      <c r="F276" s="64"/>
      <c r="G276" s="64"/>
      <c r="H276" s="64"/>
      <c r="I276" s="56">
        <f t="shared" si="10"/>
        <v>23.500799999999998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>
        <v>15</v>
      </c>
      <c r="B277" s="58">
        <v>185.39520000000002</v>
      </c>
      <c r="C277" s="58"/>
      <c r="D277" s="58"/>
      <c r="E277" s="64"/>
      <c r="F277" s="64"/>
      <c r="G277" s="64"/>
      <c r="H277" s="64"/>
      <c r="I277" s="56">
        <f t="shared" si="10"/>
        <v>23.500799999999998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>
        <v>16</v>
      </c>
      <c r="B278" s="58">
        <v>206.28479999999999</v>
      </c>
      <c r="C278" s="58"/>
      <c r="D278" s="58"/>
      <c r="E278" s="64"/>
      <c r="F278" s="64"/>
      <c r="G278" s="64"/>
      <c r="H278" s="64"/>
      <c r="I278" s="56">
        <f t="shared" si="10"/>
        <v>20.889599999999973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>
        <v>17</v>
      </c>
      <c r="B279" s="58">
        <v>224.56319999999999</v>
      </c>
      <c r="C279" s="58"/>
      <c r="D279" s="58"/>
      <c r="E279" s="64"/>
      <c r="F279" s="64"/>
      <c r="G279" s="64"/>
      <c r="H279" s="64"/>
      <c r="I279" s="56">
        <f t="shared" si="10"/>
        <v>18.278400000000005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>
        <v>18</v>
      </c>
      <c r="B280" s="58">
        <v>240.23040000000003</v>
      </c>
      <c r="C280" s="58"/>
      <c r="D280" s="58"/>
      <c r="E280" s="64"/>
      <c r="F280" s="64"/>
      <c r="G280" s="64"/>
      <c r="H280" s="64"/>
      <c r="I280" s="56">
        <f t="shared" si="10"/>
        <v>15.667200000000037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>
        <v>19</v>
      </c>
      <c r="B281" s="58">
        <v>255.89759999999998</v>
      </c>
      <c r="C281" s="58"/>
      <c r="D281" s="58"/>
      <c r="E281" s="64"/>
      <c r="F281" s="64"/>
      <c r="G281" s="64"/>
      <c r="H281" s="64"/>
      <c r="I281" s="56">
        <f t="shared" si="10"/>
        <v>15.667199999999951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>
        <v>20</v>
      </c>
      <c r="B282" s="58">
        <v>268.95359999999999</v>
      </c>
      <c r="C282" s="58"/>
      <c r="D282" s="58"/>
      <c r="E282" s="65"/>
      <c r="F282" s="65"/>
      <c r="G282" s="65"/>
      <c r="H282" s="65"/>
      <c r="I282" s="56">
        <f t="shared" si="10"/>
        <v>13.056000000000012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>
        <v>21</v>
      </c>
      <c r="B283" s="61">
        <v>282.00959999999998</v>
      </c>
      <c r="C283" s="90"/>
      <c r="D283" s="61"/>
      <c r="E283" s="57"/>
      <c r="F283" s="57"/>
      <c r="G283" s="57"/>
      <c r="H283" s="57"/>
      <c r="I283" s="56">
        <f t="shared" si="10"/>
        <v>13.055999999999983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>
        <v>22</v>
      </c>
      <c r="B284" s="53">
        <v>292.45439999999996</v>
      </c>
      <c r="C284" s="53"/>
      <c r="D284" s="53"/>
      <c r="E284" s="54"/>
      <c r="F284" s="54"/>
      <c r="G284" s="54"/>
      <c r="H284" s="54"/>
      <c r="I284" s="56">
        <f t="shared" si="10"/>
        <v>10.444799999999987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>
        <v>23</v>
      </c>
      <c r="B285" s="53">
        <v>300.28800000000001</v>
      </c>
      <c r="C285" s="53"/>
      <c r="D285" s="53"/>
      <c r="E285" s="54"/>
      <c r="F285" s="54"/>
      <c r="G285" s="54"/>
      <c r="H285" s="54"/>
      <c r="I285" s="56">
        <f t="shared" si="10"/>
        <v>7.8336000000000467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>
        <v>24</v>
      </c>
      <c r="B286" s="53">
        <v>308.1216</v>
      </c>
      <c r="C286" s="53"/>
      <c r="D286" s="53"/>
      <c r="E286" s="54"/>
      <c r="F286" s="54"/>
      <c r="G286" s="54"/>
      <c r="H286" s="54"/>
      <c r="I286" s="56">
        <f t="shared" si="10"/>
        <v>7.8335999999999899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>
        <v>25</v>
      </c>
      <c r="B287" s="53">
        <v>313.34400000000005</v>
      </c>
      <c r="C287" s="53">
        <v>1</v>
      </c>
      <c r="D287" s="53">
        <f>B287</f>
        <v>313.34400000000005</v>
      </c>
      <c r="E287" s="54">
        <v>0.78</v>
      </c>
      <c r="F287" s="54">
        <v>0.11</v>
      </c>
      <c r="G287" s="54">
        <v>0.11</v>
      </c>
      <c r="H287" s="54"/>
      <c r="I287" s="56">
        <f t="shared" si="10"/>
        <v>5.2224000000000501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Normal="100" workbookViewId="0">
      <selection activeCell="C32" sqref="C3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3" t="s">
        <v>191</v>
      </c>
      <c r="C2" s="304"/>
      <c r="D2" s="304"/>
      <c r="E2" s="304"/>
      <c r="F2" s="304"/>
      <c r="G2" s="30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2"/>
      <c r="C4" s="302"/>
      <c r="D4" s="302"/>
      <c r="E4" s="302"/>
      <c r="F4" s="302"/>
      <c r="G4" s="30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0</v>
      </c>
      <c r="C8" s="52" t="s">
        <v>177</v>
      </c>
      <c r="D8" s="25"/>
      <c r="E8" s="110">
        <v>4</v>
      </c>
      <c r="F8" s="62">
        <v>1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1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0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09" t="s">
        <v>176</v>
      </c>
      <c r="C1" s="310"/>
      <c r="D1" s="310"/>
      <c r="E1" s="310"/>
      <c r="F1" s="310"/>
      <c r="G1" s="310"/>
      <c r="H1" s="311"/>
      <c r="I1" s="306" t="str">
        <f>IF('Données projet'!$B$9="","",'Données projet'!$B$9)</f>
        <v>Chêne sessile</v>
      </c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8"/>
      <c r="AD1" s="307" t="str">
        <f>IF('Données projet'!$B$10="","",'Données projet'!$B$10)</f>
        <v>Chêne sessile</v>
      </c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8"/>
      <c r="AY1" s="306" t="str">
        <f>IF('Données projet'!$B$11="","",'Données projet'!$B$11)</f>
        <v>Chêne pédonculé</v>
      </c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8"/>
      <c r="BT1" s="306" t="str">
        <f>IF('Données projet'!$B$12="","",'Données projet'!$B$12)</f>
        <v>Chêne pédonculé</v>
      </c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8"/>
      <c r="CO1" s="306" t="str">
        <f>IF('Données projet'!$B$13="","",'Données projet'!$B$13)</f>
        <v>Chêne pubescent</v>
      </c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8"/>
      <c r="DJ1" s="306" t="str">
        <f>IF('Données projet'!$B$14="","",'Données projet'!$B$14)</f>
        <v>Erable sycomore</v>
      </c>
      <c r="DK1" s="307"/>
      <c r="DL1" s="307"/>
      <c r="DM1" s="307"/>
      <c r="DN1" s="307"/>
      <c r="DO1" s="307"/>
      <c r="DP1" s="307"/>
      <c r="DQ1" s="307"/>
      <c r="DR1" s="307"/>
      <c r="DS1" s="307"/>
      <c r="DT1" s="307"/>
      <c r="DU1" s="307"/>
      <c r="DV1" s="307"/>
      <c r="DW1" s="307"/>
      <c r="DX1" s="307"/>
      <c r="DY1" s="307"/>
      <c r="DZ1" s="307"/>
      <c r="EA1" s="307"/>
      <c r="EB1" s="307"/>
      <c r="EC1" s="307"/>
      <c r="ED1" s="308"/>
      <c r="EE1" s="306" t="str">
        <f>IF('Données projet'!$B$15="","",'Données projet'!$B$15)</f>
        <v>Erable sycomore</v>
      </c>
      <c r="EF1" s="307"/>
      <c r="EG1" s="307"/>
      <c r="EH1" s="307"/>
      <c r="EI1" s="307"/>
      <c r="EJ1" s="307"/>
      <c r="EK1" s="307"/>
      <c r="EL1" s="307"/>
      <c r="EM1" s="307"/>
      <c r="EN1" s="307"/>
      <c r="EO1" s="307"/>
      <c r="EP1" s="307"/>
      <c r="EQ1" s="307"/>
      <c r="ER1" s="307"/>
      <c r="ES1" s="307"/>
      <c r="ET1" s="307"/>
      <c r="EU1" s="307"/>
      <c r="EV1" s="307"/>
      <c r="EW1" s="307"/>
      <c r="EX1" s="307"/>
      <c r="EY1" s="308"/>
      <c r="EZ1" s="306" t="str">
        <f>IF('Données projet'!$B$16="","",'Données projet'!$B$16)</f>
        <v>Erable sycomore</v>
      </c>
      <c r="FA1" s="307"/>
      <c r="FB1" s="307"/>
      <c r="FC1" s="307"/>
      <c r="FD1" s="307"/>
      <c r="FE1" s="307"/>
      <c r="FF1" s="307"/>
      <c r="FG1" s="307"/>
      <c r="FH1" s="307"/>
      <c r="FI1" s="307"/>
      <c r="FJ1" s="307"/>
      <c r="FK1" s="307"/>
      <c r="FL1" s="307"/>
      <c r="FM1" s="307"/>
      <c r="FN1" s="307"/>
      <c r="FO1" s="307"/>
      <c r="FP1" s="307"/>
      <c r="FQ1" s="307"/>
      <c r="FR1" s="307"/>
      <c r="FS1" s="307"/>
      <c r="FT1" s="308"/>
      <c r="FU1" s="306" t="str">
        <f>IF('Données projet'!$B$17="","",'Données projet'!$B$17)</f>
        <v>Cèdre de l'Atlas</v>
      </c>
      <c r="FV1" s="307"/>
      <c r="FW1" s="307"/>
      <c r="FX1" s="307"/>
      <c r="FY1" s="307"/>
      <c r="FZ1" s="307"/>
      <c r="GA1" s="307"/>
      <c r="GB1" s="307"/>
      <c r="GC1" s="307"/>
      <c r="GD1" s="307"/>
      <c r="GE1" s="307"/>
      <c r="GF1" s="307"/>
      <c r="GG1" s="307"/>
      <c r="GH1" s="307"/>
      <c r="GI1" s="307"/>
      <c r="GJ1" s="307"/>
      <c r="GK1" s="307"/>
      <c r="GL1" s="307"/>
      <c r="GM1" s="307"/>
      <c r="GN1" s="307"/>
      <c r="GO1" s="308"/>
      <c r="GP1" s="306" t="str">
        <f>IF('Données projet'!$B$18="","",'Données projet'!$B$18)</f>
        <v>Peuplier Koster</v>
      </c>
      <c r="GQ1" s="307"/>
      <c r="GR1" s="307"/>
      <c r="GS1" s="307"/>
      <c r="GT1" s="307"/>
      <c r="GU1" s="307"/>
      <c r="GV1" s="307"/>
      <c r="GW1" s="307"/>
      <c r="GX1" s="307"/>
      <c r="GY1" s="307"/>
      <c r="GZ1" s="307"/>
      <c r="HA1" s="307"/>
      <c r="HB1" s="307"/>
      <c r="HC1" s="307"/>
      <c r="HD1" s="307"/>
      <c r="HE1" s="307"/>
      <c r="HF1" s="307"/>
      <c r="HG1" s="307"/>
      <c r="HH1" s="307"/>
      <c r="HI1" s="307"/>
      <c r="HJ1" s="308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384.44848355636935</v>
      </c>
      <c r="T3" s="60">
        <f>IF('Données projet'!E9&gt;30,$R$33-$H$33,LOOKUP('Données projet'!$E$9,$A$3:$A$203,R3:R203)-LOOKUP('Données projet'!$E$9,$A$3:$A$203,$H$3:$H$203))</f>
        <v>203.5274665601915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303.73499739059076</v>
      </c>
      <c r="AO3" s="60">
        <f>IF('Données projet'!E10&gt;30,$AM$33-$H$33,LOOKUP('Données projet'!$E$10,$A$3:$A$203,AM3:AM203)-LOOKUP('Données projet'!$E$10,$A$3:$A$203,$H$3:$H$203))</f>
        <v>172.32171001882188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352.29660374042186</v>
      </c>
      <c r="BJ3" s="60">
        <f>IF('Données projet'!E11&gt;30,$BH$33-$H$33,LOOKUP('Données projet'!$E$11,$A$3:$A$203,BH3:BH203)-LOOKUP('Données projet'!$E$11,$A$3:$A$203,$H$3:$H$203))</f>
        <v>187.26439695305618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277.03735509061545</v>
      </c>
      <c r="CE3" s="60">
        <f>IF('Données projet'!E12&gt;30,$CC$33-$H$33,LOOKUP('Données projet'!$E$12,$A$3:$A$203,CC3:CC203)-LOOKUP('Données projet'!$E$12,$A$3:$A$203,$H$3:$H$203))</f>
        <v>158.16416492761959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350.3652766444938</v>
      </c>
      <c r="CZ3" s="60">
        <f>IF('Données projet'!E13&gt;30,$CX$33-$H$33,LOOKUP('Données projet'!$E$13,$A$3:$A$203,CX3:CX203)-LOOKUP('Données projet'!$E$13,$A$3:$A$203,$H$3:$H$203))</f>
        <v>197.04549436738586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382.01991140382955</v>
      </c>
      <c r="DU3" s="60">
        <f>IF('Données projet'!E14&gt;30,$DS$33-$H$33,LOOKUP('Données projet'!$E$14,$A$3:$A$203,DS3:DS203)-LOOKUP('Données projet'!$E$14,$A$3:$A$203,$H$3:$H$203))</f>
        <v>389.53897948144339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293.33333333333331</v>
      </c>
      <c r="EO3" s="60">
        <f ca="1">AVERAGE(OFFSET($EN$3,0,0,'Données projet'!$E$15+1,1))-AVERAGE(OFFSET($H$3,0,0,'Données projet'!$E$15+1,1))</f>
        <v>323.92137573760789</v>
      </c>
      <c r="EP3" s="60">
        <f>IF('Données projet'!E15&gt;30,$EN$33-$H$33,LOOKUP('Données projet'!$E$15,$A$3:$A$203,EN3:EN203)-LOOKUP('Données projet'!$E$15,$A$3:$A$203,$H$3:$H$203))</f>
        <v>389.53897948144339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293.33333333333331</v>
      </c>
      <c r="FJ3" s="60">
        <f ca="1">AVERAGE(OFFSET($FI$3,0,0,'Données projet'!$E$16+1,1))-AVERAGE(OFFSET($H$3,0,0,'Données projet'!$E$16+1,1))</f>
        <v>219.61164494001008</v>
      </c>
      <c r="FK3" s="60">
        <f>IF('Données projet'!E16&gt;30,$FI$33-$H$33,LOOKUP('Données projet'!$E$16,$A$3:$A$203,FI3:FI203)-LOOKUP('Données projet'!$E$16,$A$3:$A$203,$H$3:$H$203))</f>
        <v>219.59799863414111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293.33333333333331</v>
      </c>
      <c r="GE3" s="60">
        <f ca="1">AVERAGE(OFFSET($GD$3,0,0,'Données projet'!$E$17+1,1))-AVERAGE(OFFSET($H$3,0,0,'Données projet'!$E$17+1,1))</f>
        <v>147.5699668214238</v>
      </c>
      <c r="GF3" s="60">
        <f>IF('Données projet'!E17&gt;30,$GD$33-$H$33,LOOKUP('Données projet'!$E$17,$A$3:$A$203,GD3:GD203)-LOOKUP('Données projet'!$E$17,$A$3:$A$203,$H$3:$H$203))</f>
        <v>70.653739864908346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293.33333333333331</v>
      </c>
      <c r="GZ3" s="60">
        <f ca="1">AVERAGE(OFFSET($GY$3,0,0,'Données projet'!$E$18+1,1))-AVERAGE(OFFSET($H$3,0,0,'Données projet'!$E$18+1,1))</f>
        <v>136.03899433512379</v>
      </c>
      <c r="HA3" s="60">
        <f>IF('Données projet'!E18&gt;30,$GY$33-$H$33,LOOKUP('Données projet'!$E$18,$A$3:$A$203,GY3:GY203)-LOOKUP('Données projet'!$E$18,$A$3:$A$203,$H$3:$H$203))</f>
        <v>316.56646692826882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296.17432310550635</v>
      </c>
      <c r="S4" s="60">
        <f ca="1">AVERAGE(OFFSET($R$3,0,0,'Données projet'!$E$9+1,1))-AVERAGE(OFFSET($H$3,0,0,'Données projet'!$E$9+1,1))</f>
        <v>384.44848355636935</v>
      </c>
      <c r="T4" s="60">
        <f>$T$3</f>
        <v>203.5274665601915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0">
        <f t="shared" ref="AM4:AM67" si="5">AL4+(AD4+AE4)*44/12</f>
        <v>296.09965856715894</v>
      </c>
      <c r="AN4" s="60">
        <f ca="1">AVERAGE(OFFSET($AM$3,0,0,'Données projet'!$E$10+1,1))-AVERAGE(OFFSET($H$3,0,0,'Données projet'!$E$10+1,1))</f>
        <v>303.73499739059076</v>
      </c>
      <c r="AO4" s="60">
        <f>$AO$3</f>
        <v>172.32171001882188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1.0439615443779955</v>
      </c>
      <c r="BF4" s="14">
        <f>EXP(-1.0587+0.8836*LN(BE4)+0.284)</f>
        <v>0.478698084995758</v>
      </c>
      <c r="BG4" s="22">
        <f t="shared" ref="BG4:BG67" si="7">(BE4+BF4)*0.475*44/12</f>
        <v>2.6519655211592874</v>
      </c>
      <c r="BH4" s="60">
        <f t="shared" ref="BH4:BH67" si="8">BG4+(AY4+AZ4)*44/12</f>
        <v>295.98529885449261</v>
      </c>
      <c r="BI4" s="60">
        <f ca="1">AVERAGE(OFFSET($BH$3,0,0,'Données projet'!$E$11+1,1))-AVERAGE(OFFSET($H$3,0,0,'Données projet'!$E$11+1,1))</f>
        <v>352.29660374042186</v>
      </c>
      <c r="BJ4" s="60">
        <f>$BJ$3</f>
        <v>187.26439695305618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1.0155020926567102</v>
      </c>
      <c r="CA4" s="14">
        <f>EXP(-1.0587+0.8836*LN(BZ4)+0.284)</f>
        <v>0.46714880239274614</v>
      </c>
      <c r="CB4" s="22">
        <f t="shared" ref="CB4:CB67" si="10">(BZ4+CA4)*0.475*44/12</f>
        <v>2.5822836422111366</v>
      </c>
      <c r="CC4" s="60">
        <f t="shared" ref="CC4:CC67" si="11">CB4+(BT4+BU4)*44/12</f>
        <v>295.91561697554442</v>
      </c>
      <c r="CD4" s="60">
        <f ca="1">AVERAGE(OFFSET($CC$3,0,0,'Données projet'!$E$12+1,1))-AVERAGE(OFFSET($H$3,0,0,'Données projet'!$E$12+1,1))</f>
        <v>277.03735509061545</v>
      </c>
      <c r="CE4" s="60">
        <f>$CE$3</f>
        <v>158.16416492761959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1.2223636300497438</v>
      </c>
      <c r="CV4" s="14">
        <f>EXP(-1.0587+0.8836*LN(CU4)+0.284)</f>
        <v>0.55030360208821416</v>
      </c>
      <c r="CW4" s="22">
        <f t="shared" ref="CW4:CW67" si="13">(CU4+CV4)*0.475*44/12</f>
        <v>3.0873954293069432</v>
      </c>
      <c r="CX4" s="60">
        <f t="shared" ref="CX4:CX67" si="14">CW4+(CO4+CP4)*44/12</f>
        <v>296.42072876264024</v>
      </c>
      <c r="CY4" s="60">
        <f ca="1">AVERAGE(OFFSET($CX$3,0,0,'Données projet'!$E$13+1,1))-AVERAGE(OFFSET($H$3,0,0,'Données projet'!$E$13+1,1))</f>
        <v>350.3652766444938</v>
      </c>
      <c r="CZ4" s="60">
        <f>$CZ$3</f>
        <v>197.04549436738586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1.9</v>
      </c>
      <c r="DO4" s="13">
        <f>IF('Données projet'!$A$166&gt;35,DO3+DN4-DW3,IF(A4&lt;'Données projet'!$A$166,$DL$205^A4,IF(A4='Données projet'!$A$166,'Données projet'!$B$166,DO3+DN4-DW3)))</f>
        <v>1.3423796509621049</v>
      </c>
      <c r="DP4" s="18">
        <f>DO4*VLOOKUP('Données projet'!$B$14,Paramètres!$A$1:$I$89,3,0)*VLOOKUP('Données projet'!$B$14,Paramètres!$A$1:$I$89,5,0)</f>
        <v>1.0679972503054507</v>
      </c>
      <c r="DQ4" s="14">
        <f>EXP(-1.0587+0.8836*LN(DP4)+0.284)</f>
        <v>0.48842359485523285</v>
      </c>
      <c r="DR4" s="22">
        <f t="shared" ref="DR4:DR67" si="16">(DP4+DQ4)*0.475*44/12</f>
        <v>2.7107663053215236</v>
      </c>
      <c r="DS4" s="60">
        <f t="shared" ref="DS4:DS67" si="17">DR4+(DJ4+DK4)*44/12</f>
        <v>296.04409963865481</v>
      </c>
      <c r="DT4" s="60">
        <f ca="1">AVERAGE(OFFSET($DS$3,0,0,'Données projet'!$E$14+1,1))-AVERAGE(OFFSET($H$3,0,0,'Données projet'!$E$14+1,1))</f>
        <v>382.01991140382955</v>
      </c>
      <c r="DU4" s="60">
        <f>$DU$3</f>
        <v>389.53897948144339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1.1000000000000001</v>
      </c>
      <c r="EJ4" s="13">
        <f>IF('Données projet'!$A$192&gt;35,EJ3+EI4-ER3,IF(A4&lt;'Données projet'!$A$192,$EG$205^A4,IF(A4='Données projet'!$A$192,'Données projet'!$B$192,EJ3+EI4-ER3)))</f>
        <v>1.2709816152101407</v>
      </c>
      <c r="EK4" s="18">
        <f>EJ4*VLOOKUP('Données projet'!$B$15,Paramètres!$A$1:$I$89,3,0)*VLOOKUP('Données projet'!$B$15,Paramètres!$A$1:$I$89,5,0)</f>
        <v>1.0111929730611879</v>
      </c>
      <c r="EL4" s="14">
        <f>EXP(-1.0587+0.8836*LN(EK4)+0.284)</f>
        <v>0.46539683474213156</v>
      </c>
      <c r="EM4" s="22">
        <f t="shared" ref="EM4:EM67" si="19">(EK4+EL4)*0.475*44/12</f>
        <v>2.5717272485907814</v>
      </c>
      <c r="EN4" s="60">
        <f t="shared" ref="EN4:EN67" si="20">EM4+(EE4+EF4)*44/12</f>
        <v>295.90506058192409</v>
      </c>
      <c r="EO4" s="60">
        <f ca="1">AVERAGE(OFFSET($EN$3,0,0,'Données projet'!$E$15+1,1))-AVERAGE(OFFSET($H$3,0,0,'Données projet'!$E$15+1,1))</f>
        <v>323.92137573760789</v>
      </c>
      <c r="EP4" s="60">
        <f>$EP$3</f>
        <v>389.53897948144339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2.4666666666666668</v>
      </c>
      <c r="FE4" s="13">
        <f>IF('Données projet'!$A$218&gt;35,FE3+FD4-FM3,IF(A4&lt;'Données projet'!$A$218,$FB$205^A4,IF(A4='Données projet'!$A$218,'Données projet'!$B$218,FE3+FD4-FM3)))</f>
        <v>1.2721747796233518</v>
      </c>
      <c r="FF4" s="18">
        <f>FE4*VLOOKUP('Données projet'!$B$16,Paramètres!$A$1:$I$89,3,0)*VLOOKUP('Données projet'!$B$16,Paramètres!$A$1:$I$89,5,0)</f>
        <v>1.0121422546683387</v>
      </c>
      <c r="FG4" s="14">
        <f>EXP(-1.0587+0.8836*LN(FF4)+0.284)</f>
        <v>0.46578286063395047</v>
      </c>
      <c r="FH4" s="22">
        <f t="shared" ref="FH4:FH67" si="22">(FF4+FG4)*0.475*44/12</f>
        <v>2.574052909151487</v>
      </c>
      <c r="FI4" s="60">
        <f t="shared" ref="FI4:FI67" si="23">FH4+(EZ4+FA4)*44/12</f>
        <v>295.90738624248479</v>
      </c>
      <c r="FJ4" s="60">
        <f ca="1">AVERAGE(OFFSET($FI$3,0,0,'Données projet'!$E$16+1,1))-AVERAGE(OFFSET($H$3,0,0,'Données projet'!$E$16+1,1))</f>
        <v>219.61164494001008</v>
      </c>
      <c r="FK4" s="60">
        <f>$FK$3</f>
        <v>219.59799863414111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3.4358974358974361</v>
      </c>
      <c r="FZ4" s="13">
        <f>IF('Données projet'!$A$244&gt;35,FZ3+FY4-GH3,IF(A4&lt;'Données projet'!$A$244,$FW$205^A4,IF(A4='Données projet'!$A$244,'Données projet'!$B$244,FZ3+FY4-GH3)))</f>
        <v>1.167092777711815</v>
      </c>
      <c r="GA4" s="18">
        <f>FZ4*VLOOKUP('Données projet'!$B$17,Paramètres!$A$1:$I$89,3,0)*VLOOKUP('Données projet'!$B$17,Paramètres!$A$1:$I$89,5,0)</f>
        <v>0.54619941996912946</v>
      </c>
      <c r="GB4" s="14">
        <f>EXP(-1.0587+0.8836*LN(GA4)+0.284)</f>
        <v>0.27006954687577245</v>
      </c>
      <c r="GC4" s="22">
        <f t="shared" ref="GC4:GC67" si="25">(GA4+GB4)*0.475*44/12</f>
        <v>1.4216684505882042</v>
      </c>
      <c r="GD4" s="60">
        <f t="shared" ref="GD4:GD67" si="26">GC4+(FU4+FV4)*44/12</f>
        <v>294.7550017839215</v>
      </c>
      <c r="GE4" s="60">
        <f ca="1">AVERAGE(OFFSET($GD$3,0,0,'Données projet'!$E$17+1,1))-AVERAGE(OFFSET($H$3,0,0,'Données projet'!$E$17+1,1))</f>
        <v>147.5699668214238</v>
      </c>
      <c r="GF4" s="60">
        <f>$GF$3</f>
        <v>70.653739864908346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1.9584000000000001</v>
      </c>
      <c r="GU4" s="13">
        <f>IF('Données projet'!$A$270&gt;35,GU3+GT4-HC3,IF(A4&lt;'Données projet'!$A$270,$GR$205^A4,IF(A4='Données projet'!$A$270,'Données projet'!$B$270,GU3+GT4-HC3)))</f>
        <v>1.4105027052245922</v>
      </c>
      <c r="GV4" s="18">
        <f>GU4*VLOOKUP('Données projet'!$B$18,Paramètres!$A$1:$I$89,3,0)*VLOOKUP('Données projet'!$B$18,Paramètres!$A$1:$I$89,5,0)</f>
        <v>0.71732525576901873</v>
      </c>
      <c r="GW4" s="14">
        <f>EXP(-1.0587+0.8836*LN(GV4)+0.284)</f>
        <v>0.34360765462297238</v>
      </c>
      <c r="GX4" s="22">
        <f t="shared" ref="GX4:GX67" si="28">(GV4+GW4)*0.475*44/12</f>
        <v>1.8477914855993844</v>
      </c>
      <c r="GY4" s="60">
        <f t="shared" ref="GY4:GY67" si="29">GX4+(GP4+GQ4)*44/12</f>
        <v>295.18112481893269</v>
      </c>
      <c r="GZ4" s="60">
        <f ca="1">AVERAGE(OFFSET($GY$3,0,0,'Données projet'!$E$18+1,1))-AVERAGE(OFFSET($H$3,0,0,'Données projet'!$E$18+1,1))</f>
        <v>136.03899433512379</v>
      </c>
      <c r="HA4" s="60">
        <f>$HA$3</f>
        <v>316.56646692826882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296.82694711009896</v>
      </c>
      <c r="S5" s="60">
        <f ca="1">AVERAGE(OFFSET($R$3,0,0,'Données projet'!$E$9+1,1))-AVERAGE(OFFSET($H$3,0,0,'Données projet'!$E$9+1,1))</f>
        <v>384.44848355636935</v>
      </c>
      <c r="T5" s="60">
        <f t="shared" ref="T5:T68" si="34">$T$3</f>
        <v>203.5274665601915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0">
        <f t="shared" si="5"/>
        <v>296.64562104315422</v>
      </c>
      <c r="AN5" s="60">
        <f ca="1">AVERAGE(OFFSET($AM$3,0,0,'Données projet'!$E$10+1,1))-AVERAGE(OFFSET($H$3,0,0,'Données projet'!$E$10+1,1))</f>
        <v>303.73499739059076</v>
      </c>
      <c r="AO5" s="60">
        <f t="shared" ref="AO5:AO68" si="36">$AO$3</f>
        <v>172.32171001882188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1.2937508382479692</v>
      </c>
      <c r="BF5" s="14">
        <f t="shared" ref="BF5:BF68" si="37">EXP(-1.0587+0.8836*LN(BE5)+0.284)</f>
        <v>0.57860648124254321</v>
      </c>
      <c r="BG5" s="22">
        <f t="shared" si="7"/>
        <v>3.2610223314459752</v>
      </c>
      <c r="BH5" s="60">
        <f t="shared" si="8"/>
        <v>296.5943556647793</v>
      </c>
      <c r="BI5" s="60">
        <f ca="1">AVERAGE(OFFSET($BH$3,0,0,'Données projet'!$E$11+1,1))-AVERAGE(OFFSET($H$3,0,0,'Données projet'!$E$11+1,1))</f>
        <v>352.29660374042186</v>
      </c>
      <c r="BJ5" s="60">
        <f t="shared" ref="BJ5:BJ68" si="38">$BJ$3</f>
        <v>187.26439695305618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1.2241743829417828</v>
      </c>
      <c r="CA5" s="14">
        <f t="shared" ref="CA5:CA68" si="39">EXP(-1.0587+0.8836*LN(BZ5)+0.284)</f>
        <v>0.55102384568700224</v>
      </c>
      <c r="CB5" s="22">
        <f t="shared" si="10"/>
        <v>3.0918035815284672</v>
      </c>
      <c r="CC5" s="60">
        <f t="shared" si="11"/>
        <v>296.42513691486181</v>
      </c>
      <c r="CD5" s="60">
        <f ca="1">AVERAGE(OFFSET($CC$3,0,0,'Données projet'!$E$12+1,1))-AVERAGE(OFFSET($H$3,0,0,'Données projet'!$E$12+1,1))</f>
        <v>277.03735509061545</v>
      </c>
      <c r="CE5" s="60">
        <f t="shared" ref="CE5:CE68" si="40">$CE$3</f>
        <v>158.16416492761959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1.47354323872622</v>
      </c>
      <c r="CV5" s="14">
        <f t="shared" ref="CV5:CV68" si="41">EXP(-1.0587+0.8836*LN(CU5)+0.284)</f>
        <v>0.64910881835703094</v>
      </c>
      <c r="CW5" s="22">
        <f t="shared" si="13"/>
        <v>3.6969523327533285</v>
      </c>
      <c r="CX5" s="60">
        <f t="shared" si="14"/>
        <v>297.03028566608663</v>
      </c>
      <c r="CY5" s="60">
        <f ca="1">AVERAGE(OFFSET($CX$3,0,0,'Données projet'!$E$13+1,1))-AVERAGE(OFFSET($H$3,0,0,'Données projet'!$E$13+1,1))</f>
        <v>350.3652766444938</v>
      </c>
      <c r="CZ5" s="60">
        <f t="shared" ref="CZ5:CZ68" si="42">$CZ$3</f>
        <v>197.04549436738586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1.9</v>
      </c>
      <c r="DO5" s="13">
        <f>IF('Données projet'!$A$166&gt;35,DO4+DN5-DW4,IF(A5&lt;'Données projet'!$A$166,$DL$205^A5,IF(A5='Données projet'!$A$166,'Données projet'!$B$166,DO4+DN5-DW4)))</f>
        <v>1.8019831273171425</v>
      </c>
      <c r="DP5" s="18">
        <f>DO5*VLOOKUP('Données projet'!$B$14,Paramètres!$A$1:$I$89,3,0)*VLOOKUP('Données projet'!$B$14,Paramètres!$A$1:$I$89,5,0)</f>
        <v>1.4336577760935185</v>
      </c>
      <c r="DQ5" s="14">
        <f t="shared" ref="DQ5:DQ68" si="43">EXP(-1.0587+0.8836*LN(DP5)+0.284)</f>
        <v>0.63355934907379652</v>
      </c>
      <c r="DR5" s="22">
        <f t="shared" si="16"/>
        <v>3.6004031596664068</v>
      </c>
      <c r="DS5" s="60">
        <f t="shared" si="17"/>
        <v>296.93373649299974</v>
      </c>
      <c r="DT5" s="60">
        <f ca="1">AVERAGE(OFFSET($DS$3,0,0,'Données projet'!$E$14+1,1))-AVERAGE(OFFSET($H$3,0,0,'Données projet'!$E$14+1,1))</f>
        <v>382.01991140382955</v>
      </c>
      <c r="DU5" s="60">
        <f t="shared" ref="DU5:DU68" si="44">$DU$3</f>
        <v>389.53897948144339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1.1000000000000001</v>
      </c>
      <c r="EJ5" s="13">
        <f>IF('Données projet'!$A$192&gt;35,EJ4+EI5-ER4,IF(A5&lt;'Données projet'!$A$192,$EG$205^A5,IF(A5='Données projet'!$A$192,'Données projet'!$B$192,EJ4+EI5-ER4)))</f>
        <v>1.6153942662021783</v>
      </c>
      <c r="EK5" s="18">
        <f>EJ5*VLOOKUP('Données projet'!$B$15,Paramètres!$A$1:$I$89,3,0)*VLOOKUP('Données projet'!$B$15,Paramètres!$A$1:$I$89,5,0)</f>
        <v>1.2852076781904531</v>
      </c>
      <c r="EL5" s="14">
        <f t="shared" ref="EL5:EL68" si="45">EXP(-1.0587+0.8836*LN(EK5)+0.284)</f>
        <v>0.57522914588482876</v>
      </c>
      <c r="EM5" s="22">
        <f t="shared" si="19"/>
        <v>3.2402608019311159</v>
      </c>
      <c r="EN5" s="60">
        <f t="shared" si="20"/>
        <v>296.57359413526444</v>
      </c>
      <c r="EO5" s="60">
        <f ca="1">AVERAGE(OFFSET($EN$3,0,0,'Données projet'!$E$15+1,1))-AVERAGE(OFFSET($H$3,0,0,'Données projet'!$E$15+1,1))</f>
        <v>323.92137573760789</v>
      </c>
      <c r="EP5" s="60">
        <f t="shared" ref="EP5:EP68" si="46">$EP$3</f>
        <v>389.53897948144339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2.4666666666666668</v>
      </c>
      <c r="FE5" s="13">
        <f>IF('Données projet'!$A$218&gt;35,FE4+FD5-FM4,IF(A5&lt;'Données projet'!$A$218,$FB$205^A5,IF(A5='Données projet'!$A$218,'Données projet'!$B$218,FE4+FD5-FM4)))</f>
        <v>1.6184286699097237</v>
      </c>
      <c r="FF5" s="18">
        <f>FE5*VLOOKUP('Données projet'!$B$16,Paramètres!$A$1:$I$89,3,0)*VLOOKUP('Données projet'!$B$16,Paramètres!$A$1:$I$89,5,0)</f>
        <v>1.2876218497801761</v>
      </c>
      <c r="FG5" s="14">
        <f t="shared" ref="FG5:FG68" si="47">EXP(-1.0587+0.8836*LN(FF5)+0.284)</f>
        <v>0.57618379541883336</v>
      </c>
      <c r="FH5" s="22">
        <f t="shared" si="22"/>
        <v>3.2461281653882743</v>
      </c>
      <c r="FI5" s="60">
        <f t="shared" si="23"/>
        <v>296.57946149872157</v>
      </c>
      <c r="FJ5" s="60">
        <f ca="1">AVERAGE(OFFSET($FI$3,0,0,'Données projet'!$E$16+1,1))-AVERAGE(OFFSET($H$3,0,0,'Données projet'!$E$16+1,1))</f>
        <v>219.61164494001008</v>
      </c>
      <c r="FK5" s="60">
        <f t="shared" ref="FK5:FK68" si="48">$FK$3</f>
        <v>219.59799863414111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3.4358974358974361</v>
      </c>
      <c r="FZ5" s="13">
        <f>IF('Données projet'!$A$244&gt;35,FZ4+FY5-GH4,IF(A5&lt;'Données projet'!$A$244,$FW$205^A5,IF(A5='Données projet'!$A$244,'Données projet'!$B$244,FZ4+FY5-GH4)))</f>
        <v>1.3621055517870799</v>
      </c>
      <c r="GA5" s="18">
        <f>FZ5*VLOOKUP('Données projet'!$B$17,Paramètres!$A$1:$I$89,3,0)*VLOOKUP('Données projet'!$B$17,Paramètres!$A$1:$I$89,5,0)</f>
        <v>0.6374653982363534</v>
      </c>
      <c r="GB5" s="14">
        <f t="shared" ref="GB5:GB68" si="49">EXP(-1.0587+0.8836*LN(GA5)+0.284)</f>
        <v>0.30957788644599227</v>
      </c>
      <c r="GC5" s="22">
        <f t="shared" si="25"/>
        <v>1.6494337208217518</v>
      </c>
      <c r="GD5" s="60">
        <f t="shared" si="26"/>
        <v>294.98276705415509</v>
      </c>
      <c r="GE5" s="60">
        <f ca="1">AVERAGE(OFFSET($GD$3,0,0,'Données projet'!$E$17+1,1))-AVERAGE(OFFSET($H$3,0,0,'Données projet'!$E$17+1,1))</f>
        <v>147.5699668214238</v>
      </c>
      <c r="GF5" s="60">
        <f t="shared" ref="GF5:GF68" si="50">$GF$3</f>
        <v>70.653739864908346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1.9584000000000001</v>
      </c>
      <c r="GU5" s="13">
        <f>IF('Données projet'!$A$270&gt;35,GU4+GT5-HC4,IF(A5&lt;'Données projet'!$A$270,$GR$205^A5,IF(A5='Données projet'!$A$270,'Données projet'!$B$270,GU4+GT5-HC4)))</f>
        <v>1.9895178814458929</v>
      </c>
      <c r="GV5" s="18">
        <f>GU5*VLOOKUP('Données projet'!$B$18,Paramètres!$A$1:$I$89,3,0)*VLOOKUP('Données projet'!$B$18,Paramètres!$A$1:$I$89,5,0)</f>
        <v>1.0117892137881235</v>
      </c>
      <c r="GW5" s="14">
        <f t="shared" ref="GW5:GW68" si="51">EXP(-1.0587+0.8836*LN(GV5)+0.284)</f>
        <v>0.46563930128846698</v>
      </c>
      <c r="GX5" s="22">
        <f t="shared" si="28"/>
        <v>2.5731879970917286</v>
      </c>
      <c r="GY5" s="60">
        <f t="shared" si="29"/>
        <v>295.90652133042505</v>
      </c>
      <c r="GZ5" s="60">
        <f ca="1">AVERAGE(OFFSET($GY$3,0,0,'Données projet'!$E$18+1,1))-AVERAGE(OFFSET($H$3,0,0,'Données projet'!$E$18+1,1))</f>
        <v>136.03899433512379</v>
      </c>
      <c r="HA5" s="60">
        <f t="shared" ref="HA5:HA68" si="52">$HA$3</f>
        <v>316.56646692826882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297.63006022433916</v>
      </c>
      <c r="S6" s="60">
        <f ca="1">AVERAGE(OFFSET($R$3,0,0,'Données projet'!$E$9+1,1))-AVERAGE(OFFSET($H$3,0,0,'Données projet'!$E$9+1,1))</f>
        <v>384.44848355636935</v>
      </c>
      <c r="T6" s="60">
        <f t="shared" si="34"/>
        <v>203.5274665601915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0">
        <f t="shared" si="5"/>
        <v>297.29973523978072</v>
      </c>
      <c r="AN6" s="60">
        <f ca="1">AVERAGE(OFFSET($AM$3,0,0,'Données projet'!$E$10+1,1))-AVERAGE(OFFSET($H$3,0,0,'Données projet'!$E$10+1,1))</f>
        <v>303.73499739059076</v>
      </c>
      <c r="AO6" s="60">
        <f t="shared" si="36"/>
        <v>172.32171001882188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1.6033073636487132</v>
      </c>
      <c r="BF6" s="14">
        <f t="shared" si="37"/>
        <v>0.69936661672428513</v>
      </c>
      <c r="BG6" s="22">
        <f t="shared" si="7"/>
        <v>4.0104905158163051</v>
      </c>
      <c r="BH6" s="60">
        <f t="shared" si="8"/>
        <v>297.3438238491496</v>
      </c>
      <c r="BI6" s="60">
        <f ca="1">AVERAGE(OFFSET($BH$3,0,0,'Données projet'!$E$11+1,1))-AVERAGE(OFFSET($H$3,0,0,'Données projet'!$E$11+1,1))</f>
        <v>352.29660374042186</v>
      </c>
      <c r="BJ6" s="60">
        <f t="shared" si="38"/>
        <v>187.26439695305618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1.4757260774621526</v>
      </c>
      <c r="CA6" s="14">
        <f t="shared" si="39"/>
        <v>0.64995837934402878</v>
      </c>
      <c r="CB6" s="22">
        <f t="shared" si="10"/>
        <v>3.7022337622707653</v>
      </c>
      <c r="CC6" s="60">
        <f t="shared" si="11"/>
        <v>297.03556709560405</v>
      </c>
      <c r="CD6" s="60">
        <f ca="1">AVERAGE(OFFSET($CC$3,0,0,'Données projet'!$E$12+1,1))-AVERAGE(OFFSET($H$3,0,0,'Données projet'!$E$12+1,1))</f>
        <v>277.03735509061545</v>
      </c>
      <c r="CE6" s="60">
        <f t="shared" si="40"/>
        <v>158.16416492761959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1.7763369450933317</v>
      </c>
      <c r="CV6" s="14">
        <f t="shared" si="41"/>
        <v>0.76565418883323866</v>
      </c>
      <c r="CW6" s="22">
        <f t="shared" si="13"/>
        <v>4.4273012249221102</v>
      </c>
      <c r="CX6" s="60">
        <f t="shared" si="14"/>
        <v>297.76063455825545</v>
      </c>
      <c r="CY6" s="60">
        <f ca="1">AVERAGE(OFFSET($CX$3,0,0,'Données projet'!$E$13+1,1))-AVERAGE(OFFSET($H$3,0,0,'Données projet'!$E$13+1,1))</f>
        <v>350.3652766444938</v>
      </c>
      <c r="CZ6" s="60">
        <f t="shared" si="42"/>
        <v>197.04549436738586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1.9</v>
      </c>
      <c r="DO6" s="13">
        <f>IF('Données projet'!$A$166&gt;35,DO5+DN6-DW5,IF(A6&lt;'Données projet'!$A$166,$DL$205^A6,IF(A6='Données projet'!$A$166,'Données projet'!$B$166,DO5+DN6-DW5)))</f>
        <v>2.4189454814875879</v>
      </c>
      <c r="DP6" s="18">
        <f>DO6*VLOOKUP('Données projet'!$B$14,Paramètres!$A$1:$I$89,3,0)*VLOOKUP('Données projet'!$B$14,Paramètres!$A$1:$I$89,5,0)</f>
        <v>1.9245130250715252</v>
      </c>
      <c r="DQ6" s="14">
        <f t="shared" si="43"/>
        <v>0.82182239561499026</v>
      </c>
      <c r="DR6" s="22">
        <f t="shared" si="16"/>
        <v>4.7832008576956815</v>
      </c>
      <c r="DS6" s="60">
        <f t="shared" si="17"/>
        <v>298.11653419102902</v>
      </c>
      <c r="DT6" s="60">
        <f ca="1">AVERAGE(OFFSET($DS$3,0,0,'Données projet'!$E$14+1,1))-AVERAGE(OFFSET($H$3,0,0,'Données projet'!$E$14+1,1))</f>
        <v>382.01991140382955</v>
      </c>
      <c r="DU6" s="60">
        <f t="shared" si="44"/>
        <v>389.53897948144339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1.1000000000000001</v>
      </c>
      <c r="EJ6" s="13">
        <f>IF('Données projet'!$A$192&gt;35,EJ5+EI6-ER5,IF(A6&lt;'Données projet'!$A$192,$EG$205^A6,IF(A6='Données projet'!$A$192,'Données projet'!$B$192,EJ5+EI6-ER5)))</f>
        <v>2.0531364136588448</v>
      </c>
      <c r="EK6" s="18">
        <f>EJ6*VLOOKUP('Données projet'!$B$15,Paramètres!$A$1:$I$89,3,0)*VLOOKUP('Données projet'!$B$15,Paramètres!$A$1:$I$89,5,0)</f>
        <v>1.6334753307069771</v>
      </c>
      <c r="EL6" s="14">
        <f t="shared" si="45"/>
        <v>0.71098156578295024</v>
      </c>
      <c r="EM6" s="22">
        <f t="shared" si="19"/>
        <v>4.0832624280532892</v>
      </c>
      <c r="EN6" s="60">
        <f t="shared" si="20"/>
        <v>297.41659576138659</v>
      </c>
      <c r="EO6" s="60">
        <f ca="1">AVERAGE(OFFSET($EN$3,0,0,'Données projet'!$E$15+1,1))-AVERAGE(OFFSET($H$3,0,0,'Données projet'!$E$15+1,1))</f>
        <v>323.92137573760789</v>
      </c>
      <c r="EP6" s="60">
        <f t="shared" si="46"/>
        <v>389.53897948144339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2.4666666666666668</v>
      </c>
      <c r="FE6" s="13">
        <f>IF('Données projet'!$A$218&gt;35,FE5+FD6-FM5,IF(A6&lt;'Données projet'!$A$218,$FB$205^A6,IF(A6='Données projet'!$A$218,'Données projet'!$B$218,FE5+FD6-FM5)))</f>
        <v>2.0589241364785171</v>
      </c>
      <c r="FF6" s="18">
        <f>FE6*VLOOKUP('Données projet'!$B$16,Paramètres!$A$1:$I$89,3,0)*VLOOKUP('Données projet'!$B$16,Paramètres!$A$1:$I$89,5,0)</f>
        <v>1.6380800429823084</v>
      </c>
      <c r="FG6" s="14">
        <f t="shared" si="47"/>
        <v>0.71275221602487127</v>
      </c>
      <c r="FH6" s="22">
        <f t="shared" si="22"/>
        <v>4.0943661844375043</v>
      </c>
      <c r="FI6" s="60">
        <f t="shared" si="23"/>
        <v>297.4276995177708</v>
      </c>
      <c r="FJ6" s="60">
        <f ca="1">AVERAGE(OFFSET($FI$3,0,0,'Données projet'!$E$16+1,1))-AVERAGE(OFFSET($H$3,0,0,'Données projet'!$E$16+1,1))</f>
        <v>219.61164494001008</v>
      </c>
      <c r="FK6" s="60">
        <f t="shared" si="48"/>
        <v>219.59799863414111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3.4358974358974361</v>
      </c>
      <c r="FZ6" s="13">
        <f>IF('Données projet'!$A$244&gt;35,FZ5+FY6-GH5,IF(A6&lt;'Données projet'!$A$244,$FW$205^A6,IF(A6='Données projet'!$A$244,'Données projet'!$B$244,FZ5+FY6-GH5)))</f>
        <v>1.5897035519718676</v>
      </c>
      <c r="GA6" s="18">
        <f>FZ6*VLOOKUP('Données projet'!$B$17,Paramètres!$A$1:$I$89,3,0)*VLOOKUP('Données projet'!$B$17,Paramètres!$A$1:$I$89,5,0)</f>
        <v>0.74398126232283412</v>
      </c>
      <c r="GB6" s="14">
        <f t="shared" si="49"/>
        <v>0.35486588134445163</v>
      </c>
      <c r="GC6" s="22">
        <f t="shared" si="25"/>
        <v>1.9138254418871894</v>
      </c>
      <c r="GD6" s="60">
        <f t="shared" si="26"/>
        <v>295.2471587752205</v>
      </c>
      <c r="GE6" s="60">
        <f ca="1">AVERAGE(OFFSET($GD$3,0,0,'Données projet'!$E$17+1,1))-AVERAGE(OFFSET($H$3,0,0,'Données projet'!$E$17+1,1))</f>
        <v>147.5699668214238</v>
      </c>
      <c r="GF6" s="60">
        <f t="shared" si="50"/>
        <v>70.653739864908346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1.9584000000000001</v>
      </c>
      <c r="GU6" s="13">
        <f>IF('Données projet'!$A$270&gt;35,GU5+GT6-HC5,IF(A6&lt;'Données projet'!$A$270,$GR$205^A6,IF(A6='Données projet'!$A$270,'Données projet'!$B$270,GU5+GT6-HC5)))</f>
        <v>2.8062203538721313</v>
      </c>
      <c r="GV6" s="18">
        <f>GU6*VLOOKUP('Données projet'!$B$18,Paramètres!$A$1:$I$89,3,0)*VLOOKUP('Données projet'!$B$18,Paramètres!$A$1:$I$89,5,0)</f>
        <v>1.4271314231652112</v>
      </c>
      <c r="GW6" s="14">
        <f t="shared" si="51"/>
        <v>0.63101026996130227</v>
      </c>
      <c r="GX6" s="22">
        <f t="shared" si="28"/>
        <v>3.5845967821953444</v>
      </c>
      <c r="GY6" s="60">
        <f t="shared" si="29"/>
        <v>296.91793011552863</v>
      </c>
      <c r="GZ6" s="60">
        <f ca="1">AVERAGE(OFFSET($GY$3,0,0,'Données projet'!$E$18+1,1))-AVERAGE(OFFSET($H$3,0,0,'Données projet'!$E$18+1,1))</f>
        <v>136.03899433512379</v>
      </c>
      <c r="HA6" s="60">
        <f t="shared" si="52"/>
        <v>316.56646692826882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298.61848781128475</v>
      </c>
      <c r="S7" s="60">
        <f ca="1">AVERAGE(OFFSET($R$3,0,0,'Données projet'!$E$9+1,1))-AVERAGE(OFFSET($H$3,0,0,'Données projet'!$E$9+1,1))</f>
        <v>384.44848355636935</v>
      </c>
      <c r="T7" s="60">
        <f t="shared" si="34"/>
        <v>203.5274665601915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0">
        <f t="shared" si="5"/>
        <v>298.08350019263929</v>
      </c>
      <c r="AN7" s="60">
        <f ca="1">AVERAGE(OFFSET($AM$3,0,0,'Données projet'!$E$10+1,1))-AVERAGE(OFFSET($H$3,0,0,'Données projet'!$E$10+1,1))</f>
        <v>303.73499739059076</v>
      </c>
      <c r="AO7" s="60">
        <f t="shared" si="36"/>
        <v>172.32171001882188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1.9869316612859962</v>
      </c>
      <c r="BF7" s="14">
        <f t="shared" si="37"/>
        <v>0.84533042826968274</v>
      </c>
      <c r="BG7" s="22">
        <f t="shared" si="7"/>
        <v>4.9328564726428068</v>
      </c>
      <c r="BH7" s="60">
        <f t="shared" si="8"/>
        <v>298.26618980597613</v>
      </c>
      <c r="BI7" s="60">
        <f ca="1">AVERAGE(OFFSET($BH$3,0,0,'Données projet'!$E$11+1,1))-AVERAGE(OFFSET($H$3,0,0,'Données projet'!$E$11+1,1))</f>
        <v>352.29660374042186</v>
      </c>
      <c r="BJ7" s="60">
        <f t="shared" si="38"/>
        <v>187.26439695305618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1.7789683284079942</v>
      </c>
      <c r="CA7" s="14">
        <f t="shared" si="39"/>
        <v>0.76665628572357314</v>
      </c>
      <c r="CB7" s="22">
        <f t="shared" si="10"/>
        <v>4.4336295362791462</v>
      </c>
      <c r="CC7" s="60">
        <f t="shared" si="11"/>
        <v>297.76696286961248</v>
      </c>
      <c r="CD7" s="60">
        <f ca="1">AVERAGE(OFFSET($CC$3,0,0,'Données projet'!$E$12+1,1))-AVERAGE(OFFSET($H$3,0,0,'Données projet'!$E$12+1,1))</f>
        <v>277.03735509061545</v>
      </c>
      <c r="CE7" s="60">
        <f t="shared" si="40"/>
        <v>158.16416492761959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2.1413507656762891</v>
      </c>
      <c r="CV7" s="14">
        <f t="shared" si="41"/>
        <v>0.9031249003236328</v>
      </c>
      <c r="CW7" s="22">
        <f t="shared" si="13"/>
        <v>5.3024617849498643</v>
      </c>
      <c r="CX7" s="60">
        <f t="shared" si="14"/>
        <v>298.63579511828317</v>
      </c>
      <c r="CY7" s="60">
        <f ca="1">AVERAGE(OFFSET($CX$3,0,0,'Données projet'!$E$13+1,1))-AVERAGE(OFFSET($H$3,0,0,'Données projet'!$E$13+1,1))</f>
        <v>350.3652766444938</v>
      </c>
      <c r="CZ7" s="60">
        <f t="shared" si="42"/>
        <v>197.04549436738586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1.9</v>
      </c>
      <c r="DO7" s="13">
        <f>IF('Données projet'!$A$166&gt;35,DO6+DN7-DW6,IF(A7&lt;'Données projet'!$A$166,$DL$205^A7,IF(A7='Données projet'!$A$166,'Données projet'!$B$166,DO6+DN7-DW6)))</f>
        <v>3.247143191135669</v>
      </c>
      <c r="DP7" s="18">
        <f>DO7*VLOOKUP('Données projet'!$B$14,Paramètres!$A$1:$I$89,3,0)*VLOOKUP('Données projet'!$B$14,Paramètres!$A$1:$I$89,5,0)</f>
        <v>2.5834271228675387</v>
      </c>
      <c r="DQ7" s="14">
        <f t="shared" si="43"/>
        <v>1.066028069701316</v>
      </c>
      <c r="DR7" s="22">
        <f t="shared" si="16"/>
        <v>6.3561344603907548</v>
      </c>
      <c r="DS7" s="60">
        <f t="shared" si="17"/>
        <v>299.68946779372408</v>
      </c>
      <c r="DT7" s="60">
        <f ca="1">AVERAGE(OFFSET($DS$3,0,0,'Données projet'!$E$14+1,1))-AVERAGE(OFFSET($H$3,0,0,'Données projet'!$E$14+1,1))</f>
        <v>382.01991140382955</v>
      </c>
      <c r="DU7" s="60">
        <f t="shared" si="44"/>
        <v>389.53897948144339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1.1000000000000001</v>
      </c>
      <c r="EJ7" s="13">
        <f>IF('Données projet'!$A$192&gt;35,EJ6+EI7-ER6,IF(A7&lt;'Données projet'!$A$192,$EG$205^A7,IF(A7='Données projet'!$A$192,'Données projet'!$B$192,EJ6+EI7-ER6)))</f>
        <v>2.6094986352788743</v>
      </c>
      <c r="EK7" s="18">
        <f>EJ7*VLOOKUP('Données projet'!$B$15,Paramètres!$A$1:$I$89,3,0)*VLOOKUP('Données projet'!$B$15,Paramètres!$A$1:$I$89,5,0)</f>
        <v>2.0761171142278725</v>
      </c>
      <c r="EL7" s="14">
        <f t="shared" si="45"/>
        <v>0.87877116536856548</v>
      </c>
      <c r="EM7" s="22">
        <f t="shared" si="19"/>
        <v>5.14643042029713</v>
      </c>
      <c r="EN7" s="60">
        <f t="shared" si="20"/>
        <v>298.47976375363044</v>
      </c>
      <c r="EO7" s="60">
        <f ca="1">AVERAGE(OFFSET($EN$3,0,0,'Données projet'!$E$15+1,1))-AVERAGE(OFFSET($H$3,0,0,'Données projet'!$E$15+1,1))</f>
        <v>323.92137573760789</v>
      </c>
      <c r="EP7" s="60">
        <f t="shared" si="46"/>
        <v>389.53897948144339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2.4666666666666668</v>
      </c>
      <c r="FE7" s="13">
        <f>IF('Données projet'!$A$218&gt;35,FE6+FD7-FM6,IF(A7&lt;'Données projet'!$A$218,$FB$205^A7,IF(A7='Données projet'!$A$218,'Données projet'!$B$218,FE6+FD7-FM6)))</f>
        <v>2.6193113595857573</v>
      </c>
      <c r="FF7" s="18">
        <f>FE7*VLOOKUP('Données projet'!$B$16,Paramètres!$A$1:$I$89,3,0)*VLOOKUP('Données projet'!$B$16,Paramètres!$A$1:$I$89,5,0)</f>
        <v>2.0839241176864287</v>
      </c>
      <c r="FG7" s="14">
        <f t="shared" si="47"/>
        <v>0.88169040068036508</v>
      </c>
      <c r="FH7" s="22">
        <f t="shared" si="22"/>
        <v>5.1651119528221656</v>
      </c>
      <c r="FI7" s="60">
        <f t="shared" si="23"/>
        <v>298.49844528615546</v>
      </c>
      <c r="FJ7" s="60">
        <f ca="1">AVERAGE(OFFSET($FI$3,0,0,'Données projet'!$E$16+1,1))-AVERAGE(OFFSET($H$3,0,0,'Données projet'!$E$16+1,1))</f>
        <v>219.61164494001008</v>
      </c>
      <c r="FK7" s="60">
        <f t="shared" si="48"/>
        <v>219.59799863414111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3.4358974358974361</v>
      </c>
      <c r="FZ7" s="13">
        <f>IF('Données projet'!$A$244&gt;35,FZ6+FY7-GH6,IF(A7&lt;'Données projet'!$A$244,$FW$205^A7,IF(A7='Données projet'!$A$244,'Données projet'!$B$244,FZ6+FY7-GH6)))</f>
        <v>1.8553315342091854</v>
      </c>
      <c r="GA7" s="18">
        <f>FZ7*VLOOKUP('Données projet'!$B$17,Paramètres!$A$1:$I$89,3,0)*VLOOKUP('Données projet'!$B$17,Paramètres!$A$1:$I$89,5,0)</f>
        <v>0.86829515800989876</v>
      </c>
      <c r="GB7" s="14">
        <f t="shared" si="49"/>
        <v>0.4067790344719715</v>
      </c>
      <c r="GC7" s="22">
        <f t="shared" si="25"/>
        <v>2.2207542185725906</v>
      </c>
      <c r="GD7" s="60">
        <f t="shared" si="26"/>
        <v>295.55408755190592</v>
      </c>
      <c r="GE7" s="60">
        <f ca="1">AVERAGE(OFFSET($GD$3,0,0,'Données projet'!$E$17+1,1))-AVERAGE(OFFSET($H$3,0,0,'Données projet'!$E$17+1,1))</f>
        <v>147.5699668214238</v>
      </c>
      <c r="GF7" s="60">
        <f t="shared" si="50"/>
        <v>70.653739864908346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1.9584000000000001</v>
      </c>
      <c r="GU7" s="13">
        <f>IF('Données projet'!$A$270&gt;35,GU6+GT7-HC6,IF(A7&lt;'Données projet'!$A$270,$GR$205^A7,IF(A7='Données projet'!$A$270,'Données projet'!$B$270,GU6+GT7-HC6)))</f>
        <v>3.9581814005929541</v>
      </c>
      <c r="GV7" s="18">
        <f>GU7*VLOOKUP('Données projet'!$B$18,Paramètres!$A$1:$I$89,3,0)*VLOOKUP('Données projet'!$B$18,Paramètres!$A$1:$I$89,5,0)</f>
        <v>2.0129727330855531</v>
      </c>
      <c r="GW7" s="14">
        <f t="shared" si="51"/>
        <v>0.85511244367657868</v>
      </c>
      <c r="GX7" s="22">
        <f t="shared" si="28"/>
        <v>4.9952483495273787</v>
      </c>
      <c r="GY7" s="60">
        <f t="shared" si="29"/>
        <v>298.32858168286072</v>
      </c>
      <c r="GZ7" s="60">
        <f ca="1">AVERAGE(OFFSET($GY$3,0,0,'Données projet'!$E$18+1,1))-AVERAGE(OFFSET($H$3,0,0,'Données projet'!$E$18+1,1))</f>
        <v>136.03899433512379</v>
      </c>
      <c r="HA7" s="60">
        <f t="shared" si="52"/>
        <v>316.56646692826882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299.83514117239878</v>
      </c>
      <c r="S8" s="60">
        <f ca="1">AVERAGE(OFFSET($R$3,0,0,'Données projet'!$E$9+1,1))-AVERAGE(OFFSET($H$3,0,0,'Données projet'!$E$9+1,1))</f>
        <v>384.44848355636935</v>
      </c>
      <c r="T8" s="60">
        <f t="shared" si="34"/>
        <v>203.5274665601915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0">
        <f t="shared" si="5"/>
        <v>299.02270258510697</v>
      </c>
      <c r="AN8" s="60">
        <f ca="1">AVERAGE(OFFSET($AM$3,0,0,'Données projet'!$E$10+1,1))-AVERAGE(OFFSET($H$3,0,0,'Données projet'!$E$10+1,1))</f>
        <v>303.73499739059076</v>
      </c>
      <c r="AO8" s="60">
        <f t="shared" si="36"/>
        <v>172.32171001882188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2.462345970666743</v>
      </c>
      <c r="BF8" s="14">
        <f t="shared" si="37"/>
        <v>1.021758139251189</v>
      </c>
      <c r="BG8" s="22">
        <f t="shared" si="7"/>
        <v>6.068147991440398</v>
      </c>
      <c r="BH8" s="60">
        <f t="shared" si="8"/>
        <v>299.40148132477373</v>
      </c>
      <c r="BI8" s="60">
        <f ca="1">AVERAGE(OFFSET($BH$3,0,0,'Données projet'!$E$11+1,1))-AVERAGE(OFFSET($H$3,0,0,'Données projet'!$E$11+1,1))</f>
        <v>352.29660374042186</v>
      </c>
      <c r="BJ8" s="60">
        <f t="shared" si="38"/>
        <v>187.26439695305618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2.1445228635663907</v>
      </c>
      <c r="CA8" s="14">
        <f t="shared" si="39"/>
        <v>0.90430692044106609</v>
      </c>
      <c r="CB8" s="22">
        <f t="shared" si="10"/>
        <v>5.3100452071463202</v>
      </c>
      <c r="CC8" s="60">
        <f t="shared" si="11"/>
        <v>298.64337854047966</v>
      </c>
      <c r="CD8" s="60">
        <f ca="1">AVERAGE(OFFSET($CC$3,0,0,'Données projet'!$E$12+1,1))-AVERAGE(OFFSET($H$3,0,0,'Données projet'!$E$12+1,1))</f>
        <v>277.03735509061545</v>
      </c>
      <c r="CE8" s="60">
        <f t="shared" si="40"/>
        <v>158.16416492761959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2.5813701135521372</v>
      </c>
      <c r="CV8" s="14">
        <f t="shared" si="41"/>
        <v>1.0652780295337991</v>
      </c>
      <c r="CW8" s="22">
        <f t="shared" si="13"/>
        <v>6.3512455158746723</v>
      </c>
      <c r="CX8" s="60">
        <f t="shared" si="14"/>
        <v>299.68457884920798</v>
      </c>
      <c r="CY8" s="60">
        <f ca="1">AVERAGE(OFFSET($CX$3,0,0,'Données projet'!$E$13+1,1))-AVERAGE(OFFSET($H$3,0,0,'Données projet'!$E$13+1,1))</f>
        <v>350.3652766444938</v>
      </c>
      <c r="CZ8" s="60">
        <f t="shared" si="42"/>
        <v>197.04549436738586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1.9</v>
      </c>
      <c r="DO8" s="13">
        <f>IF('Données projet'!$A$166&gt;35,DO7+DN8-DW7,IF(A8&lt;'Données projet'!$A$166,$DL$205^A8,IF(A8='Données projet'!$A$166,'Données projet'!$B$166,DO7+DN8-DW7)))</f>
        <v>4.3588989435406749</v>
      </c>
      <c r="DP8" s="18">
        <f>DO8*VLOOKUP('Données projet'!$B$14,Paramètres!$A$1:$I$89,3,0)*VLOOKUP('Données projet'!$B$14,Paramètres!$A$1:$I$89,5,0)</f>
        <v>3.467939999480961</v>
      </c>
      <c r="DQ8" s="14">
        <f t="shared" si="43"/>
        <v>1.382799801337496</v>
      </c>
      <c r="DR8" s="22">
        <f t="shared" si="16"/>
        <v>8.4483718197588118</v>
      </c>
      <c r="DS8" s="60">
        <f t="shared" si="17"/>
        <v>301.7817051530921</v>
      </c>
      <c r="DT8" s="60">
        <f ca="1">AVERAGE(OFFSET($DS$3,0,0,'Données projet'!$E$14+1,1))-AVERAGE(OFFSET($H$3,0,0,'Données projet'!$E$14+1,1))</f>
        <v>382.01991140382955</v>
      </c>
      <c r="DU8" s="60">
        <f t="shared" si="44"/>
        <v>389.53897948144339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1.1000000000000001</v>
      </c>
      <c r="EJ8" s="13">
        <f>IF('Données projet'!$A$192&gt;35,EJ7+EI8-ER7,IF(A8&lt;'Données projet'!$A$192,$EG$205^A8,IF(A8='Données projet'!$A$192,'Données projet'!$B$192,EJ7+EI8-ER7)))</f>
        <v>3.3166247903554016</v>
      </c>
      <c r="EK8" s="18">
        <f>EJ8*VLOOKUP('Données projet'!$B$15,Paramètres!$A$1:$I$89,3,0)*VLOOKUP('Données projet'!$B$15,Paramètres!$A$1:$I$89,5,0)</f>
        <v>2.6387066832067574</v>
      </c>
      <c r="EL8" s="14">
        <f t="shared" si="45"/>
        <v>1.0861586266766543</v>
      </c>
      <c r="EM8" s="22">
        <f t="shared" si="19"/>
        <v>6.4874737480469413</v>
      </c>
      <c r="EN8" s="60">
        <f t="shared" si="20"/>
        <v>299.82080708138028</v>
      </c>
      <c r="EO8" s="60">
        <f ca="1">AVERAGE(OFFSET($EN$3,0,0,'Données projet'!$E$15+1,1))-AVERAGE(OFFSET($H$3,0,0,'Données projet'!$E$15+1,1))</f>
        <v>323.92137573760789</v>
      </c>
      <c r="EP8" s="60">
        <f t="shared" si="46"/>
        <v>389.53897948144339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2.4666666666666668</v>
      </c>
      <c r="FE8" s="13">
        <f>IF('Données projet'!$A$218&gt;35,FE7+FD8-FM7,IF(A8&lt;'Données projet'!$A$218,$FB$205^A8,IF(A8='Données projet'!$A$218,'Données projet'!$B$218,FE7+FD8-FM7)))</f>
        <v>3.332221851645953</v>
      </c>
      <c r="FF8" s="18">
        <f>FE8*VLOOKUP('Données projet'!$B$16,Paramètres!$A$1:$I$89,3,0)*VLOOKUP('Données projet'!$B$16,Paramètres!$A$1:$I$89,5,0)</f>
        <v>2.6511157051695204</v>
      </c>
      <c r="FG8" s="14">
        <f t="shared" si="47"/>
        <v>1.0906707059957799</v>
      </c>
      <c r="FH8" s="22">
        <f t="shared" si="22"/>
        <v>6.5169446661128978</v>
      </c>
      <c r="FI8" s="60">
        <f t="shared" si="23"/>
        <v>299.85027799944623</v>
      </c>
      <c r="FJ8" s="60">
        <f ca="1">AVERAGE(OFFSET($FI$3,0,0,'Données projet'!$E$16+1,1))-AVERAGE(OFFSET($H$3,0,0,'Données projet'!$E$16+1,1))</f>
        <v>219.61164494001008</v>
      </c>
      <c r="FK8" s="60">
        <f t="shared" si="48"/>
        <v>219.59799863414111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3.4358974358974361</v>
      </c>
      <c r="FZ8" s="13">
        <f>IF('Données projet'!$A$244&gt;35,FZ7+FY8-GH7,IF(A8&lt;'Données projet'!$A$244,$FW$205^A8,IF(A8='Données projet'!$A$244,'Données projet'!$B$244,FZ7+FY8-GH7)))</f>
        <v>2.1653440338365213</v>
      </c>
      <c r="GA8" s="18">
        <f>FZ8*VLOOKUP('Données projet'!$B$17,Paramètres!$A$1:$I$89,3,0)*VLOOKUP('Données projet'!$B$17,Paramètres!$A$1:$I$89,5,0)</f>
        <v>1.0133810078354919</v>
      </c>
      <c r="GB8" s="14">
        <f t="shared" si="49"/>
        <v>0.46628653692783789</v>
      </c>
      <c r="GC8" s="22">
        <f t="shared" si="25"/>
        <v>2.5770876404627994</v>
      </c>
      <c r="GD8" s="60">
        <f t="shared" si="26"/>
        <v>295.91042097379614</v>
      </c>
      <c r="GE8" s="60">
        <f ca="1">AVERAGE(OFFSET($GD$3,0,0,'Données projet'!$E$17+1,1))-AVERAGE(OFFSET($H$3,0,0,'Données projet'!$E$17+1,1))</f>
        <v>147.5699668214238</v>
      </c>
      <c r="GF8" s="60">
        <f t="shared" si="50"/>
        <v>70.653739864908346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1.9584000000000001</v>
      </c>
      <c r="GU8" s="13">
        <f>IF('Données projet'!$A$270&gt;35,GU7+GT8-HC7,IF(A8&lt;'Données projet'!$A$270,$GR$205^A8,IF(A8='Données projet'!$A$270,'Données projet'!$B$270,GU7+GT8-HC7)))</f>
        <v>5.5830255733060268</v>
      </c>
      <c r="GV8" s="18">
        <f>GU8*VLOOKUP('Données projet'!$B$18,Paramètres!$A$1:$I$89,3,0)*VLOOKUP('Données projet'!$B$18,Paramètres!$A$1:$I$89,5,0)</f>
        <v>2.8393034855605133</v>
      </c>
      <c r="GW8" s="14">
        <f t="shared" si="51"/>
        <v>1.1588041053204614</v>
      </c>
      <c r="GX8" s="22">
        <f t="shared" si="28"/>
        <v>6.963370720784364</v>
      </c>
      <c r="GY8" s="60">
        <f t="shared" si="29"/>
        <v>300.2967040541177</v>
      </c>
      <c r="GZ8" s="60">
        <f ca="1">AVERAGE(OFFSET($GY$3,0,0,'Données projet'!$E$18+1,1))-AVERAGE(OFFSET($H$3,0,0,'Données projet'!$E$18+1,1))</f>
        <v>136.03899433512379</v>
      </c>
      <c r="HA8" s="60">
        <f t="shared" si="52"/>
        <v>316.56646692826882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301.33290077663611</v>
      </c>
      <c r="S9" s="60">
        <f ca="1">AVERAGE(OFFSET($R$3,0,0,'Données projet'!$E$9+1,1))-AVERAGE(OFFSET($H$3,0,0,'Données projet'!$E$9+1,1))</f>
        <v>384.44848355636935</v>
      </c>
      <c r="T9" s="60">
        <f t="shared" si="34"/>
        <v>203.5274665601915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0">
        <f t="shared" si="5"/>
        <v>300.14827444069743</v>
      </c>
      <c r="AN9" s="60">
        <f ca="1">AVERAGE(OFFSET($AM$3,0,0,'Données projet'!$E$10+1,1))-AVERAGE(OFFSET($H$3,0,0,'Données projet'!$E$10+1,1))</f>
        <v>303.73499739059076</v>
      </c>
      <c r="AO9" s="60">
        <f t="shared" si="36"/>
        <v>172.32171001882188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3.0515129419874016</v>
      </c>
      <c r="BF9" s="14">
        <f t="shared" si="37"/>
        <v>1.2350078267772846</v>
      </c>
      <c r="BG9" s="22">
        <f t="shared" si="7"/>
        <v>7.4656903389318279</v>
      </c>
      <c r="BH9" s="60">
        <f t="shared" si="8"/>
        <v>300.79902367226515</v>
      </c>
      <c r="BI9" s="60">
        <f ca="1">AVERAGE(OFFSET($BH$3,0,0,'Données projet'!$E$11+1,1))-AVERAGE(OFFSET($H$3,0,0,'Données projet'!$E$11+1,1))</f>
        <v>352.29660374042186</v>
      </c>
      <c r="BJ9" s="60">
        <f t="shared" si="38"/>
        <v>187.26439695305618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2.5851940357334171</v>
      </c>
      <c r="CA9" s="14">
        <f t="shared" si="39"/>
        <v>1.0666722775067177</v>
      </c>
      <c r="CB9" s="22">
        <f t="shared" si="10"/>
        <v>6.3603338288932347</v>
      </c>
      <c r="CC9" s="60">
        <f t="shared" si="11"/>
        <v>299.69366716222657</v>
      </c>
      <c r="CD9" s="60">
        <f ca="1">AVERAGE(OFFSET($CC$3,0,0,'Données projet'!$E$12+1,1))-AVERAGE(OFFSET($H$3,0,0,'Données projet'!$E$12+1,1))</f>
        <v>277.03735509061545</v>
      </c>
      <c r="CE9" s="60">
        <f t="shared" si="40"/>
        <v>158.16416492761959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3.111807635605039</v>
      </c>
      <c r="CV9" s="14">
        <f t="shared" si="41"/>
        <v>1.2565452240335246</v>
      </c>
      <c r="CW9" s="22">
        <f t="shared" si="13"/>
        <v>7.6082145638704972</v>
      </c>
      <c r="CX9" s="60">
        <f t="shared" si="14"/>
        <v>300.9415478972038</v>
      </c>
      <c r="CY9" s="60">
        <f ca="1">AVERAGE(OFFSET($CX$3,0,0,'Données projet'!$E$13+1,1))-AVERAGE(OFFSET($H$3,0,0,'Données projet'!$E$13+1,1))</f>
        <v>350.3652766444938</v>
      </c>
      <c r="CZ9" s="60">
        <f t="shared" si="42"/>
        <v>197.04549436738586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1.9</v>
      </c>
      <c r="DO9" s="13">
        <f>IF('Données projet'!$A$166&gt;35,DO8+DN9-DW8,IF(A9&lt;'Données projet'!$A$166,$DL$205^A9,IF(A9='Données projet'!$A$166,'Données projet'!$B$166,DO8+DN9-DW8)))</f>
        <v>5.8512972424092187</v>
      </c>
      <c r="DP9" s="18">
        <f>DO9*VLOOKUP('Données projet'!$B$14,Paramètres!$A$1:$I$89,3,0)*VLOOKUP('Données projet'!$B$14,Paramètres!$A$1:$I$89,5,0)</f>
        <v>4.6552920860607747</v>
      </c>
      <c r="DQ9" s="14">
        <f t="shared" si="43"/>
        <v>1.7937006960002178</v>
      </c>
      <c r="DR9" s="22">
        <f t="shared" si="16"/>
        <v>11.231995762089561</v>
      </c>
      <c r="DS9" s="60">
        <f t="shared" si="17"/>
        <v>304.5653290954229</v>
      </c>
      <c r="DT9" s="60">
        <f ca="1">AVERAGE(OFFSET($DS$3,0,0,'Données projet'!$E$14+1,1))-AVERAGE(OFFSET($H$3,0,0,'Données projet'!$E$14+1,1))</f>
        <v>382.01991140382955</v>
      </c>
      <c r="DU9" s="60">
        <f t="shared" si="44"/>
        <v>389.53897948144339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1.1000000000000001</v>
      </c>
      <c r="EJ9" s="13">
        <f>IF('Données projet'!$A$192&gt;35,EJ8+EI9-ER8,IF(A9&lt;'Données projet'!$A$192,$EG$205^A9,IF(A9='Données projet'!$A$192,'Données projet'!$B$192,EJ8+EI9-ER8)))</f>
        <v>4.2153691330919028</v>
      </c>
      <c r="EK9" s="18">
        <f>EJ9*VLOOKUP('Données projet'!$B$15,Paramètres!$A$1:$I$89,3,0)*VLOOKUP('Données projet'!$B$15,Paramètres!$A$1:$I$89,5,0)</f>
        <v>3.353747682287918</v>
      </c>
      <c r="EL9" s="14">
        <f t="shared" si="45"/>
        <v>1.3424889309030987</v>
      </c>
      <c r="EM9" s="22">
        <f t="shared" si="19"/>
        <v>8.1792787679743544</v>
      </c>
      <c r="EN9" s="60">
        <f t="shared" si="20"/>
        <v>301.5126121013077</v>
      </c>
      <c r="EO9" s="60">
        <f ca="1">AVERAGE(OFFSET($EN$3,0,0,'Données projet'!$E$15+1,1))-AVERAGE(OFFSET($H$3,0,0,'Données projet'!$E$15+1,1))</f>
        <v>323.92137573760789</v>
      </c>
      <c r="EP9" s="60">
        <f t="shared" si="46"/>
        <v>389.53897948144339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2.4666666666666668</v>
      </c>
      <c r="FE9" s="13">
        <f>IF('Données projet'!$A$218&gt;35,FE8+FD9-FM8,IF(A9&lt;'Données projet'!$A$218,$FB$205^A9,IF(A9='Données projet'!$A$218,'Données projet'!$B$218,FE8+FD9-FM8)))</f>
        <v>4.2391685997738069</v>
      </c>
      <c r="FF9" s="18">
        <f>FE9*VLOOKUP('Données projet'!$B$16,Paramètres!$A$1:$I$89,3,0)*VLOOKUP('Données projet'!$B$16,Paramètres!$A$1:$I$89,5,0)</f>
        <v>3.3726825379800407</v>
      </c>
      <c r="FG9" s="14">
        <f t="shared" si="47"/>
        <v>1.3491840083541735</v>
      </c>
      <c r="FH9" s="22">
        <f t="shared" si="22"/>
        <v>8.2239175681987557</v>
      </c>
      <c r="FI9" s="60">
        <f t="shared" si="23"/>
        <v>301.55725090153209</v>
      </c>
      <c r="FJ9" s="60">
        <f ca="1">AVERAGE(OFFSET($FI$3,0,0,'Données projet'!$E$16+1,1))-AVERAGE(OFFSET($H$3,0,0,'Données projet'!$E$16+1,1))</f>
        <v>219.61164494001008</v>
      </c>
      <c r="FK9" s="60">
        <f t="shared" si="48"/>
        <v>219.59799863414111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3.4358974358974361</v>
      </c>
      <c r="FZ9" s="13">
        <f>IF('Données projet'!$A$244&gt;35,FZ8+FY9-GH8,IF(A9&lt;'Données projet'!$A$244,$FW$205^A9,IF(A9='Données projet'!$A$244,'Données projet'!$B$244,FZ8+FY9-GH8)))</f>
        <v>2.5271573831519722</v>
      </c>
      <c r="GA9" s="18">
        <f>FZ9*VLOOKUP('Données projet'!$B$17,Paramètres!$A$1:$I$89,3,0)*VLOOKUP('Données projet'!$B$17,Paramètres!$A$1:$I$89,5,0)</f>
        <v>1.1827096553151231</v>
      </c>
      <c r="GB9" s="14">
        <f t="shared" si="49"/>
        <v>0.53449936229478223</v>
      </c>
      <c r="GC9" s="22">
        <f t="shared" si="25"/>
        <v>2.990805705670585</v>
      </c>
      <c r="GD9" s="60">
        <f t="shared" si="26"/>
        <v>296.32413903900391</v>
      </c>
      <c r="GE9" s="60">
        <f ca="1">AVERAGE(OFFSET($GD$3,0,0,'Données projet'!$E$17+1,1))-AVERAGE(OFFSET($H$3,0,0,'Données projet'!$E$17+1,1))</f>
        <v>147.5699668214238</v>
      </c>
      <c r="GF9" s="60">
        <f t="shared" si="50"/>
        <v>70.653739864908346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1.9584000000000001</v>
      </c>
      <c r="GU9" s="13">
        <f>IF('Données projet'!$A$270&gt;35,GU8+GT9-HC8,IF(A9&lt;'Données projet'!$A$270,$GR$205^A9,IF(A9='Données projet'!$A$270,'Données projet'!$B$270,GU8+GT9-HC8)))</f>
        <v>7.8748726744862312</v>
      </c>
      <c r="GV9" s="18">
        <f>GU9*VLOOKUP('Données projet'!$B$18,Paramètres!$A$1:$I$89,3,0)*VLOOKUP('Données projet'!$B$18,Paramètres!$A$1:$I$89,5,0)</f>
        <v>4.0048452473367178</v>
      </c>
      <c r="GW9" s="14">
        <f t="shared" si="51"/>
        <v>1.5703513198030834</v>
      </c>
      <c r="GX9" s="22">
        <f t="shared" si="28"/>
        <v>9.7101340211018208</v>
      </c>
      <c r="GY9" s="60">
        <f t="shared" si="29"/>
        <v>303.04346735443511</v>
      </c>
      <c r="GZ9" s="60">
        <f ca="1">AVERAGE(OFFSET($GY$3,0,0,'Données projet'!$E$18+1,1))-AVERAGE(OFFSET($H$3,0,0,'Données projet'!$E$18+1,1))</f>
        <v>136.03899433512379</v>
      </c>
      <c r="HA9" s="60">
        <f t="shared" si="52"/>
        <v>316.56646692826882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303.17693934275616</v>
      </c>
      <c r="S10" s="60">
        <f ca="1">AVERAGE(OFFSET($R$3,0,0,'Données projet'!$E$9+1,1))-AVERAGE(OFFSET($H$3,0,0,'Données projet'!$E$9+1,1))</f>
        <v>384.44848355636935</v>
      </c>
      <c r="T10" s="60">
        <f t="shared" si="34"/>
        <v>203.5274665601915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0">
        <f t="shared" si="5"/>
        <v>301.49732286519185</v>
      </c>
      <c r="AN10" s="60">
        <f ca="1">AVERAGE(OFFSET($AM$3,0,0,'Données projet'!$E$10+1,1))-AVERAGE(OFFSET($H$3,0,0,'Données projet'!$E$10+1,1))</f>
        <v>303.73499739059076</v>
      </c>
      <c r="AO10" s="60">
        <f t="shared" si="36"/>
        <v>172.32171001882188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3.7816502416982529</v>
      </c>
      <c r="BF10" s="14">
        <f t="shared" si="37"/>
        <v>1.492764553183741</v>
      </c>
      <c r="BG10" s="22">
        <f t="shared" si="7"/>
        <v>9.1862724344194735</v>
      </c>
      <c r="BH10" s="60">
        <f t="shared" si="8"/>
        <v>302.51960576775281</v>
      </c>
      <c r="BI10" s="60">
        <f ca="1">AVERAGE(OFFSET($BH$3,0,0,'Données projet'!$E$11+1,1))-AVERAGE(OFFSET($H$3,0,0,'Données projet'!$E$11+1,1))</f>
        <v>352.29660374042186</v>
      </c>
      <c r="BJ10" s="60">
        <f t="shared" si="38"/>
        <v>187.26439695305618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3.1164173233748005</v>
      </c>
      <c r="CA10" s="14">
        <f t="shared" si="39"/>
        <v>1.2581898046809412</v>
      </c>
      <c r="CB10" s="22">
        <f t="shared" si="10"/>
        <v>7.6191074146970825</v>
      </c>
      <c r="CC10" s="60">
        <f t="shared" si="11"/>
        <v>300.95244074803037</v>
      </c>
      <c r="CD10" s="60">
        <f ca="1">AVERAGE(OFFSET($CC$3,0,0,'Données projet'!$E$12+1,1))-AVERAGE(OFFSET($H$3,0,0,'Données projet'!$E$12+1,1))</f>
        <v>277.03735509061545</v>
      </c>
      <c r="CE10" s="60">
        <f t="shared" si="40"/>
        <v>158.16416492761959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3.7512430744326299</v>
      </c>
      <c r="CV10" s="14">
        <f t="shared" si="41"/>
        <v>1.4821538192545303</v>
      </c>
      <c r="CW10" s="22">
        <f t="shared" si="13"/>
        <v>9.1148329231718037</v>
      </c>
      <c r="CX10" s="60">
        <f t="shared" si="14"/>
        <v>302.44816625650515</v>
      </c>
      <c r="CY10" s="60">
        <f ca="1">AVERAGE(OFFSET($CX$3,0,0,'Données projet'!$E$13+1,1))-AVERAGE(OFFSET($H$3,0,0,'Données projet'!$E$13+1,1))</f>
        <v>350.3652766444938</v>
      </c>
      <c r="CZ10" s="60">
        <f t="shared" si="42"/>
        <v>197.04549436738586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1.9</v>
      </c>
      <c r="DO10" s="13">
        <f>IF('Données projet'!$A$166&gt;35,DO9+DN10-DW9,IF(A10&lt;'Données projet'!$A$166,$DL$205^A10,IF(A10='Données projet'!$A$166,'Données projet'!$B$166,DO9+DN10-DW9)))</f>
        <v>7.8546623499408135</v>
      </c>
      <c r="DP10" s="18">
        <f>DO10*VLOOKUP('Données projet'!$B$14,Paramètres!$A$1:$I$89,3,0)*VLOOKUP('Données projet'!$B$14,Paramètres!$A$1:$I$89,5,0)</f>
        <v>6.2491693656129108</v>
      </c>
      <c r="DQ10" s="14">
        <f t="shared" si="43"/>
        <v>2.326701366112224</v>
      </c>
      <c r="DR10" s="22">
        <f t="shared" si="16"/>
        <v>14.936308191087944</v>
      </c>
      <c r="DS10" s="60">
        <f t="shared" si="17"/>
        <v>308.26964152442127</v>
      </c>
      <c r="DT10" s="60">
        <f ca="1">AVERAGE(OFFSET($DS$3,0,0,'Données projet'!$E$14+1,1))-AVERAGE(OFFSET($H$3,0,0,'Données projet'!$E$14+1,1))</f>
        <v>382.01991140382955</v>
      </c>
      <c r="DU10" s="60">
        <f t="shared" si="44"/>
        <v>389.53897948144339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1.1000000000000001</v>
      </c>
      <c r="EJ10" s="13">
        <f>IF('Données projet'!$A$192&gt;35,EJ9+EI10-ER9,IF(A10&lt;'Données projet'!$A$192,$EG$205^A10,IF(A10='Données projet'!$A$192,'Données projet'!$B$192,EJ9+EI10-ER9)))</f>
        <v>5.3576566694841175</v>
      </c>
      <c r="EK10" s="18">
        <f>EJ10*VLOOKUP('Données projet'!$B$15,Paramètres!$A$1:$I$89,3,0)*VLOOKUP('Données projet'!$B$15,Paramètres!$A$1:$I$89,5,0)</f>
        <v>4.2625516462415645</v>
      </c>
      <c r="EL10" s="14">
        <f t="shared" si="45"/>
        <v>1.6593124478620722</v>
      </c>
      <c r="EM10" s="22">
        <f t="shared" si="19"/>
        <v>10.313913297230501</v>
      </c>
      <c r="EN10" s="60">
        <f t="shared" si="20"/>
        <v>303.64724663056381</v>
      </c>
      <c r="EO10" s="60">
        <f ca="1">AVERAGE(OFFSET($EN$3,0,0,'Données projet'!$E$15+1,1))-AVERAGE(OFFSET($H$3,0,0,'Données projet'!$E$15+1,1))</f>
        <v>323.92137573760789</v>
      </c>
      <c r="EP10" s="60">
        <f t="shared" si="46"/>
        <v>389.53897948144339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2.4666666666666668</v>
      </c>
      <c r="FE10" s="13">
        <f>IF('Données projet'!$A$218&gt;35,FE9+FD10-FM9,IF(A10&lt;'Données projet'!$A$218,$FB$205^A10,IF(A10='Données projet'!$A$218,'Données projet'!$B$218,FE9+FD10-FM9)))</f>
        <v>5.3929633792034757</v>
      </c>
      <c r="FF10" s="18">
        <f>FE10*VLOOKUP('Données projet'!$B$16,Paramètres!$A$1:$I$89,3,0)*VLOOKUP('Données projet'!$B$16,Paramètres!$A$1:$I$89,5,0)</f>
        <v>4.2906416644942853</v>
      </c>
      <c r="FG10" s="14">
        <f t="shared" si="47"/>
        <v>1.6689707336887791</v>
      </c>
      <c r="FH10" s="22">
        <f t="shared" si="22"/>
        <v>10.379658260168837</v>
      </c>
      <c r="FI10" s="60">
        <f t="shared" si="23"/>
        <v>303.71299159350212</v>
      </c>
      <c r="FJ10" s="60">
        <f ca="1">AVERAGE(OFFSET($FI$3,0,0,'Données projet'!$E$16+1,1))-AVERAGE(OFFSET($H$3,0,0,'Données projet'!$E$16+1,1))</f>
        <v>219.61164494001008</v>
      </c>
      <c r="FK10" s="60">
        <f t="shared" si="48"/>
        <v>219.59799863414111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3.4358974358974361</v>
      </c>
      <c r="FZ10" s="13">
        <f>IF('Données projet'!$A$244&gt;35,FZ9+FY10-GH9,IF(A10&lt;'Données projet'!$A$244,$FW$205^A10,IF(A10='Données projet'!$A$244,'Données projet'!$B$244,FZ9+FY10-GH9)))</f>
        <v>2.9494271300177566</v>
      </c>
      <c r="GA10" s="18">
        <f>FZ10*VLOOKUP('Données projet'!$B$17,Paramètres!$A$1:$I$89,3,0)*VLOOKUP('Données projet'!$B$17,Paramètres!$A$1:$I$89,5,0)</f>
        <v>1.38033189684831</v>
      </c>
      <c r="GB10" s="14">
        <f t="shared" si="49"/>
        <v>0.6126910079279041</v>
      </c>
      <c r="GC10" s="22">
        <f t="shared" si="25"/>
        <v>3.4711815591519066</v>
      </c>
      <c r="GD10" s="60">
        <f t="shared" si="26"/>
        <v>296.8045148924852</v>
      </c>
      <c r="GE10" s="60">
        <f ca="1">AVERAGE(OFFSET($GD$3,0,0,'Données projet'!$E$17+1,1))-AVERAGE(OFFSET($H$3,0,0,'Données projet'!$E$17+1,1))</f>
        <v>147.5699668214238</v>
      </c>
      <c r="GF10" s="60">
        <f t="shared" si="50"/>
        <v>70.653739864908346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1.9584000000000001</v>
      </c>
      <c r="GU10" s="13">
        <f>IF('Données projet'!$A$270&gt;35,GU9+GT10-HC9,IF(A10&lt;'Données projet'!$A$270,$GR$205^A10,IF(A10='Données projet'!$A$270,'Données projet'!$B$270,GU9+GT10-HC9)))</f>
        <v>11.107529210662047</v>
      </c>
      <c r="GV10" s="18">
        <f>GU10*VLOOKUP('Données projet'!$B$18,Paramètres!$A$1:$I$89,3,0)*VLOOKUP('Données projet'!$B$18,Paramètres!$A$1:$I$89,5,0)</f>
        <v>5.6488450553742915</v>
      </c>
      <c r="GW10" s="14">
        <f t="shared" si="51"/>
        <v>2.1280587946530667</v>
      </c>
      <c r="GX10" s="22">
        <f t="shared" si="28"/>
        <v>13.544774205464314</v>
      </c>
      <c r="GY10" s="60">
        <f t="shared" si="29"/>
        <v>306.87810753879762</v>
      </c>
      <c r="GZ10" s="60">
        <f ca="1">AVERAGE(OFFSET($GY$3,0,0,'Données projet'!$E$18+1,1))-AVERAGE(OFFSET($H$3,0,0,'Données projet'!$E$18+1,1))</f>
        <v>136.03899433512379</v>
      </c>
      <c r="HA10" s="60">
        <f t="shared" si="52"/>
        <v>316.56646692826882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305.44758777557922</v>
      </c>
      <c r="S11" s="60">
        <f ca="1">AVERAGE(OFFSET($R$3,0,0,'Données projet'!$E$9+1,1))-AVERAGE(OFFSET($H$3,0,0,'Données projet'!$E$9+1,1))</f>
        <v>384.44848355636935</v>
      </c>
      <c r="T11" s="60">
        <f t="shared" si="34"/>
        <v>203.5274665601915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0">
        <f t="shared" si="5"/>
        <v>303.11436643935451</v>
      </c>
      <c r="AN11" s="60">
        <f ca="1">AVERAGE(OFFSET($AM$3,0,0,'Données projet'!$E$10+1,1))-AVERAGE(OFFSET($H$3,0,0,'Données projet'!$E$10+1,1))</f>
        <v>303.73499739059076</v>
      </c>
      <c r="AO11" s="60">
        <f t="shared" si="36"/>
        <v>172.32171001882188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4.6864879233389463</v>
      </c>
      <c r="BF11" s="14">
        <f t="shared" si="37"/>
        <v>1.8043173192324258</v>
      </c>
      <c r="BG11" s="22">
        <f t="shared" si="7"/>
        <v>11.304819130811806</v>
      </c>
      <c r="BH11" s="60">
        <f t="shared" si="8"/>
        <v>304.63815246414509</v>
      </c>
      <c r="BI11" s="60">
        <f ca="1">AVERAGE(OFFSET($BH$3,0,0,'Données projet'!$E$11+1,1))-AVERAGE(OFFSET($H$3,0,0,'Données projet'!$E$11+1,1))</f>
        <v>352.29660374042186</v>
      </c>
      <c r="BJ11" s="60">
        <f t="shared" si="38"/>
        <v>187.26439695305618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3.7567999922587045</v>
      </c>
      <c r="CA11" s="14">
        <f t="shared" si="39"/>
        <v>1.4840936789913857</v>
      </c>
      <c r="CB11" s="22">
        <f t="shared" si="10"/>
        <v>9.127889810760573</v>
      </c>
      <c r="CC11" s="60">
        <f t="shared" si="11"/>
        <v>302.46122314409388</v>
      </c>
      <c r="CD11" s="60">
        <f ca="1">AVERAGE(OFFSET($CC$3,0,0,'Données projet'!$E$12+1,1))-AVERAGE(OFFSET($H$3,0,0,'Données projet'!$E$12+1,1))</f>
        <v>277.03735509061545</v>
      </c>
      <c r="CE11" s="60">
        <f t="shared" si="40"/>
        <v>158.16416492761959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4.5220740647558486</v>
      </c>
      <c r="CV11" s="14">
        <f t="shared" si="41"/>
        <v>1.7482697016499746</v>
      </c>
      <c r="CW11" s="22">
        <f t="shared" si="13"/>
        <v>10.92084872649014</v>
      </c>
      <c r="CX11" s="60">
        <f t="shared" si="14"/>
        <v>304.25418205982345</v>
      </c>
      <c r="CY11" s="60">
        <f ca="1">AVERAGE(OFFSET($CX$3,0,0,'Données projet'!$E$13+1,1))-AVERAGE(OFFSET($H$3,0,0,'Données projet'!$E$13+1,1))</f>
        <v>350.3652766444938</v>
      </c>
      <c r="CZ11" s="60">
        <f t="shared" si="42"/>
        <v>197.04549436738586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1.9</v>
      </c>
      <c r="DO11" s="13">
        <f>IF('Données projet'!$A$166&gt;35,DO10+DN11-DW10,IF(A11&lt;'Données projet'!$A$166,$DL$205^A11,IF(A11='Données projet'!$A$166,'Données projet'!$B$166,DO10+DN11-DW10)))</f>
        <v>10.543938903738736</v>
      </c>
      <c r="DP11" s="18">
        <f>DO11*VLOOKUP('Données projet'!$B$14,Paramètres!$A$1:$I$89,3,0)*VLOOKUP('Données projet'!$B$14,Paramètres!$A$1:$I$89,5,0)</f>
        <v>8.3887577918145393</v>
      </c>
      <c r="DQ11" s="14">
        <f t="shared" si="43"/>
        <v>3.0180839306915423</v>
      </c>
      <c r="DR11" s="22">
        <f t="shared" si="16"/>
        <v>19.866916000031427</v>
      </c>
      <c r="DS11" s="60">
        <f t="shared" si="17"/>
        <v>313.20024933336475</v>
      </c>
      <c r="DT11" s="60">
        <f ca="1">AVERAGE(OFFSET($DS$3,0,0,'Données projet'!$E$14+1,1))-AVERAGE(OFFSET($H$3,0,0,'Données projet'!$E$14+1,1))</f>
        <v>382.01991140382955</v>
      </c>
      <c r="DU11" s="60">
        <f t="shared" si="44"/>
        <v>389.53897948144339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1.1000000000000001</v>
      </c>
      <c r="EJ11" s="13">
        <f>IF('Données projet'!$A$192&gt;35,EJ10+EI11-ER10,IF(A11&lt;'Données projet'!$A$192,$EG$205^A11,IF(A11='Données projet'!$A$192,'Données projet'!$B$192,EJ10+EI11-ER10)))</f>
        <v>6.8094831275223076</v>
      </c>
      <c r="EK11" s="18">
        <f>EJ11*VLOOKUP('Données projet'!$B$15,Paramètres!$A$1:$I$89,3,0)*VLOOKUP('Données projet'!$B$15,Paramètres!$A$1:$I$89,5,0)</f>
        <v>5.4176247762567487</v>
      </c>
      <c r="EL11" s="14">
        <f t="shared" si="45"/>
        <v>2.0509054013412618</v>
      </c>
      <c r="EM11" s="22">
        <f t="shared" si="19"/>
        <v>13.007690059316532</v>
      </c>
      <c r="EN11" s="60">
        <f t="shared" si="20"/>
        <v>306.34102339264984</v>
      </c>
      <c r="EO11" s="60">
        <f ca="1">AVERAGE(OFFSET($EN$3,0,0,'Données projet'!$E$15+1,1))-AVERAGE(OFFSET($H$3,0,0,'Données projet'!$E$15+1,1))</f>
        <v>323.92137573760789</v>
      </c>
      <c r="EP11" s="60">
        <f t="shared" si="46"/>
        <v>389.53897948144339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2.4666666666666668</v>
      </c>
      <c r="FE11" s="13">
        <f>IF('Données projet'!$A$218&gt;35,FE10+FD11-FM10,IF(A11&lt;'Données projet'!$A$218,$FB$205^A11,IF(A11='Données projet'!$A$218,'Données projet'!$B$218,FE10+FD11-FM10)))</f>
        <v>6.8607919984549888</v>
      </c>
      <c r="FF11" s="18">
        <f>FE11*VLOOKUP('Données projet'!$B$16,Paramètres!$A$1:$I$89,3,0)*VLOOKUP('Données projet'!$B$16,Paramètres!$A$1:$I$89,5,0)</f>
        <v>5.4584461139707896</v>
      </c>
      <c r="FG11" s="14">
        <f t="shared" si="47"/>
        <v>2.0645540509389519</v>
      </c>
      <c r="FH11" s="22">
        <f t="shared" si="22"/>
        <v>13.102558620551131</v>
      </c>
      <c r="FI11" s="60">
        <f t="shared" si="23"/>
        <v>306.43589195388444</v>
      </c>
      <c r="FJ11" s="60">
        <f ca="1">AVERAGE(OFFSET($FI$3,0,0,'Données projet'!$E$16+1,1))-AVERAGE(OFFSET($H$3,0,0,'Données projet'!$E$16+1,1))</f>
        <v>219.61164494001008</v>
      </c>
      <c r="FK11" s="60">
        <f t="shared" si="48"/>
        <v>219.59799863414111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3.4358974358974361</v>
      </c>
      <c r="FZ11" s="13">
        <f>IF('Données projet'!$A$244&gt;35,FZ10+FY11-GH10,IF(A11&lt;'Données projet'!$A$244,$FW$205^A11,IF(A11='Données projet'!$A$244,'Données projet'!$B$244,FZ10+FY11-GH10)))</f>
        <v>3.4422551018310097</v>
      </c>
      <c r="GA11" s="18">
        <f>FZ11*VLOOKUP('Données projet'!$B$17,Paramètres!$A$1:$I$89,3,0)*VLOOKUP('Données projet'!$B$17,Paramètres!$A$1:$I$89,5,0)</f>
        <v>1.6109753876569124</v>
      </c>
      <c r="GB11" s="14">
        <f t="shared" si="49"/>
        <v>0.70232127047642601</v>
      </c>
      <c r="GC11" s="22">
        <f t="shared" si="25"/>
        <v>4.0289916795822309</v>
      </c>
      <c r="GD11" s="60">
        <f t="shared" si="26"/>
        <v>297.36232501291556</v>
      </c>
      <c r="GE11" s="60">
        <f ca="1">AVERAGE(OFFSET($GD$3,0,0,'Données projet'!$E$17+1,1))-AVERAGE(OFFSET($H$3,0,0,'Données projet'!$E$17+1,1))</f>
        <v>147.5699668214238</v>
      </c>
      <c r="GF11" s="60">
        <f t="shared" si="50"/>
        <v>70.653739864908346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>
        <f>VLOOKUP(A11,'Données projet'!$A$269:$I$289,2,0)</f>
        <v>15.667200000000001</v>
      </c>
      <c r="GS11" s="13">
        <f>VLOOKUP(A11,'Données projet'!$A$269:$I$289,9,0)</f>
        <v>1.9584000000000001</v>
      </c>
      <c r="GT11" s="13">
        <f t="array" ref="GT11">INDEX(GS:GS,MIN(IF(ISNUMBER(GS11:GS207),ROW(GS11:GS207),"")))</f>
        <v>1.9584000000000001</v>
      </c>
      <c r="GU11" s="13">
        <f>IF('Données projet'!$A$270&gt;35,GU10+GT11-HC10,IF(A11&lt;'Données projet'!$A$270,$GR$205^A11,IF(A11='Données projet'!$A$270,'Données projet'!$B$270,GU10+GT11-HC10)))</f>
        <v>15.667200000000001</v>
      </c>
      <c r="GV11" s="18">
        <f>GU11*VLOOKUP('Données projet'!$B$18,Paramètres!$A$1:$I$89,3,0)*VLOOKUP('Données projet'!$B$18,Paramètres!$A$1:$I$89,5,0)</f>
        <v>7.967711232000001</v>
      </c>
      <c r="GW11" s="14">
        <f t="shared" si="51"/>
        <v>2.8838350860673261</v>
      </c>
      <c r="GX11" s="22">
        <f t="shared" si="28"/>
        <v>18.899776503967264</v>
      </c>
      <c r="GY11" s="60">
        <f t="shared" si="29"/>
        <v>312.23310983730056</v>
      </c>
      <c r="GZ11" s="60">
        <f ca="1">AVERAGE(OFFSET($GY$3,0,0,'Données projet'!$E$18+1,1))-AVERAGE(OFFSET($H$3,0,0,'Données projet'!$E$18+1,1))</f>
        <v>136.03899433512379</v>
      </c>
      <c r="HA11" s="60">
        <f t="shared" si="52"/>
        <v>316.56646692826882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308.24387113376753</v>
      </c>
      <c r="S12" s="60">
        <f ca="1">AVERAGE(OFFSET($R$3,0,0,'Données projet'!$E$9+1,1))-AVERAGE(OFFSET($H$3,0,0,'Données projet'!$E$9+1,1))</f>
        <v>384.44848355636935</v>
      </c>
      <c r="T12" s="60">
        <f t="shared" si="34"/>
        <v>203.5274665601915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0">
        <f t="shared" si="5"/>
        <v>305.05281983783436</v>
      </c>
      <c r="AN12" s="60">
        <f ca="1">AVERAGE(OFFSET($AM$3,0,0,'Données projet'!$E$10+1,1))-AVERAGE(OFFSET($H$3,0,0,'Données projet'!$E$10+1,1))</f>
        <v>303.73499739059076</v>
      </c>
      <c r="AO12" s="60">
        <f t="shared" si="36"/>
        <v>172.32171001882188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5.8078266502347455</v>
      </c>
      <c r="BF12" s="14">
        <f t="shared" si="37"/>
        <v>2.1808938198181922</v>
      </c>
      <c r="BG12" s="22">
        <f t="shared" si="7"/>
        <v>13.913688152008866</v>
      </c>
      <c r="BH12" s="60">
        <f t="shared" si="8"/>
        <v>307.2470214853422</v>
      </c>
      <c r="BI12" s="60">
        <f ca="1">AVERAGE(OFFSET($BH$3,0,0,'Données projet'!$E$11+1,1))-AVERAGE(OFFSET($H$3,0,0,'Données projet'!$E$11+1,1))</f>
        <v>352.29660374042186</v>
      </c>
      <c r="BJ12" s="60">
        <f t="shared" si="38"/>
        <v>187.26439695305618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4.5287728559252471</v>
      </c>
      <c r="CA12" s="14">
        <f t="shared" si="39"/>
        <v>1.7505578568733651</v>
      </c>
      <c r="CB12" s="22">
        <f t="shared" si="10"/>
        <v>10.93650099145758</v>
      </c>
      <c r="CC12" s="60">
        <f t="shared" si="11"/>
        <v>304.26983432479091</v>
      </c>
      <c r="CD12" s="60">
        <f ca="1">AVERAGE(OFFSET($CC$3,0,0,'Données projet'!$E$12+1,1))-AVERAGE(OFFSET($H$3,0,0,'Données projet'!$E$12+1,1))</f>
        <v>277.03735509061545</v>
      </c>
      <c r="CE12" s="60">
        <f t="shared" si="40"/>
        <v>158.16416492761959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5.4513006599100189</v>
      </c>
      <c r="CV12" s="14">
        <f t="shared" si="41"/>
        <v>2.062165822468125</v>
      </c>
      <c r="CW12" s="22">
        <f t="shared" si="13"/>
        <v>13.085954123475267</v>
      </c>
      <c r="CX12" s="60">
        <f t="shared" si="14"/>
        <v>306.4192874568086</v>
      </c>
      <c r="CY12" s="60">
        <f ca="1">AVERAGE(OFFSET($CX$3,0,0,'Données projet'!$E$13+1,1))-AVERAGE(OFFSET($H$3,0,0,'Données projet'!$E$13+1,1))</f>
        <v>350.3652766444938</v>
      </c>
      <c r="CZ12" s="60">
        <f t="shared" si="42"/>
        <v>197.04549436738586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1.9</v>
      </c>
      <c r="DO12" s="13">
        <f>IF('Données projet'!$A$166&gt;35,DO11+DN12-DW11,IF(A12&lt;'Données projet'!$A$166,$DL$205^A12,IF(A12='Données projet'!$A$166,'Données projet'!$B$166,DO11+DN12-DW11)))</f>
        <v>14.153969025366564</v>
      </c>
      <c r="DP12" s="18">
        <f>DO12*VLOOKUP('Données projet'!$B$14,Paramètres!$A$1:$I$89,3,0)*VLOOKUP('Données projet'!$B$14,Paramètres!$A$1:$I$89,5,0)</f>
        <v>11.260897756581638</v>
      </c>
      <c r="DQ12" s="14">
        <f t="shared" si="43"/>
        <v>3.9149117911590028</v>
      </c>
      <c r="DR12" s="22">
        <f t="shared" si="16"/>
        <v>26.431201628981615</v>
      </c>
      <c r="DS12" s="60">
        <f t="shared" si="17"/>
        <v>319.76453496231494</v>
      </c>
      <c r="DT12" s="60">
        <f ca="1">AVERAGE(OFFSET($DS$3,0,0,'Données projet'!$E$14+1,1))-AVERAGE(OFFSET($H$3,0,0,'Données projet'!$E$14+1,1))</f>
        <v>382.01991140382955</v>
      </c>
      <c r="DU12" s="60">
        <f t="shared" si="44"/>
        <v>389.53897948144339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1.1000000000000001</v>
      </c>
      <c r="EJ12" s="13">
        <f>IF('Données projet'!$A$192&gt;35,EJ11+EI12-ER11,IF(A12&lt;'Données projet'!$A$192,$EG$205^A12,IF(A12='Données projet'!$A$192,'Données projet'!$B$192,EJ11+EI12-ER11)))</f>
        <v>8.6547278641645029</v>
      </c>
      <c r="EK12" s="18">
        <f>EJ12*VLOOKUP('Données projet'!$B$15,Paramètres!$A$1:$I$89,3,0)*VLOOKUP('Données projet'!$B$15,Paramètres!$A$1:$I$89,5,0)</f>
        <v>6.8857014887292793</v>
      </c>
      <c r="EL12" s="14">
        <f t="shared" si="45"/>
        <v>2.5349131627802968</v>
      </c>
      <c r="EM12" s="22">
        <f t="shared" si="19"/>
        <v>16.407570518045844</v>
      </c>
      <c r="EN12" s="60">
        <f t="shared" si="20"/>
        <v>309.74090385137913</v>
      </c>
      <c r="EO12" s="60">
        <f ca="1">AVERAGE(OFFSET($EN$3,0,0,'Données projet'!$E$15+1,1))-AVERAGE(OFFSET($H$3,0,0,'Données projet'!$E$15+1,1))</f>
        <v>323.92137573760789</v>
      </c>
      <c r="EP12" s="60">
        <f t="shared" si="46"/>
        <v>389.53897948144339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2.4666666666666668</v>
      </c>
      <c r="FE12" s="13">
        <f>IF('Données projet'!$A$218&gt;35,FE11+FD12-FM11,IF(A12&lt;'Données projet'!$A$218,$FB$205^A12,IF(A12='Données projet'!$A$218,'Données projet'!$B$218,FE11+FD12-FM11)))</f>
        <v>8.7281265486761299</v>
      </c>
      <c r="FF12" s="18">
        <f>FE12*VLOOKUP('Données projet'!$B$16,Paramètres!$A$1:$I$89,3,0)*VLOOKUP('Données projet'!$B$16,Paramètres!$A$1:$I$89,5,0)</f>
        <v>6.9440974821267289</v>
      </c>
      <c r="FG12" s="14">
        <f t="shared" si="47"/>
        <v>2.5538994442566798</v>
      </c>
      <c r="FH12" s="22">
        <f t="shared" si="22"/>
        <v>16.542344646784436</v>
      </c>
      <c r="FI12" s="60">
        <f t="shared" si="23"/>
        <v>309.87567798011776</v>
      </c>
      <c r="FJ12" s="60">
        <f ca="1">AVERAGE(OFFSET($FI$3,0,0,'Données projet'!$E$16+1,1))-AVERAGE(OFFSET($H$3,0,0,'Données projet'!$E$16+1,1))</f>
        <v>219.61164494001008</v>
      </c>
      <c r="FK12" s="60">
        <f t="shared" si="48"/>
        <v>219.59799863414111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3.4358974358974361</v>
      </c>
      <c r="FZ12" s="13">
        <f>IF('Données projet'!$A$244&gt;35,FZ11+FY12-GH11,IF(A12&lt;'Données projet'!$A$244,$FW$205^A12,IF(A12='Données projet'!$A$244,'Données projet'!$B$244,FZ11+FY12-GH11)))</f>
        <v>4.0174310683886194</v>
      </c>
      <c r="GA12" s="18">
        <f>FZ12*VLOOKUP('Données projet'!$B$17,Paramètres!$A$1:$I$89,3,0)*VLOOKUP('Données projet'!$B$17,Paramètres!$A$1:$I$89,5,0)</f>
        <v>1.8801577400058738</v>
      </c>
      <c r="GB12" s="14">
        <f t="shared" si="49"/>
        <v>0.80506349951468992</v>
      </c>
      <c r="GC12" s="22">
        <f t="shared" si="25"/>
        <v>4.6767603254983152</v>
      </c>
      <c r="GD12" s="60">
        <f t="shared" si="26"/>
        <v>298.01009365883164</v>
      </c>
      <c r="GE12" s="60">
        <f ca="1">AVERAGE(OFFSET($GD$3,0,0,'Données projet'!$E$17+1,1))-AVERAGE(OFFSET($H$3,0,0,'Données projet'!$E$17+1,1))</f>
        <v>147.5699668214238</v>
      </c>
      <c r="GF12" s="60">
        <f t="shared" si="50"/>
        <v>70.653739864908346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>
        <f>VLOOKUP(A12,'Données projet'!$A$269:$I$289,2,0)</f>
        <v>36.556799999999996</v>
      </c>
      <c r="GS12" s="13">
        <f>VLOOKUP(A12,'Données projet'!$A$269:$I$289,9,0)</f>
        <v>20.889599999999994</v>
      </c>
      <c r="GT12" s="13">
        <f t="array" ref="GT12">INDEX(GS:GS,MIN(IF(ISNUMBER(GS12:GS208),ROW(GS12:GS208),"")))</f>
        <v>20.889599999999994</v>
      </c>
      <c r="GU12" s="13">
        <f>IF('Données projet'!$A$270&gt;35,GU11+GT12-HC11,IF(A12&lt;'Données projet'!$A$270,$GR$205^A12,IF(A12='Données projet'!$A$270,'Données projet'!$B$270,GU11+GT12-HC11)))</f>
        <v>36.556799999999996</v>
      </c>
      <c r="GV12" s="18">
        <f>GU12*VLOOKUP('Données projet'!$B$18,Paramètres!$A$1:$I$89,3,0)*VLOOKUP('Données projet'!$B$18,Paramètres!$A$1:$I$89,5,0)</f>
        <v>18.591326208000002</v>
      </c>
      <c r="GW12" s="14">
        <f t="shared" si="51"/>
        <v>6.0969791357233918</v>
      </c>
      <c r="GX12" s="22">
        <f t="shared" si="28"/>
        <v>42.998798473651568</v>
      </c>
      <c r="GY12" s="60">
        <f t="shared" si="29"/>
        <v>336.33213180698488</v>
      </c>
      <c r="GZ12" s="60">
        <f ca="1">AVERAGE(OFFSET($GY$3,0,0,'Données projet'!$E$18+1,1))-AVERAGE(OFFSET($H$3,0,0,'Données projet'!$E$18+1,1))</f>
        <v>136.03899433512379</v>
      </c>
      <c r="HA12" s="60">
        <f t="shared" si="52"/>
        <v>316.56646692826882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311.68787167067455</v>
      </c>
      <c r="S13" s="60">
        <f ca="1">AVERAGE(OFFSET($R$3,0,0,'Données projet'!$E$9+1,1))-AVERAGE(OFFSET($H$3,0,0,'Données projet'!$E$9+1,1))</f>
        <v>384.44848355636935</v>
      </c>
      <c r="T13" s="60">
        <f t="shared" si="34"/>
        <v>203.5274665601915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0">
        <f t="shared" si="5"/>
        <v>307.37677663358653</v>
      </c>
      <c r="AN13" s="60">
        <f ca="1">AVERAGE(OFFSET($AM$3,0,0,'Données projet'!$E$10+1,1))-AVERAGE(OFFSET($H$3,0,0,'Données projet'!$E$10+1,1))</f>
        <v>303.73499739059076</v>
      </c>
      <c r="AO13" s="60">
        <f t="shared" si="36"/>
        <v>172.32171001882188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7.1974687550554899</v>
      </c>
      <c r="BF13" s="14">
        <f t="shared" si="37"/>
        <v>2.6360650660630816</v>
      </c>
      <c r="BG13" s="22">
        <f t="shared" si="7"/>
        <v>17.126738071781514</v>
      </c>
      <c r="BH13" s="60">
        <f t="shared" si="8"/>
        <v>310.46007140511483</v>
      </c>
      <c r="BI13" s="60">
        <f ca="1">AVERAGE(OFFSET($BH$3,0,0,'Données projet'!$E$11+1,1))-AVERAGE(OFFSET($H$3,0,0,'Données projet'!$E$11+1,1))</f>
        <v>352.29660374042186</v>
      </c>
      <c r="BJ13" s="60">
        <f t="shared" si="38"/>
        <v>187.26439695305618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5.4593759643387862</v>
      </c>
      <c r="CA13" s="14">
        <f t="shared" si="39"/>
        <v>2.0648648084962673</v>
      </c>
      <c r="CB13" s="22">
        <f t="shared" si="10"/>
        <v>13.104719346021051</v>
      </c>
      <c r="CC13" s="60">
        <f t="shared" si="11"/>
        <v>306.43805267935437</v>
      </c>
      <c r="CD13" s="60">
        <f ca="1">AVERAGE(OFFSET($CC$3,0,0,'Données projet'!$E$12+1,1))-AVERAGE(OFFSET($H$3,0,0,'Données projet'!$E$12+1,1))</f>
        <v>277.03735509061545</v>
      </c>
      <c r="CE13" s="60">
        <f t="shared" si="40"/>
        <v>158.16416492761959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6.5714710681855761</v>
      </c>
      <c r="CV13" s="14">
        <f t="shared" si="41"/>
        <v>2.4324209676242781</v>
      </c>
      <c r="CW13" s="22">
        <f t="shared" si="13"/>
        <v>15.681778629035497</v>
      </c>
      <c r="CX13" s="60">
        <f t="shared" si="14"/>
        <v>309.01511196236879</v>
      </c>
      <c r="CY13" s="60">
        <f ca="1">AVERAGE(OFFSET($CX$3,0,0,'Données projet'!$E$13+1,1))-AVERAGE(OFFSET($H$3,0,0,'Données projet'!$E$13+1,1))</f>
        <v>350.3652766444938</v>
      </c>
      <c r="CZ13" s="60">
        <f t="shared" si="42"/>
        <v>197.04549436738586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>
        <f>VLOOKUP(A13,'Données projet'!$A$165:$I$185,2,0)</f>
        <v>19</v>
      </c>
      <c r="DM13" s="13">
        <f>VLOOKUP(A13,'Données projet'!$A$165:$I$185,9,0)</f>
        <v>1.9</v>
      </c>
      <c r="DN13" s="13">
        <f t="array" ref="DN13">INDEX(DM:DM,MIN(IF(ISNUMBER(DM13:DM209),ROW(DM13:DM209),"")))</f>
        <v>1.9</v>
      </c>
      <c r="DO13" s="13">
        <f>IF('Données projet'!$A$166&gt;35,DO12+DN13-DW12,IF(A13&lt;'Données projet'!$A$166,$DL$205^A13,IF(A13='Données projet'!$A$166,'Données projet'!$B$166,DO12+DN13-DW12)))</f>
        <v>19</v>
      </c>
      <c r="DP13" s="18">
        <f>DO13*VLOOKUP('Données projet'!$B$14,Paramètres!$A$1:$I$89,3,0)*VLOOKUP('Données projet'!$B$14,Paramètres!$A$1:$I$89,5,0)</f>
        <v>15.116400000000001</v>
      </c>
      <c r="DQ13" s="14">
        <f t="shared" si="43"/>
        <v>5.0782333044806913</v>
      </c>
      <c r="DR13" s="22">
        <f t="shared" si="16"/>
        <v>35.172319671970541</v>
      </c>
      <c r="DS13" s="60">
        <f t="shared" si="17"/>
        <v>328.50565300530388</v>
      </c>
      <c r="DT13" s="60">
        <f ca="1">AVERAGE(OFFSET($DS$3,0,0,'Données projet'!$E$14+1,1))-AVERAGE(OFFSET($H$3,0,0,'Données projet'!$E$14+1,1))</f>
        <v>382.01991140382955</v>
      </c>
      <c r="DU13" s="60">
        <f t="shared" si="44"/>
        <v>389.53897948144339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>
        <f>VLOOKUP(A13,'Données projet'!$A$191:$I$211,2,0)</f>
        <v>11</v>
      </c>
      <c r="EH13" s="13">
        <f>VLOOKUP(A13,'Données projet'!$A$191:$I$211,9,0)</f>
        <v>1.1000000000000001</v>
      </c>
      <c r="EI13" s="13">
        <f t="array" ref="EI13">INDEX(EH:EH,MIN(IF(ISNUMBER(EH13:EH209),ROW(EH13:EH209),"")))</f>
        <v>1.1000000000000001</v>
      </c>
      <c r="EJ13" s="13">
        <f>IF('Données projet'!$A$192&gt;35,EJ12+EI13-ER12,IF(A13&lt;'Données projet'!$A$192,$EG$205^A13,IF(A13='Données projet'!$A$192,'Données projet'!$B$192,EJ12+EI13-ER12)))</f>
        <v>11</v>
      </c>
      <c r="EK13" s="18">
        <f>EJ13*VLOOKUP('Données projet'!$B$15,Paramètres!$A$1:$I$89,3,0)*VLOOKUP('Données projet'!$B$15,Paramètres!$A$1:$I$89,5,0)</f>
        <v>8.7516000000000016</v>
      </c>
      <c r="EL13" s="14">
        <f t="shared" si="45"/>
        <v>3.1331453604025001</v>
      </c>
      <c r="EM13" s="22">
        <f t="shared" si="19"/>
        <v>20.699264836034356</v>
      </c>
      <c r="EN13" s="60">
        <f t="shared" si="20"/>
        <v>314.03259816936765</v>
      </c>
      <c r="EO13" s="60">
        <f ca="1">AVERAGE(OFFSET($EN$3,0,0,'Données projet'!$E$15+1,1))-AVERAGE(OFFSET($H$3,0,0,'Données projet'!$E$15+1,1))</f>
        <v>323.92137573760789</v>
      </c>
      <c r="EP13" s="60">
        <f t="shared" si="46"/>
        <v>389.53897948144339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2.4666666666666668</v>
      </c>
      <c r="FE13" s="13">
        <f>IF('Données projet'!$A$218&gt;35,FE12+FD13-FM12,IF(A13&lt;'Données projet'!$A$218,$FB$205^A13,IF(A13='Données projet'!$A$218,'Données projet'!$B$218,FE12+FD13-FM12)))</f>
        <v>11.103702468586782</v>
      </c>
      <c r="FF13" s="18">
        <f>FE13*VLOOKUP('Données projet'!$B$16,Paramètres!$A$1:$I$89,3,0)*VLOOKUP('Données projet'!$B$16,Paramètres!$A$1:$I$89,5,0)</f>
        <v>8.8341056840076444</v>
      </c>
      <c r="FG13" s="14">
        <f t="shared" si="47"/>
        <v>3.1592306185484516</v>
      </c>
      <c r="FH13" s="22">
        <f t="shared" si="22"/>
        <v>20.888394060285197</v>
      </c>
      <c r="FI13" s="60">
        <f t="shared" si="23"/>
        <v>314.22172739361849</v>
      </c>
      <c r="FJ13" s="60">
        <f ca="1">AVERAGE(OFFSET($FI$3,0,0,'Données projet'!$E$16+1,1))-AVERAGE(OFFSET($H$3,0,0,'Données projet'!$E$16+1,1))</f>
        <v>219.61164494001008</v>
      </c>
      <c r="FK13" s="60">
        <f t="shared" si="48"/>
        <v>219.59799863414111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3.4358974358974361</v>
      </c>
      <c r="FZ13" s="13">
        <f>IF('Données projet'!$A$244&gt;35,FZ12+FY13-GH12,IF(A13&lt;'Données projet'!$A$244,$FW$205^A13,IF(A13='Données projet'!$A$244,'Données projet'!$B$244,FZ12+FY13-GH12)))</f>
        <v>4.6887147848714186</v>
      </c>
      <c r="GA13" s="18">
        <f>FZ13*VLOOKUP('Données projet'!$B$17,Paramètres!$A$1:$I$89,3,0)*VLOOKUP('Données projet'!$B$17,Paramètres!$A$1:$I$89,5,0)</f>
        <v>2.194318519319824</v>
      </c>
      <c r="GB13" s="14">
        <f t="shared" si="49"/>
        <v>0.9228358380932653</v>
      </c>
      <c r="GC13" s="22">
        <f t="shared" si="25"/>
        <v>5.4290438391611309</v>
      </c>
      <c r="GD13" s="60">
        <f t="shared" si="26"/>
        <v>298.76237717249444</v>
      </c>
      <c r="GE13" s="60">
        <f ca="1">AVERAGE(OFFSET($GD$3,0,0,'Données projet'!$E$17+1,1))-AVERAGE(OFFSET($H$3,0,0,'Données projet'!$E$17+1,1))</f>
        <v>147.5699668214238</v>
      </c>
      <c r="GF13" s="60">
        <f t="shared" si="50"/>
        <v>70.653739864908346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>
        <f>VLOOKUP(A13,'Données projet'!$A$269:$I$289,2,0)</f>
        <v>62.668800000000005</v>
      </c>
      <c r="GS13" s="13">
        <f>VLOOKUP(A13,'Données projet'!$A$269:$I$289,9,0)</f>
        <v>26.112000000000009</v>
      </c>
      <c r="GT13" s="13">
        <f t="array" ref="GT13">INDEX(GS:GS,MIN(IF(ISNUMBER(GS13:GS209),ROW(GS13:GS209),"")))</f>
        <v>26.112000000000009</v>
      </c>
      <c r="GU13" s="13">
        <f>IF('Données projet'!$A$270&gt;35,GU12+GT13-HC12,IF(A13&lt;'Données projet'!$A$270,$GR$205^A13,IF(A13='Données projet'!$A$270,'Données projet'!$B$270,GU12+GT13-HC12)))</f>
        <v>62.668800000000005</v>
      </c>
      <c r="GV13" s="18">
        <f>GU13*VLOOKUP('Données projet'!$B$18,Paramètres!$A$1:$I$89,3,0)*VLOOKUP('Données projet'!$B$18,Paramètres!$A$1:$I$89,5,0)</f>
        <v>31.870844928000004</v>
      </c>
      <c r="GW13" s="14">
        <f t="shared" si="51"/>
        <v>9.8163634490601801</v>
      </c>
      <c r="GX13" s="22">
        <f t="shared" si="28"/>
        <v>72.605221256713165</v>
      </c>
      <c r="GY13" s="60">
        <f t="shared" si="29"/>
        <v>365.93855459004646</v>
      </c>
      <c r="GZ13" s="60">
        <f ca="1">AVERAGE(OFFSET($GY$3,0,0,'Données projet'!$E$18+1,1))-AVERAGE(OFFSET($H$3,0,0,'Données projet'!$E$18+1,1))</f>
        <v>136.03899433512379</v>
      </c>
      <c r="HA13" s="60">
        <f t="shared" si="52"/>
        <v>316.56646692826882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315.93011288122739</v>
      </c>
      <c r="S14" s="60">
        <f ca="1">AVERAGE(OFFSET($R$3,0,0,'Données projet'!$E$9+1,1))-AVERAGE(OFFSET($H$3,0,0,'Données projet'!$E$9+1,1))</f>
        <v>384.44848355636935</v>
      </c>
      <c r="T14" s="60">
        <f t="shared" si="34"/>
        <v>203.5274665601915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0">
        <f t="shared" si="5"/>
        <v>310.1631503249921</v>
      </c>
      <c r="AN14" s="60">
        <f ca="1">AVERAGE(OFFSET($AM$3,0,0,'Données projet'!$E$10+1,1))-AVERAGE(OFFSET($H$3,0,0,'Données projet'!$E$10+1,1))</f>
        <v>303.73499739059076</v>
      </c>
      <c r="AO14" s="60">
        <f t="shared" si="36"/>
        <v>172.32171001882188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8.9196113451330703</v>
      </c>
      <c r="BF14" s="14">
        <f t="shared" si="37"/>
        <v>3.186234455512118</v>
      </c>
      <c r="BG14" s="22">
        <f t="shared" si="7"/>
        <v>21.084348102790369</v>
      </c>
      <c r="BH14" s="60">
        <f t="shared" si="8"/>
        <v>314.4176814361237</v>
      </c>
      <c r="BI14" s="60">
        <f ca="1">AVERAGE(OFFSET($BH$3,0,0,'Données projet'!$E$11+1,1))-AVERAGE(OFFSET($H$3,0,0,'Données projet'!$E$11+1,1))</f>
        <v>352.29660374042186</v>
      </c>
      <c r="BJ14" s="60">
        <f t="shared" si="38"/>
        <v>187.26439695305618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6.5812057411986977</v>
      </c>
      <c r="CA14" s="14">
        <f t="shared" si="39"/>
        <v>2.4356045477877388</v>
      </c>
      <c r="CB14" s="22">
        <f t="shared" si="10"/>
        <v>15.70427791998471</v>
      </c>
      <c r="CC14" s="60">
        <f t="shared" si="11"/>
        <v>309.037611253318</v>
      </c>
      <c r="CD14" s="60">
        <f ca="1">AVERAGE(OFFSET($CC$3,0,0,'Données projet'!$E$12+1,1))-AVERAGE(OFFSET($H$3,0,0,'Données projet'!$E$12+1,1))</f>
        <v>277.03735509061545</v>
      </c>
      <c r="CE14" s="60">
        <f t="shared" si="40"/>
        <v>158.16416492761959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7.921821725516951</v>
      </c>
      <c r="CV14" s="14">
        <f t="shared" si="41"/>
        <v>2.869154216054651</v>
      </c>
      <c r="CW14" s="22">
        <f t="shared" si="13"/>
        <v>18.794283098237205</v>
      </c>
      <c r="CX14" s="60">
        <f t="shared" si="14"/>
        <v>312.12761643157052</v>
      </c>
      <c r="CY14" s="60">
        <f ca="1">AVERAGE(OFFSET($CX$3,0,0,'Données projet'!$E$13+1,1))-AVERAGE(OFFSET($H$3,0,0,'Données projet'!$E$13+1,1))</f>
        <v>350.3652766444938</v>
      </c>
      <c r="CZ14" s="60">
        <f t="shared" si="42"/>
        <v>197.04549436738586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23</v>
      </c>
      <c r="DO14" s="13">
        <f>IF('Données projet'!$A$166&gt;35,DO13+DN14-DW13,IF(A14&lt;'Données projet'!$A$166,$DL$205^A14,IF(A14='Données projet'!$A$166,'Données projet'!$B$166,DO13+DN14-DW13)))</f>
        <v>42</v>
      </c>
      <c r="DP14" s="18">
        <f>DO14*VLOOKUP('Données projet'!$B$14,Paramètres!$A$1:$I$89,3,0)*VLOOKUP('Données projet'!$B$14,Paramètres!$A$1:$I$89,5,0)</f>
        <v>33.415200000000006</v>
      </c>
      <c r="DQ14" s="14">
        <f t="shared" si="43"/>
        <v>10.235499480235138</v>
      </c>
      <c r="DR14" s="22">
        <f t="shared" si="16"/>
        <v>76.024968261409541</v>
      </c>
      <c r="DS14" s="60">
        <f t="shared" si="17"/>
        <v>369.35830159474284</v>
      </c>
      <c r="DT14" s="60">
        <f ca="1">AVERAGE(OFFSET($DS$3,0,0,'Données projet'!$E$14+1,1))-AVERAGE(OFFSET($H$3,0,0,'Données projet'!$E$14+1,1))</f>
        <v>382.01991140382955</v>
      </c>
      <c r="DU14" s="60">
        <f t="shared" si="44"/>
        <v>389.53897948144339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17.2</v>
      </c>
      <c r="EJ14" s="13">
        <f>IF('Données projet'!$A$192&gt;35,EJ13+EI14-ER13,IF(A14&lt;'Données projet'!$A$192,$EG$205^A14,IF(A14='Données projet'!$A$192,'Données projet'!$B$192,EJ13+EI14-ER13)))</f>
        <v>28.2</v>
      </c>
      <c r="EK14" s="18">
        <f>EJ14*VLOOKUP('Données projet'!$B$15,Paramètres!$A$1:$I$89,3,0)*VLOOKUP('Données projet'!$B$15,Paramètres!$A$1:$I$89,5,0)</f>
        <v>22.435919999999999</v>
      </c>
      <c r="EL14" s="14">
        <f t="shared" si="45"/>
        <v>7.1985674727914821</v>
      </c>
      <c r="EM14" s="22">
        <f t="shared" si="19"/>
        <v>51.613399015111831</v>
      </c>
      <c r="EN14" s="60">
        <f t="shared" si="20"/>
        <v>344.94673234844515</v>
      </c>
      <c r="EO14" s="60">
        <f ca="1">AVERAGE(OFFSET($EN$3,0,0,'Données projet'!$E$15+1,1))-AVERAGE(OFFSET($H$3,0,0,'Données projet'!$E$15+1,1))</f>
        <v>323.92137573760789</v>
      </c>
      <c r="EP14" s="60">
        <f t="shared" si="46"/>
        <v>389.53897948144339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2.4666666666666668</v>
      </c>
      <c r="FE14" s="13">
        <f>IF('Données projet'!$A$218&gt;35,FE13+FD14-FM13,IF(A14&lt;'Données projet'!$A$218,$FB$205^A14,IF(A14='Données projet'!$A$218,'Données projet'!$B$218,FE13+FD14-FM13)))</f>
        <v>14.125850240977657</v>
      </c>
      <c r="FF14" s="18">
        <f>FE14*VLOOKUP('Données projet'!$B$16,Paramètres!$A$1:$I$89,3,0)*VLOOKUP('Données projet'!$B$16,Paramètres!$A$1:$I$89,5,0)</f>
        <v>11.238526451721825</v>
      </c>
      <c r="FG14" s="14">
        <f t="shared" si="47"/>
        <v>3.9080387928425129</v>
      </c>
      <c r="FH14" s="22">
        <f t="shared" si="22"/>
        <v>26.380267800949554</v>
      </c>
      <c r="FI14" s="60">
        <f t="shared" si="23"/>
        <v>319.71360113428284</v>
      </c>
      <c r="FJ14" s="60">
        <f ca="1">AVERAGE(OFFSET($FI$3,0,0,'Données projet'!$E$16+1,1))-AVERAGE(OFFSET($H$3,0,0,'Données projet'!$E$16+1,1))</f>
        <v>219.61164494001008</v>
      </c>
      <c r="FK14" s="60">
        <f t="shared" si="48"/>
        <v>219.59799863414111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3.4358974358974361</v>
      </c>
      <c r="FZ14" s="13">
        <f>IF('Données projet'!$A$244&gt;35,FZ13+FY14-GH13,IF(A14&lt;'Données projet'!$A$244,$FW$205^A14,IF(A14='Données projet'!$A$244,'Données projet'!$B$244,FZ13+FY14-GH13)))</f>
        <v>5.472165162174039</v>
      </c>
      <c r="GA14" s="18">
        <f>FZ14*VLOOKUP('Données projet'!$B$17,Paramètres!$A$1:$I$89,3,0)*VLOOKUP('Données projet'!$B$17,Paramètres!$A$1:$I$89,5,0)</f>
        <v>2.5609732958974503</v>
      </c>
      <c r="GB14" s="14">
        <f t="shared" si="49"/>
        <v>1.0578370334547251</v>
      </c>
      <c r="GC14" s="22">
        <f t="shared" si="25"/>
        <v>6.3027613236217057</v>
      </c>
      <c r="GD14" s="60">
        <f t="shared" si="26"/>
        <v>299.63609465695504</v>
      </c>
      <c r="GE14" s="60">
        <f ca="1">AVERAGE(OFFSET($GD$3,0,0,'Données projet'!$E$17+1,1))-AVERAGE(OFFSET($H$3,0,0,'Données projet'!$E$17+1,1))</f>
        <v>147.5699668214238</v>
      </c>
      <c r="GF14" s="60">
        <f t="shared" si="50"/>
        <v>70.653739864908346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>
        <f>VLOOKUP(A14,'Données projet'!$A$269:$I$289,2,0)</f>
        <v>86.169599999999988</v>
      </c>
      <c r="GS14" s="13">
        <f>VLOOKUP(A14,'Données projet'!$A$269:$I$289,9,0)</f>
        <v>23.500799999999984</v>
      </c>
      <c r="GT14" s="13">
        <f t="array" ref="GT14">INDEX(GS:GS,MIN(IF(ISNUMBER(GS14:GS210),ROW(GS14:GS210),"")))</f>
        <v>23.500799999999984</v>
      </c>
      <c r="GU14" s="13">
        <f>IF('Données projet'!$A$270&gt;35,GU13+GT14-HC13,IF(A14&lt;'Données projet'!$A$270,$GR$205^A14,IF(A14='Données projet'!$A$270,'Données projet'!$B$270,GU13+GT14-HC13)))</f>
        <v>86.169599999999988</v>
      </c>
      <c r="GV14" s="18">
        <f>GU14*VLOOKUP('Données projet'!$B$18,Paramètres!$A$1:$I$89,3,0)*VLOOKUP('Données projet'!$B$18,Paramètres!$A$1:$I$89,5,0)</f>
        <v>43.822411775999996</v>
      </c>
      <c r="GW14" s="14">
        <f t="shared" si="51"/>
        <v>13.00633374188895</v>
      </c>
      <c r="GX14" s="22">
        <f t="shared" si="28"/>
        <v>98.976731776989922</v>
      </c>
      <c r="GY14" s="60">
        <f t="shared" si="29"/>
        <v>392.31006511032325</v>
      </c>
      <c r="GZ14" s="60">
        <f ca="1">AVERAGE(OFFSET($GY$3,0,0,'Données projet'!$E$18+1,1))-AVERAGE(OFFSET($H$3,0,0,'Données projet'!$E$18+1,1))</f>
        <v>136.03899433512379</v>
      </c>
      <c r="HA14" s="60">
        <f t="shared" si="52"/>
        <v>316.56646692826882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321.15620406350808</v>
      </c>
      <c r="S15" s="60">
        <f ca="1">AVERAGE(OFFSET($R$3,0,0,'Données projet'!$E$9+1,1))-AVERAGE(OFFSET($H$3,0,0,'Données projet'!$E$9+1,1))</f>
        <v>384.44848355636935</v>
      </c>
      <c r="T15" s="60">
        <f t="shared" si="34"/>
        <v>203.5274665601915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0">
        <f t="shared" si="5"/>
        <v>313.50424573777804</v>
      </c>
      <c r="AN15" s="60">
        <f ca="1">AVERAGE(OFFSET($AM$3,0,0,'Données projet'!$E$10+1,1))-AVERAGE(OFFSET($H$3,0,0,'Données projet'!$E$10+1,1))</f>
        <v>303.73499739059076</v>
      </c>
      <c r="AO15" s="60">
        <f t="shared" si="36"/>
        <v>172.32171001882188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11.053812007498347</v>
      </c>
      <c r="BF15" s="14">
        <f t="shared" si="37"/>
        <v>3.8512289154738402</v>
      </c>
      <c r="BG15" s="22">
        <f t="shared" si="7"/>
        <v>25.959612940843225</v>
      </c>
      <c r="BH15" s="60">
        <f t="shared" si="8"/>
        <v>319.29294627417653</v>
      </c>
      <c r="BI15" s="60">
        <f ca="1">AVERAGE(OFFSET($BH$3,0,0,'Données projet'!$E$11+1,1))-AVERAGE(OFFSET($H$3,0,0,'Données projet'!$E$11+1,1))</f>
        <v>352.29660374042186</v>
      </c>
      <c r="BJ15" s="60">
        <f t="shared" si="38"/>
        <v>187.26439695305618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7.9335567454791462</v>
      </c>
      <c r="CA15" s="14">
        <f t="shared" si="39"/>
        <v>2.8729093976493338</v>
      </c>
      <c r="CB15" s="22">
        <f t="shared" si="10"/>
        <v>18.82126186594877</v>
      </c>
      <c r="CC15" s="60">
        <f t="shared" si="11"/>
        <v>312.15459519928208</v>
      </c>
      <c r="CD15" s="60">
        <f ca="1">AVERAGE(OFFSET($CC$3,0,0,'Données projet'!$E$12+1,1))-AVERAGE(OFFSET($H$3,0,0,'Données projet'!$E$12+1,1))</f>
        <v>277.03735509061545</v>
      </c>
      <c r="CE15" s="60">
        <f t="shared" si="40"/>
        <v>158.16416492761959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9.5496516380767513</v>
      </c>
      <c r="CV15" s="14">
        <f t="shared" si="41"/>
        <v>3.3843014943027487</v>
      </c>
      <c r="CW15" s="22">
        <f t="shared" si="13"/>
        <v>22.526635038894295</v>
      </c>
      <c r="CX15" s="60">
        <f t="shared" si="14"/>
        <v>315.85996837222763</v>
      </c>
      <c r="CY15" s="60">
        <f ca="1">AVERAGE(OFFSET($CX$3,0,0,'Données projet'!$E$13+1,1))-AVERAGE(OFFSET($H$3,0,0,'Données projet'!$E$13+1,1))</f>
        <v>350.3652766444938</v>
      </c>
      <c r="CZ15" s="60">
        <f t="shared" si="42"/>
        <v>197.04549436738586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23</v>
      </c>
      <c r="DO15" s="13">
        <f>IF('Données projet'!$A$166&gt;35,DO14+DN15-DW14,IF(A15&lt;'Données projet'!$A$166,$DL$205^A15,IF(A15='Données projet'!$A$166,'Données projet'!$B$166,DO14+DN15-DW14)))</f>
        <v>65</v>
      </c>
      <c r="DP15" s="18">
        <f>DO15*VLOOKUP('Données projet'!$B$14,Paramètres!$A$1:$I$89,3,0)*VLOOKUP('Données projet'!$B$14,Paramètres!$A$1:$I$89,5,0)</f>
        <v>51.713999999999999</v>
      </c>
      <c r="DQ15" s="14">
        <f t="shared" si="43"/>
        <v>15.055535578337075</v>
      </c>
      <c r="DR15" s="22">
        <f t="shared" si="16"/>
        <v>116.29027446560372</v>
      </c>
      <c r="DS15" s="60">
        <f t="shared" si="17"/>
        <v>409.62360779893703</v>
      </c>
      <c r="DT15" s="60">
        <f ca="1">AVERAGE(OFFSET($DS$3,0,0,'Données projet'!$E$14+1,1))-AVERAGE(OFFSET($H$3,0,0,'Données projet'!$E$14+1,1))</f>
        <v>382.01991140382955</v>
      </c>
      <c r="DU15" s="60">
        <f t="shared" si="44"/>
        <v>389.53897948144339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17.2</v>
      </c>
      <c r="EJ15" s="13">
        <f>IF('Données projet'!$A$192&gt;35,EJ14+EI15-ER14,IF(A15&lt;'Données projet'!$A$192,$EG$205^A15,IF(A15='Données projet'!$A$192,'Données projet'!$B$192,EJ14+EI15-ER14)))</f>
        <v>45.4</v>
      </c>
      <c r="EK15" s="18">
        <f>EJ15*VLOOKUP('Données projet'!$B$15,Paramètres!$A$1:$I$89,3,0)*VLOOKUP('Données projet'!$B$15,Paramètres!$A$1:$I$89,5,0)</f>
        <v>36.120240000000003</v>
      </c>
      <c r="EL15" s="14">
        <f t="shared" si="45"/>
        <v>10.964290133009456</v>
      </c>
      <c r="EM15" s="22">
        <f t="shared" si="19"/>
        <v>82.005556648324799</v>
      </c>
      <c r="EN15" s="60">
        <f t="shared" si="20"/>
        <v>375.3388899816581</v>
      </c>
      <c r="EO15" s="60">
        <f ca="1">AVERAGE(OFFSET($EN$3,0,0,'Données projet'!$E$15+1,1))-AVERAGE(OFFSET($H$3,0,0,'Données projet'!$E$15+1,1))</f>
        <v>323.92137573760789</v>
      </c>
      <c r="EP15" s="60">
        <f t="shared" si="46"/>
        <v>389.53897948144339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2.4666666666666668</v>
      </c>
      <c r="FE15" s="13">
        <f>IF('Données projet'!$A$218&gt;35,FE14+FD15-FM14,IF(A15&lt;'Données projet'!$A$218,$FB$205^A15,IF(A15='Données projet'!$A$218,'Données projet'!$B$218,FE14+FD15-FM14)))</f>
        <v>17.970550417308221</v>
      </c>
      <c r="FF15" s="18">
        <f>FE15*VLOOKUP('Données projet'!$B$16,Paramètres!$A$1:$I$89,3,0)*VLOOKUP('Données projet'!$B$16,Paramètres!$A$1:$I$89,5,0)</f>
        <v>14.297369912010421</v>
      </c>
      <c r="FG15" s="14">
        <f t="shared" si="47"/>
        <v>4.8343312187127445</v>
      </c>
      <c r="FH15" s="22">
        <f t="shared" si="22"/>
        <v>33.321046136009507</v>
      </c>
      <c r="FI15" s="60">
        <f t="shared" si="23"/>
        <v>326.65437946934281</v>
      </c>
      <c r="FJ15" s="60">
        <f ca="1">AVERAGE(OFFSET($FI$3,0,0,'Données projet'!$E$16+1,1))-AVERAGE(OFFSET($H$3,0,0,'Données projet'!$E$16+1,1))</f>
        <v>219.61164494001008</v>
      </c>
      <c r="FK15" s="60">
        <f t="shared" si="48"/>
        <v>219.59799863414111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3.4358974358974361</v>
      </c>
      <c r="FZ15" s="13">
        <f>IF('Données projet'!$A$244&gt;35,FZ14+FY15-GH14,IF(A15&lt;'Données projet'!$A$244,$FW$205^A15,IF(A15='Données projet'!$A$244,'Données projet'!$B$244,FZ14+FY15-GH14)))</f>
        <v>6.3865244392195226</v>
      </c>
      <c r="GA15" s="18">
        <f>FZ15*VLOOKUP('Données projet'!$B$17,Paramètres!$A$1:$I$89,3,0)*VLOOKUP('Données projet'!$B$17,Paramètres!$A$1:$I$89,5,0)</f>
        <v>2.9888934375547365</v>
      </c>
      <c r="GB15" s="14">
        <f t="shared" si="49"/>
        <v>1.2125874864812094</v>
      </c>
      <c r="GC15" s="22">
        <f t="shared" si="25"/>
        <v>7.3175792760292708</v>
      </c>
      <c r="GD15" s="60">
        <f t="shared" si="26"/>
        <v>300.65091260936259</v>
      </c>
      <c r="GE15" s="60">
        <f ca="1">AVERAGE(OFFSET($GD$3,0,0,'Données projet'!$E$17+1,1))-AVERAGE(OFFSET($H$3,0,0,'Données projet'!$E$17+1,1))</f>
        <v>147.5699668214238</v>
      </c>
      <c r="GF15" s="60">
        <f t="shared" si="50"/>
        <v>70.653739864908346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>
        <f>VLOOKUP(A15,'Données projet'!$A$269:$I$289,2,0)</f>
        <v>112.2816</v>
      </c>
      <c r="GS15" s="13">
        <f>VLOOKUP(A15,'Données projet'!$A$269:$I$289,9,0)</f>
        <v>26.112000000000009</v>
      </c>
      <c r="GT15" s="13">
        <f t="array" ref="GT15">INDEX(GS:GS,MIN(IF(ISNUMBER(GS15:GS211),ROW(GS15:GS211),"")))</f>
        <v>26.112000000000009</v>
      </c>
      <c r="GU15" s="13">
        <f>IF('Données projet'!$A$270&gt;35,GU14+GT15-HC14,IF(A15&lt;'Données projet'!$A$270,$GR$205^A15,IF(A15='Données projet'!$A$270,'Données projet'!$B$270,GU14+GT15-HC14)))</f>
        <v>112.2816</v>
      </c>
      <c r="GV15" s="18">
        <f>GU15*VLOOKUP('Données projet'!$B$18,Paramètres!$A$1:$I$89,3,0)*VLOOKUP('Données projet'!$B$18,Paramètres!$A$1:$I$89,5,0)</f>
        <v>57.101930495999994</v>
      </c>
      <c r="GW15" s="14">
        <f t="shared" si="51"/>
        <v>16.433448338506064</v>
      </c>
      <c r="GX15" s="22">
        <f t="shared" si="28"/>
        <v>128.07411813676472</v>
      </c>
      <c r="GY15" s="60">
        <f t="shared" si="29"/>
        <v>421.40745147009807</v>
      </c>
      <c r="GZ15" s="60">
        <f ca="1">AVERAGE(OFFSET($GY$3,0,0,'Données projet'!$E$18+1,1))-AVERAGE(OFFSET($H$3,0,0,'Données projet'!$E$18+1,1))</f>
        <v>136.03899433512379</v>
      </c>
      <c r="HA15" s="60">
        <f t="shared" si="52"/>
        <v>316.56646692826882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327.59504121177019</v>
      </c>
      <c r="S16" s="60">
        <f ca="1">AVERAGE(OFFSET($R$3,0,0,'Données projet'!$E$9+1,1))-AVERAGE(OFFSET($H$3,0,0,'Données projet'!$E$9+1,1))</f>
        <v>384.44848355636935</v>
      </c>
      <c r="T16" s="60">
        <f t="shared" si="34"/>
        <v>203.5274665601915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0">
        <f t="shared" si="5"/>
        <v>317.51084751837828</v>
      </c>
      <c r="AN16" s="60">
        <f ca="1">AVERAGE(OFFSET($AM$3,0,0,'Données projet'!$E$10+1,1))-AVERAGE(OFFSET($H$3,0,0,'Données projet'!$E$10+1,1))</f>
        <v>303.73499739059076</v>
      </c>
      <c r="AO16" s="60">
        <f t="shared" si="36"/>
        <v>172.32171001882188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13.698664119909786</v>
      </c>
      <c r="BF16" s="14">
        <f t="shared" si="37"/>
        <v>4.6550134230463893</v>
      </c>
      <c r="BG16" s="22">
        <f t="shared" si="7"/>
        <v>31.965988387315338</v>
      </c>
      <c r="BH16" s="60">
        <f t="shared" si="8"/>
        <v>325.29932172064866</v>
      </c>
      <c r="BI16" s="60">
        <f ca="1">AVERAGE(OFFSET($BH$3,0,0,'Données projet'!$E$11+1,1))-AVERAGE(OFFSET($H$3,0,0,'Données projet'!$E$11+1,1))</f>
        <v>352.29660374042186</v>
      </c>
      <c r="BJ16" s="60">
        <f t="shared" si="38"/>
        <v>187.26439695305618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9.5637980499107691</v>
      </c>
      <c r="CA16" s="14">
        <f t="shared" si="39"/>
        <v>3.3887309065006521</v>
      </c>
      <c r="CB16" s="22">
        <f t="shared" si="10"/>
        <v>22.558987932416557</v>
      </c>
      <c r="CC16" s="60">
        <f t="shared" si="11"/>
        <v>315.89232126574984</v>
      </c>
      <c r="CD16" s="60">
        <f ca="1">AVERAGE(OFFSET($CC$3,0,0,'Données projet'!$E$12+1,1))-AVERAGE(OFFSET($H$3,0,0,'Données projet'!$E$12+1,1))</f>
        <v>277.03735509061545</v>
      </c>
      <c r="CE16" s="60">
        <f t="shared" si="40"/>
        <v>158.16416492761959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11.511979134151852</v>
      </c>
      <c r="CV16" s="14">
        <f t="shared" si="41"/>
        <v>3.9919417855793822</v>
      </c>
      <c r="CW16" s="22">
        <f t="shared" si="13"/>
        <v>27.002662268531896</v>
      </c>
      <c r="CX16" s="60">
        <f t="shared" si="14"/>
        <v>320.33599560186519</v>
      </c>
      <c r="CY16" s="60">
        <f ca="1">AVERAGE(OFFSET($CX$3,0,0,'Données projet'!$E$13+1,1))-AVERAGE(OFFSET($H$3,0,0,'Données projet'!$E$13+1,1))</f>
        <v>350.3652766444938</v>
      </c>
      <c r="CZ16" s="60">
        <f t="shared" si="42"/>
        <v>197.04549436738586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23</v>
      </c>
      <c r="DO16" s="13">
        <f>IF('Données projet'!$A$166&gt;35,DO15+DN16-DW15,IF(A16&lt;'Données projet'!$A$166,$DL$205^A16,IF(A16='Données projet'!$A$166,'Données projet'!$B$166,DO15+DN16-DW15)))</f>
        <v>88</v>
      </c>
      <c r="DP16" s="18">
        <f>DO16*VLOOKUP('Données projet'!$B$14,Paramètres!$A$1:$I$89,3,0)*VLOOKUP('Données projet'!$B$14,Paramètres!$A$1:$I$89,5,0)</f>
        <v>70.012800000000013</v>
      </c>
      <c r="DQ16" s="14">
        <f t="shared" si="43"/>
        <v>19.676636228681488</v>
      </c>
      <c r="DR16" s="22">
        <f t="shared" si="16"/>
        <v>156.20910143162027</v>
      </c>
      <c r="DS16" s="60">
        <f t="shared" si="17"/>
        <v>449.54243476495355</v>
      </c>
      <c r="DT16" s="60">
        <f ca="1">AVERAGE(OFFSET($DS$3,0,0,'Données projet'!$E$14+1,1))-AVERAGE(OFFSET($H$3,0,0,'Données projet'!$E$14+1,1))</f>
        <v>382.01991140382955</v>
      </c>
      <c r="DU16" s="60">
        <f t="shared" si="44"/>
        <v>389.53897948144339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17.2</v>
      </c>
      <c r="EJ16" s="13">
        <f>IF('Données projet'!$A$192&gt;35,EJ15+EI16-ER15,IF(A16&lt;'Données projet'!$A$192,$EG$205^A16,IF(A16='Données projet'!$A$192,'Données projet'!$B$192,EJ15+EI16-ER15)))</f>
        <v>62.599999999999994</v>
      </c>
      <c r="EK16" s="18">
        <f>EJ16*VLOOKUP('Données projet'!$B$15,Paramètres!$A$1:$I$89,3,0)*VLOOKUP('Données projet'!$B$15,Paramètres!$A$1:$I$89,5,0)</f>
        <v>49.804560000000002</v>
      </c>
      <c r="EL16" s="14">
        <f t="shared" si="45"/>
        <v>14.563274932183104</v>
      </c>
      <c r="EM16" s="22">
        <f t="shared" si="19"/>
        <v>112.10731250688555</v>
      </c>
      <c r="EN16" s="60">
        <f t="shared" si="20"/>
        <v>405.44064584021885</v>
      </c>
      <c r="EO16" s="60">
        <f ca="1">AVERAGE(OFFSET($EN$3,0,0,'Données projet'!$E$15+1,1))-AVERAGE(OFFSET($H$3,0,0,'Données projet'!$E$15+1,1))</f>
        <v>323.92137573760789</v>
      </c>
      <c r="EP16" s="60">
        <f t="shared" si="46"/>
        <v>389.53897948144339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2.4666666666666668</v>
      </c>
      <c r="FE16" s="13">
        <f>IF('Données projet'!$A$218&gt;35,FE15+FD16-FM15,IF(A16&lt;'Données projet'!$A$218,$FB$205^A16,IF(A16='Données projet'!$A$218,'Données projet'!$B$218,FE15+FD16-FM15)))</f>
        <v>22.86168101684942</v>
      </c>
      <c r="FF16" s="18">
        <f>FE16*VLOOKUP('Données projet'!$B$16,Paramètres!$A$1:$I$89,3,0)*VLOOKUP('Données projet'!$B$16,Paramètres!$A$1:$I$89,5,0)</f>
        <v>18.188753417005401</v>
      </c>
      <c r="FG16" s="14">
        <f t="shared" si="47"/>
        <v>5.9801756254374139</v>
      </c>
      <c r="FH16" s="22">
        <f t="shared" si="22"/>
        <v>42.094218082254564</v>
      </c>
      <c r="FI16" s="60">
        <f t="shared" si="23"/>
        <v>335.42755141558786</v>
      </c>
      <c r="FJ16" s="60">
        <f ca="1">AVERAGE(OFFSET($FI$3,0,0,'Données projet'!$E$16+1,1))-AVERAGE(OFFSET($H$3,0,0,'Données projet'!$E$16+1,1))</f>
        <v>219.61164494001008</v>
      </c>
      <c r="FK16" s="60">
        <f t="shared" si="48"/>
        <v>219.59799863414111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3.4358974358974361</v>
      </c>
      <c r="FZ16" s="13">
        <f>IF('Données projet'!$A$244&gt;35,FZ15+FY16-GH15,IF(A16&lt;'Données projet'!$A$244,$FW$205^A16,IF(A16='Données projet'!$A$244,'Données projet'!$B$244,FZ15+FY16-GH15)))</f>
        <v>7.4536665476931043</v>
      </c>
      <c r="GA16" s="18">
        <f>FZ16*VLOOKUP('Données projet'!$B$17,Paramètres!$A$1:$I$89,3,0)*VLOOKUP('Données projet'!$B$17,Paramètres!$A$1:$I$89,5,0)</f>
        <v>3.4883159443203726</v>
      </c>
      <c r="GB16" s="14">
        <f t="shared" si="49"/>
        <v>1.3899763062452366</v>
      </c>
      <c r="GC16" s="22">
        <f t="shared" si="25"/>
        <v>8.4963590030684362</v>
      </c>
      <c r="GD16" s="60">
        <f t="shared" si="26"/>
        <v>301.82969233640176</v>
      </c>
      <c r="GE16" s="60">
        <f ca="1">AVERAGE(OFFSET($GD$3,0,0,'Données projet'!$E$17+1,1))-AVERAGE(OFFSET($H$3,0,0,'Données projet'!$E$17+1,1))</f>
        <v>147.5699668214238</v>
      </c>
      <c r="GF16" s="60">
        <f t="shared" si="50"/>
        <v>70.653739864908346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>
        <f>VLOOKUP(A16,'Données projet'!$A$269:$I$289,2,0)</f>
        <v>138.39360000000002</v>
      </c>
      <c r="GS16" s="13">
        <f>VLOOKUP(A16,'Données projet'!$A$269:$I$289,9,0)</f>
        <v>26.112000000000023</v>
      </c>
      <c r="GT16" s="13">
        <f t="array" ref="GT16">INDEX(GS:GS,MIN(IF(ISNUMBER(GS16:GS212),ROW(GS16:GS212),"")))</f>
        <v>26.112000000000023</v>
      </c>
      <c r="GU16" s="13">
        <f>IF('Données projet'!$A$270&gt;35,GU15+GT16-HC15,IF(A16&lt;'Données projet'!$A$270,$GR$205^A16,IF(A16='Données projet'!$A$270,'Données projet'!$B$270,GU15+GT16-HC15)))</f>
        <v>138.39360000000002</v>
      </c>
      <c r="GV16" s="18">
        <f>GU16*VLOOKUP('Données projet'!$B$18,Paramètres!$A$1:$I$89,3,0)*VLOOKUP('Données projet'!$B$18,Paramètres!$A$1:$I$89,5,0)</f>
        <v>70.381449216000007</v>
      </c>
      <c r="GW16" s="14">
        <f t="shared" si="51"/>
        <v>19.768154873871168</v>
      </c>
      <c r="GX16" s="22">
        <f t="shared" si="28"/>
        <v>157.01056045652561</v>
      </c>
      <c r="GY16" s="60">
        <f t="shared" si="29"/>
        <v>450.34389378985895</v>
      </c>
      <c r="GZ16" s="60">
        <f ca="1">AVERAGE(OFFSET($GY$3,0,0,'Données projet'!$E$18+1,1))-AVERAGE(OFFSET($H$3,0,0,'Données projet'!$E$18+1,1))</f>
        <v>136.03899433512379</v>
      </c>
      <c r="HA16" s="60">
        <f t="shared" si="52"/>
        <v>316.56646692826882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335.52892963000164</v>
      </c>
      <c r="S17" s="60">
        <f ca="1">AVERAGE(OFFSET($R$3,0,0,'Données projet'!$E$9+1,1))-AVERAGE(OFFSET($H$3,0,0,'Données projet'!$E$9+1,1))</f>
        <v>384.44848355636935</v>
      </c>
      <c r="T17" s="60">
        <f t="shared" si="34"/>
        <v>203.5274665601915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0">
        <f t="shared" si="5"/>
        <v>322.31592994573543</v>
      </c>
      <c r="AN17" s="60">
        <f ca="1">AVERAGE(OFFSET($AM$3,0,0,'Données projet'!$E$10+1,1))-AVERAGE(OFFSET($H$3,0,0,'Données projet'!$E$10+1,1))</f>
        <v>303.73499739059076</v>
      </c>
      <c r="AO17" s="60">
        <f t="shared" si="36"/>
        <v>172.32171001882188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16.976351555717539</v>
      </c>
      <c r="BF17" s="14">
        <f t="shared" si="37"/>
        <v>5.6265546516016363</v>
      </c>
      <c r="BG17" s="22">
        <f t="shared" si="7"/>
        <v>39.366728311080898</v>
      </c>
      <c r="BH17" s="60">
        <f t="shared" si="8"/>
        <v>332.70006164441423</v>
      </c>
      <c r="BI17" s="60">
        <f ca="1">AVERAGE(OFFSET($BH$3,0,0,'Données projet'!$E$11+1,1))-AVERAGE(OFFSET($H$3,0,0,'Données projet'!$E$11+1,1))</f>
        <v>352.29660374042186</v>
      </c>
      <c r="BJ17" s="60">
        <f t="shared" si="38"/>
        <v>187.26439695305618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11.529032447092296</v>
      </c>
      <c r="CA17" s="14">
        <f t="shared" si="39"/>
        <v>3.9971664842854926</v>
      </c>
      <c r="CB17" s="22">
        <f t="shared" si="10"/>
        <v>27.041463138816312</v>
      </c>
      <c r="CC17" s="60">
        <f t="shared" si="11"/>
        <v>320.37479647214963</v>
      </c>
      <c r="CD17" s="60">
        <f ca="1">AVERAGE(OFFSET($CC$3,0,0,'Données projet'!$E$12+1,1))-AVERAGE(OFFSET($H$3,0,0,'Données projet'!$E$12+1,1))</f>
        <v>277.03735509061545</v>
      </c>
      <c r="CE17" s="60">
        <f t="shared" si="40"/>
        <v>158.16416492761959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13.877539056685173</v>
      </c>
      <c r="CV17" s="14">
        <f t="shared" si="41"/>
        <v>4.7086819085950955</v>
      </c>
      <c r="CW17" s="22">
        <f t="shared" si="13"/>
        <v>32.371001514529802</v>
      </c>
      <c r="CX17" s="60">
        <f t="shared" si="14"/>
        <v>325.70433484786309</v>
      </c>
      <c r="CY17" s="60">
        <f ca="1">AVERAGE(OFFSET($CX$3,0,0,'Données projet'!$E$13+1,1))-AVERAGE(OFFSET($H$3,0,0,'Données projet'!$E$13+1,1))</f>
        <v>350.3652766444938</v>
      </c>
      <c r="CZ17" s="60">
        <f t="shared" si="42"/>
        <v>197.04549436738586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23</v>
      </c>
      <c r="DO17" s="13">
        <f>IF('Données projet'!$A$166&gt;35,DO16+DN17-DW16,IF(A17&lt;'Données projet'!$A$166,$DL$205^A17,IF(A17='Données projet'!$A$166,'Données projet'!$B$166,DO16+DN17-DW16)))</f>
        <v>111</v>
      </c>
      <c r="DP17" s="18">
        <f>DO17*VLOOKUP('Données projet'!$B$14,Paramètres!$A$1:$I$89,3,0)*VLOOKUP('Données projet'!$B$14,Paramètres!$A$1:$I$89,5,0)</f>
        <v>88.311599999999999</v>
      </c>
      <c r="DQ17" s="14">
        <f t="shared" si="43"/>
        <v>24.157575839957186</v>
      </c>
      <c r="DR17" s="22">
        <f t="shared" si="16"/>
        <v>195.88381458792546</v>
      </c>
      <c r="DS17" s="60">
        <f t="shared" si="17"/>
        <v>489.21714792125874</v>
      </c>
      <c r="DT17" s="60">
        <f ca="1">AVERAGE(OFFSET($DS$3,0,0,'Données projet'!$E$14+1,1))-AVERAGE(OFFSET($H$3,0,0,'Données projet'!$E$14+1,1))</f>
        <v>382.01991140382955</v>
      </c>
      <c r="DU17" s="60">
        <f t="shared" si="44"/>
        <v>389.53897948144339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17.2</v>
      </c>
      <c r="EJ17" s="13">
        <f>IF('Données projet'!$A$192&gt;35,EJ16+EI17-ER16,IF(A17&lt;'Données projet'!$A$192,$EG$205^A17,IF(A17='Données projet'!$A$192,'Données projet'!$B$192,EJ16+EI17-ER16)))</f>
        <v>79.8</v>
      </c>
      <c r="EK17" s="18">
        <f>EJ17*VLOOKUP('Données projet'!$B$15,Paramètres!$A$1:$I$89,3,0)*VLOOKUP('Données projet'!$B$15,Paramètres!$A$1:$I$89,5,0)</f>
        <v>63.488880000000002</v>
      </c>
      <c r="EL17" s="14">
        <f t="shared" si="45"/>
        <v>18.04744480918135</v>
      </c>
      <c r="EM17" s="22">
        <f t="shared" si="19"/>
        <v>142.00909904265754</v>
      </c>
      <c r="EN17" s="60">
        <f t="shared" si="20"/>
        <v>435.34243237599082</v>
      </c>
      <c r="EO17" s="60">
        <f ca="1">AVERAGE(OFFSET($EN$3,0,0,'Données projet'!$E$15+1,1))-AVERAGE(OFFSET($H$3,0,0,'Données projet'!$E$15+1,1))</f>
        <v>323.92137573760789</v>
      </c>
      <c r="EP17" s="60">
        <f t="shared" si="46"/>
        <v>389.53897948144339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2.4666666666666668</v>
      </c>
      <c r="FE17" s="13">
        <f>IF('Données projet'!$A$218&gt;35,FE16+FD17-FM16,IF(A17&lt;'Données projet'!$A$218,$FB$205^A17,IF(A17='Données projet'!$A$218,'Données projet'!$B$218,FE16+FD17-FM16)))</f>
        <v>29.084054009429774</v>
      </c>
      <c r="FF17" s="18">
        <f>FE17*VLOOKUP('Données projet'!$B$16,Paramètres!$A$1:$I$89,3,0)*VLOOKUP('Données projet'!$B$16,Paramètres!$A$1:$I$89,5,0)</f>
        <v>23.13927336990233</v>
      </c>
      <c r="FG17" s="14">
        <f t="shared" si="47"/>
        <v>7.3976107331343286</v>
      </c>
      <c r="FH17" s="22">
        <f t="shared" si="22"/>
        <v>53.185073146122171</v>
      </c>
      <c r="FI17" s="60">
        <f t="shared" si="23"/>
        <v>346.51840647945551</v>
      </c>
      <c r="FJ17" s="60">
        <f ca="1">AVERAGE(OFFSET($FI$3,0,0,'Données projet'!$E$16+1,1))-AVERAGE(OFFSET($H$3,0,0,'Données projet'!$E$16+1,1))</f>
        <v>219.61164494001008</v>
      </c>
      <c r="FK17" s="60">
        <f t="shared" si="48"/>
        <v>219.59799863414111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3.4358974358974361</v>
      </c>
      <c r="FZ17" s="13">
        <f>IF('Données projet'!$A$244&gt;35,FZ16+FY17-GH16,IF(A17&lt;'Données projet'!$A$244,$FW$205^A17,IF(A17='Données projet'!$A$244,'Données projet'!$B$244,FZ16+FY17-GH16)))</f>
        <v>8.6991203952847798</v>
      </c>
      <c r="GA17" s="18">
        <f>FZ17*VLOOKUP('Données projet'!$B$17,Paramètres!$A$1:$I$89,3,0)*VLOOKUP('Données projet'!$B$17,Paramètres!$A$1:$I$89,5,0)</f>
        <v>4.0711883449932769</v>
      </c>
      <c r="GB17" s="14">
        <f t="shared" si="49"/>
        <v>1.5933152481473272</v>
      </c>
      <c r="GC17" s="22">
        <f t="shared" si="25"/>
        <v>9.8656770913865515</v>
      </c>
      <c r="GD17" s="60">
        <f t="shared" si="26"/>
        <v>303.19901042471986</v>
      </c>
      <c r="GE17" s="60">
        <f ca="1">AVERAGE(OFFSET($GD$3,0,0,'Données projet'!$E$17+1,1))-AVERAGE(OFFSET($H$3,0,0,'Données projet'!$E$17+1,1))</f>
        <v>147.5699668214238</v>
      </c>
      <c r="GF17" s="60">
        <f t="shared" si="50"/>
        <v>70.653739864908346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>
        <f>VLOOKUP(A17,'Données projet'!$A$269:$I$289,2,0)</f>
        <v>161.89440000000002</v>
      </c>
      <c r="GS17" s="13">
        <f>VLOOKUP(A17,'Données projet'!$A$269:$I$289,9,0)</f>
        <v>23.500799999999998</v>
      </c>
      <c r="GT17" s="13">
        <f t="array" ref="GT17">INDEX(GS:GS,MIN(IF(ISNUMBER(GS17:GS213),ROW(GS17:GS213),"")))</f>
        <v>23.500799999999998</v>
      </c>
      <c r="GU17" s="13">
        <f>IF('Données projet'!$A$270&gt;35,GU16+GT17-HC16,IF(A17&lt;'Données projet'!$A$270,$GR$205^A17,IF(A17='Données projet'!$A$270,'Données projet'!$B$270,GU16+GT17-HC16)))</f>
        <v>161.89440000000002</v>
      </c>
      <c r="GV17" s="18">
        <f>GU17*VLOOKUP('Données projet'!$B$18,Paramètres!$A$1:$I$89,3,0)*VLOOKUP('Données projet'!$B$18,Paramètres!$A$1:$I$89,5,0)</f>
        <v>82.333016064000006</v>
      </c>
      <c r="GW17" s="14">
        <f t="shared" si="51"/>
        <v>22.706660851831899</v>
      </c>
      <c r="GX17" s="22">
        <f t="shared" si="28"/>
        <v>182.94410396174055</v>
      </c>
      <c r="GY17" s="60">
        <f t="shared" si="29"/>
        <v>476.27743729507387</v>
      </c>
      <c r="GZ17" s="60">
        <f ca="1">AVERAGE(OFFSET($GY$3,0,0,'Données projet'!$E$18+1,1))-AVERAGE(OFFSET($H$3,0,0,'Données projet'!$E$18+1,1))</f>
        <v>136.03899433512379</v>
      </c>
      <c r="HA17" s="60">
        <f t="shared" si="52"/>
        <v>316.56646692826882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345.30607962204783</v>
      </c>
      <c r="S18" s="60">
        <f ca="1">AVERAGE(OFFSET($R$3,0,0,'Données projet'!$E$9+1,1))-AVERAGE(OFFSET($H$3,0,0,'Données projet'!$E$9+1,1))</f>
        <v>384.44848355636935</v>
      </c>
      <c r="T18" s="60">
        <f t="shared" si="34"/>
        <v>203.5274665601915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0">
        <f t="shared" si="5"/>
        <v>328.07911334160997</v>
      </c>
      <c r="AN18" s="60">
        <f ca="1">AVERAGE(OFFSET($AM$3,0,0,'Données projet'!$E$10+1,1))-AVERAGE(OFFSET($H$3,0,0,'Données projet'!$E$10+1,1))</f>
        <v>303.73499739059076</v>
      </c>
      <c r="AO18" s="60">
        <f t="shared" si="36"/>
        <v>172.32171001882188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21.03829319564419</v>
      </c>
      <c r="BF18" s="14">
        <f t="shared" si="37"/>
        <v>6.8008648676982615</v>
      </c>
      <c r="BG18" s="22">
        <f t="shared" si="7"/>
        <v>48.486533626988098</v>
      </c>
      <c r="BH18" s="60">
        <f t="shared" si="8"/>
        <v>341.81986696032141</v>
      </c>
      <c r="BI18" s="60">
        <f ca="1">AVERAGE(OFFSET($BH$3,0,0,'Données projet'!$E$11+1,1))-AVERAGE(OFFSET($H$3,0,0,'Données projet'!$E$11+1,1))</f>
        <v>352.29660374042186</v>
      </c>
      <c r="BJ18" s="60">
        <f t="shared" si="38"/>
        <v>187.26439695305618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13.898096600580887</v>
      </c>
      <c r="CA18" s="14">
        <f t="shared" si="39"/>
        <v>4.7148446849071632</v>
      </c>
      <c r="CB18" s="22">
        <f t="shared" si="10"/>
        <v>32.417539405558351</v>
      </c>
      <c r="CC18" s="60">
        <f t="shared" si="11"/>
        <v>325.75087273889164</v>
      </c>
      <c r="CD18" s="60">
        <f ca="1">AVERAGE(OFFSET($CC$3,0,0,'Données projet'!$E$12+1,1))-AVERAGE(OFFSET($H$3,0,0,'Données projet'!$E$12+1,1))</f>
        <v>277.03735509061545</v>
      </c>
      <c r="CE18" s="60">
        <f t="shared" si="40"/>
        <v>158.16416492761959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16.729190352551068</v>
      </c>
      <c r="CV18" s="14">
        <f t="shared" si="41"/>
        <v>5.5541103821765283</v>
      </c>
      <c r="CW18" s="22">
        <f t="shared" si="13"/>
        <v>38.810082112983899</v>
      </c>
      <c r="CX18" s="60">
        <f t="shared" si="14"/>
        <v>332.14341544631719</v>
      </c>
      <c r="CY18" s="60">
        <f ca="1">AVERAGE(OFFSET($CX$3,0,0,'Données projet'!$E$13+1,1))-AVERAGE(OFFSET($H$3,0,0,'Données projet'!$E$13+1,1))</f>
        <v>350.3652766444938</v>
      </c>
      <c r="CZ18" s="60">
        <f t="shared" si="42"/>
        <v>197.04549436738586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134</v>
      </c>
      <c r="DM18" s="13">
        <f>VLOOKUP(A18,'Données projet'!$A$165:$I$185,9,0)</f>
        <v>23</v>
      </c>
      <c r="DN18" s="13">
        <f t="array" ref="DN18">INDEX(DM:DM,MIN(IF(ISNUMBER(DM18:DM214),ROW(DM18:DM214),"")))</f>
        <v>23</v>
      </c>
      <c r="DO18" s="13">
        <f>IF('Données projet'!$A$166&gt;35,DO17+DN18-DW17,IF(A18&lt;'Données projet'!$A$166,$DL$205^A18,IF(A18='Données projet'!$A$166,'Données projet'!$B$166,DO17+DN18-DW17)))</f>
        <v>134</v>
      </c>
      <c r="DP18" s="18">
        <f>DO18*VLOOKUP('Données projet'!$B$14,Paramètres!$A$1:$I$89,3,0)*VLOOKUP('Données projet'!$B$14,Paramètres!$A$1:$I$89,5,0)</f>
        <v>106.61040000000001</v>
      </c>
      <c r="DQ18" s="14">
        <f t="shared" si="43"/>
        <v>28.530919434405451</v>
      </c>
      <c r="DR18" s="22">
        <f t="shared" si="16"/>
        <v>235.3711313482562</v>
      </c>
      <c r="DS18" s="60">
        <f t="shared" si="17"/>
        <v>528.70446468158957</v>
      </c>
      <c r="DT18" s="60">
        <f ca="1">AVERAGE(OFFSET($DS$3,0,0,'Données projet'!$E$14+1,1))-AVERAGE(OFFSET($H$3,0,0,'Données projet'!$E$14+1,1))</f>
        <v>382.01991140382955</v>
      </c>
      <c r="DU18" s="60">
        <f t="shared" si="44"/>
        <v>389.53897948144339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49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>
        <f>VLOOKUP(A18,'Données projet'!$A$191:$I$211,2,0)</f>
        <v>97</v>
      </c>
      <c r="EH18" s="13">
        <f>VLOOKUP(A18,'Données projet'!$A$191:$I$211,9,0)</f>
        <v>17.2</v>
      </c>
      <c r="EI18" s="13">
        <f t="array" ref="EI18">INDEX(EH:EH,MIN(IF(ISNUMBER(EH18:EH214),ROW(EH18:EH214),"")))</f>
        <v>17.2</v>
      </c>
      <c r="EJ18" s="13">
        <f>IF('Données projet'!$A$192&gt;35,EJ17+EI18-ER17,IF(A18&lt;'Données projet'!$A$192,$EG$205^A18,IF(A18='Données projet'!$A$192,'Données projet'!$B$192,EJ17+EI18-ER17)))</f>
        <v>97</v>
      </c>
      <c r="EK18" s="18">
        <f>EJ18*VLOOKUP('Données projet'!$B$15,Paramètres!$A$1:$I$89,3,0)*VLOOKUP('Données projet'!$B$15,Paramètres!$A$1:$I$89,5,0)</f>
        <v>77.173199999999994</v>
      </c>
      <c r="EL18" s="14">
        <f t="shared" si="45"/>
        <v>21.444576401945646</v>
      </c>
      <c r="EM18" s="22">
        <f t="shared" si="19"/>
        <v>171.75929390005533</v>
      </c>
      <c r="EN18" s="60">
        <f t="shared" si="20"/>
        <v>465.09262723338861</v>
      </c>
      <c r="EO18" s="60">
        <f ca="1">AVERAGE(OFFSET($EN$3,0,0,'Données projet'!$E$15+1,1))-AVERAGE(OFFSET($H$3,0,0,'Données projet'!$E$15+1,1))</f>
        <v>323.92137573760789</v>
      </c>
      <c r="EP18" s="60">
        <f t="shared" si="46"/>
        <v>389.53897948144339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>
        <f>VLOOKUP(A18,'Données projet'!$A$217:$I$237,2,0)</f>
        <v>37</v>
      </c>
      <c r="FC18" s="13">
        <f>VLOOKUP(A18,'Données projet'!$A$217:$I$237,9,0)</f>
        <v>2.4666666666666668</v>
      </c>
      <c r="FD18" s="13">
        <f t="array" ref="FD18">INDEX(FC:FC,MIN(IF(ISNUMBER(FC18:FC214),ROW(FC18:FC214),"")))</f>
        <v>2.4666666666666668</v>
      </c>
      <c r="FE18" s="13">
        <f>IF('Données projet'!$A$218&gt;35,FE17+FD18-FM17,IF(A18&lt;'Données projet'!$A$218,$FB$205^A18,IF(A18='Données projet'!$A$218,'Données projet'!$B$218,FE17+FD18-FM17)))</f>
        <v>37</v>
      </c>
      <c r="FF18" s="18">
        <f>FE18*VLOOKUP('Données projet'!$B$16,Paramètres!$A$1:$I$89,3,0)*VLOOKUP('Données projet'!$B$16,Paramètres!$A$1:$I$89,5,0)</f>
        <v>29.437200000000004</v>
      </c>
      <c r="FG18" s="14">
        <f t="shared" si="47"/>
        <v>9.1510096001539196</v>
      </c>
      <c r="FH18" s="22">
        <f t="shared" si="22"/>
        <v>67.207798386934755</v>
      </c>
      <c r="FI18" s="60">
        <f t="shared" si="23"/>
        <v>360.54113172026808</v>
      </c>
      <c r="FJ18" s="60">
        <f ca="1">AVERAGE(OFFSET($FI$3,0,0,'Données projet'!$E$16+1,1))-AVERAGE(OFFSET($H$3,0,0,'Données projet'!$E$16+1,1))</f>
        <v>219.61164494001008</v>
      </c>
      <c r="FK18" s="60">
        <f t="shared" si="48"/>
        <v>219.59799863414111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3.4358974358974361</v>
      </c>
      <c r="FZ18" s="13">
        <f>IF('Données projet'!$A$244&gt;35,FZ17+FY18-GH17,IF(A18&lt;'Données projet'!$A$244,$FW$205^A18,IF(A18='Données projet'!$A$244,'Données projet'!$B$244,FZ17+FY18-GH17)))</f>
        <v>10.152680585782415</v>
      </c>
      <c r="GA18" s="18">
        <f>FZ18*VLOOKUP('Données projet'!$B$17,Paramètres!$A$1:$I$89,3,0)*VLOOKUP('Données projet'!$B$17,Paramètres!$A$1:$I$89,5,0)</f>
        <v>4.7514545141461699</v>
      </c>
      <c r="GB18" s="14">
        <f t="shared" si="49"/>
        <v>1.8264005426369321</v>
      </c>
      <c r="GC18" s="22">
        <f t="shared" si="25"/>
        <v>11.456430890563903</v>
      </c>
      <c r="GD18" s="60">
        <f t="shared" si="26"/>
        <v>304.78976422389724</v>
      </c>
      <c r="GE18" s="60">
        <f ca="1">AVERAGE(OFFSET($GD$3,0,0,'Données projet'!$E$17+1,1))-AVERAGE(OFFSET($H$3,0,0,'Données projet'!$E$17+1,1))</f>
        <v>147.5699668214238</v>
      </c>
      <c r="GF18" s="60">
        <f t="shared" si="50"/>
        <v>70.653739864908346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>
        <f>VLOOKUP(A18,'Données projet'!$A$269:$I$289,2,0)</f>
        <v>185.39520000000002</v>
      </c>
      <c r="GS18" s="13">
        <f>VLOOKUP(A18,'Données projet'!$A$269:$I$289,9,0)</f>
        <v>23.500799999999998</v>
      </c>
      <c r="GT18" s="13">
        <f t="array" ref="GT18">INDEX(GS:GS,MIN(IF(ISNUMBER(GS18:GS214),ROW(GS18:GS214),"")))</f>
        <v>23.500799999999998</v>
      </c>
      <c r="GU18" s="13">
        <f>IF('Données projet'!$A$270&gt;35,GU17+GT18-HC17,IF(A18&lt;'Données projet'!$A$270,$GR$205^A18,IF(A18='Données projet'!$A$270,'Données projet'!$B$270,GU17+GT18-HC17)))</f>
        <v>185.39520000000002</v>
      </c>
      <c r="GV18" s="18">
        <f>GU18*VLOOKUP('Données projet'!$B$18,Paramètres!$A$1:$I$89,3,0)*VLOOKUP('Données projet'!$B$18,Paramètres!$A$1:$I$89,5,0)</f>
        <v>94.284582912000019</v>
      </c>
      <c r="GW18" s="14">
        <f t="shared" si="51"/>
        <v>25.595749633747779</v>
      </c>
      <c r="GX18" s="22">
        <f t="shared" si="28"/>
        <v>208.79157918384408</v>
      </c>
      <c r="GY18" s="60">
        <f t="shared" si="29"/>
        <v>502.12491251717739</v>
      </c>
      <c r="GZ18" s="60">
        <f ca="1">AVERAGE(OFFSET($GY$3,0,0,'Données projet'!$E$18+1,1))-AVERAGE(OFFSET($H$3,0,0,'Données projet'!$E$18+1,1))</f>
        <v>136.03899433512379</v>
      </c>
      <c r="HA18" s="60">
        <f t="shared" si="52"/>
        <v>316.56646692826882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357.3560328458579</v>
      </c>
      <c r="S19" s="60">
        <f ca="1">AVERAGE(OFFSET($R$3,0,0,'Données projet'!$E$9+1,1))-AVERAGE(OFFSET($H$3,0,0,'Données projet'!$E$9+1,1))</f>
        <v>384.44848355636935</v>
      </c>
      <c r="T19" s="60">
        <f t="shared" si="34"/>
        <v>203.5274665601915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0">
        <f t="shared" si="5"/>
        <v>334.992017673269</v>
      </c>
      <c r="AN19" s="60">
        <f ca="1">AVERAGE(OFFSET($AM$3,0,0,'Données projet'!$E$10+1,1))-AVERAGE(OFFSET($H$3,0,0,'Données projet'!$E$10+1,1))</f>
        <v>303.73499739059076</v>
      </c>
      <c r="AO19" s="60">
        <f t="shared" si="36"/>
        <v>172.32171001882188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26.072138005225284</v>
      </c>
      <c r="BF19" s="14">
        <f t="shared" si="37"/>
        <v>8.2202636982343371</v>
      </c>
      <c r="BG19" s="22">
        <f t="shared" si="7"/>
        <v>59.725932966858835</v>
      </c>
      <c r="BH19" s="60">
        <f t="shared" si="8"/>
        <v>353.05926630019212</v>
      </c>
      <c r="BI19" s="60">
        <f ca="1">AVERAGE(OFFSET($BH$3,0,0,'Données projet'!$E$11+1,1))-AVERAGE(OFFSET($H$3,0,0,'Données projet'!$E$11+1,1))</f>
        <v>352.29660374042186</v>
      </c>
      <c r="BJ19" s="60">
        <f t="shared" si="38"/>
        <v>187.26439695305618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16.753972200658836</v>
      </c>
      <c r="CA19" s="14">
        <f t="shared" si="39"/>
        <v>5.5613796648680189</v>
      </c>
      <c r="CB19" s="22">
        <f t="shared" si="10"/>
        <v>38.865904499125939</v>
      </c>
      <c r="CC19" s="60">
        <f t="shared" si="11"/>
        <v>332.19923783245923</v>
      </c>
      <c r="CD19" s="60">
        <f ca="1">AVERAGE(OFFSET($CC$3,0,0,'Données projet'!$E$12+1,1))-AVERAGE(OFFSET($H$3,0,0,'Données projet'!$E$12+1,1))</f>
        <v>277.03735509061545</v>
      </c>
      <c r="CE19" s="60">
        <f t="shared" si="40"/>
        <v>158.16416492761959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20.166818389681932</v>
      </c>
      <c r="CV19" s="14">
        <f t="shared" si="41"/>
        <v>6.5513327797938032</v>
      </c>
      <c r="CW19" s="22">
        <f t="shared" si="13"/>
        <v>46.534113286836906</v>
      </c>
      <c r="CX19" s="60">
        <f t="shared" si="14"/>
        <v>339.8674466201702</v>
      </c>
      <c r="CY19" s="60">
        <f ca="1">AVERAGE(OFFSET($CX$3,0,0,'Données projet'!$E$13+1,1))-AVERAGE(OFFSET($H$3,0,0,'Données projet'!$E$13+1,1))</f>
        <v>350.3652766444938</v>
      </c>
      <c r="CZ19" s="60">
        <f t="shared" si="42"/>
        <v>197.04549436738586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16</v>
      </c>
      <c r="DO19" s="13">
        <f>IF('Données projet'!$A$166&gt;35,DO18+DN19-DW18,IF(A19&lt;'Données projet'!$A$166,$DL$205^A19,IF(A19='Données projet'!$A$166,'Données projet'!$B$166,DO18+DN19-DW18)))</f>
        <v>101</v>
      </c>
      <c r="DP19" s="18">
        <f>DO19*VLOOKUP('Données projet'!$B$14,Paramètres!$A$1:$I$89,3,0)*VLOOKUP('Données projet'!$B$14,Paramètres!$A$1:$I$89,5,0)</f>
        <v>80.355599999999995</v>
      </c>
      <c r="DQ19" s="14">
        <f t="shared" si="43"/>
        <v>22.224107721582499</v>
      </c>
      <c r="DR19" s="22">
        <f t="shared" si="16"/>
        <v>178.65965761508951</v>
      </c>
      <c r="DS19" s="60">
        <f t="shared" si="17"/>
        <v>471.99299094842286</v>
      </c>
      <c r="DT19" s="60">
        <f ca="1">AVERAGE(OFFSET($DS$3,0,0,'Données projet'!$E$14+1,1))-AVERAGE(OFFSET($H$3,0,0,'Données projet'!$E$14+1,1))</f>
        <v>382.01991140382955</v>
      </c>
      <c r="DU19" s="60">
        <f t="shared" si="44"/>
        <v>389.53897948144339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14.4</v>
      </c>
      <c r="EJ19" s="13">
        <f>IF('Données projet'!$A$192&gt;35,EJ18+EI19-ER18,IF(A19&lt;'Données projet'!$A$192,$EG$205^A19,IF(A19='Données projet'!$A$192,'Données projet'!$B$192,EJ18+EI19-ER18)))</f>
        <v>111.4</v>
      </c>
      <c r="EK19" s="18">
        <f>EJ19*VLOOKUP('Données projet'!$B$15,Paramètres!$A$1:$I$89,3,0)*VLOOKUP('Données projet'!$B$15,Paramètres!$A$1:$I$89,5,0)</f>
        <v>88.629840000000016</v>
      </c>
      <c r="EL19" s="14">
        <f t="shared" si="45"/>
        <v>24.234480932534542</v>
      </c>
      <c r="EM19" s="22">
        <f t="shared" si="19"/>
        <v>196.57202562416433</v>
      </c>
      <c r="EN19" s="60">
        <f t="shared" si="20"/>
        <v>489.90535895749764</v>
      </c>
      <c r="EO19" s="60">
        <f ca="1">AVERAGE(OFFSET($EN$3,0,0,'Données projet'!$E$15+1,1))-AVERAGE(OFFSET($H$3,0,0,'Données projet'!$E$15+1,1))</f>
        <v>323.92137573760789</v>
      </c>
      <c r="EP19" s="60">
        <f t="shared" si="46"/>
        <v>389.53897948144339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8.6</v>
      </c>
      <c r="FE19" s="13">
        <f>IF('Données projet'!$A$218&gt;35,FE18+FD19-FM18,IF(A19&lt;'Données projet'!$A$218,$FB$205^A19,IF(A19='Données projet'!$A$218,'Données projet'!$B$218,FE18+FD19-FM18)))</f>
        <v>45.6</v>
      </c>
      <c r="FF19" s="18">
        <f>FE19*VLOOKUP('Données projet'!$B$16,Paramètres!$A$1:$I$89,3,0)*VLOOKUP('Données projet'!$B$16,Paramètres!$A$1:$I$89,5,0)</f>
        <v>36.279360000000004</v>
      </c>
      <c r="FG19" s="14">
        <f t="shared" si="47"/>
        <v>11.006957828729092</v>
      </c>
      <c r="FH19" s="22">
        <f t="shared" si="22"/>
        <v>82.357003551703173</v>
      </c>
      <c r="FI19" s="60">
        <f t="shared" si="23"/>
        <v>375.69033688503646</v>
      </c>
      <c r="FJ19" s="60">
        <f ca="1">AVERAGE(OFFSET($FI$3,0,0,'Données projet'!$E$16+1,1))-AVERAGE(OFFSET($H$3,0,0,'Données projet'!$E$16+1,1))</f>
        <v>219.61164494001008</v>
      </c>
      <c r="FK19" s="60">
        <f t="shared" si="48"/>
        <v>219.59799863414111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3.4358974358974361</v>
      </c>
      <c r="FZ19" s="13">
        <f>IF('Données projet'!$A$244&gt;35,FZ18+FY19-GH18,IF(A19&lt;'Données projet'!$A$244,$FW$205^A19,IF(A19='Données projet'!$A$244,'Données projet'!$B$244,FZ18+FY19-GH18)))</f>
        <v>11.849120186081615</v>
      </c>
      <c r="GA19" s="18">
        <f>FZ19*VLOOKUP('Données projet'!$B$17,Paramètres!$A$1:$I$89,3,0)*VLOOKUP('Données projet'!$B$17,Paramètres!$A$1:$I$89,5,0)</f>
        <v>5.545388247086195</v>
      </c>
      <c r="GB19" s="14">
        <f t="shared" si="49"/>
        <v>2.0935837688261665</v>
      </c>
      <c r="GC19" s="22">
        <f t="shared" si="25"/>
        <v>13.304542927714031</v>
      </c>
      <c r="GD19" s="60">
        <f t="shared" si="26"/>
        <v>306.63787626104732</v>
      </c>
      <c r="GE19" s="60">
        <f ca="1">AVERAGE(OFFSET($GD$3,0,0,'Données projet'!$E$17+1,1))-AVERAGE(OFFSET($H$3,0,0,'Données projet'!$E$17+1,1))</f>
        <v>147.5699668214238</v>
      </c>
      <c r="GF19" s="60">
        <f t="shared" si="50"/>
        <v>70.653739864908346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>
        <f>VLOOKUP(A19,'Données projet'!$A$269:$I$289,2,0)</f>
        <v>206.28479999999999</v>
      </c>
      <c r="GS19" s="13">
        <f>VLOOKUP(A19,'Données projet'!$A$269:$I$289,9,0)</f>
        <v>20.889599999999973</v>
      </c>
      <c r="GT19" s="13">
        <f t="array" ref="GT19">INDEX(GS:GS,MIN(IF(ISNUMBER(GS19:GS215),ROW(GS19:GS215),"")))</f>
        <v>20.889599999999973</v>
      </c>
      <c r="GU19" s="13">
        <f>IF('Données projet'!$A$270&gt;35,GU18+GT19-HC18,IF(A19&lt;'Données projet'!$A$270,$GR$205^A19,IF(A19='Données projet'!$A$270,'Données projet'!$B$270,GU18+GT19-HC18)))</f>
        <v>206.28479999999999</v>
      </c>
      <c r="GV19" s="18">
        <f>GU19*VLOOKUP('Données projet'!$B$18,Paramètres!$A$1:$I$89,3,0)*VLOOKUP('Données projet'!$B$18,Paramètres!$A$1:$I$89,5,0)</f>
        <v>104.908197888</v>
      </c>
      <c r="GW19" s="14">
        <f t="shared" si="51"/>
        <v>28.128027265965457</v>
      </c>
      <c r="GX19" s="22">
        <f t="shared" si="28"/>
        <v>231.70475880982315</v>
      </c>
      <c r="GY19" s="60">
        <f t="shared" si="29"/>
        <v>525.03809214315652</v>
      </c>
      <c r="GZ19" s="60">
        <f ca="1">AVERAGE(OFFSET($GY$3,0,0,'Données projet'!$E$18+1,1))-AVERAGE(OFFSET($H$3,0,0,'Données projet'!$E$18+1,1))</f>
        <v>136.03899433512379</v>
      </c>
      <c r="HA19" s="60">
        <f t="shared" si="52"/>
        <v>316.56646692826882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372.20870820074703</v>
      </c>
      <c r="S20" s="60">
        <f ca="1">AVERAGE(OFFSET($R$3,0,0,'Données projet'!$E$9+1,1))-AVERAGE(OFFSET($H$3,0,0,'Données projet'!$E$9+1,1))</f>
        <v>384.44848355636935</v>
      </c>
      <c r="T20" s="60">
        <f t="shared" si="34"/>
        <v>203.5274665601915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0">
        <f t="shared" si="5"/>
        <v>343.28469438075035</v>
      </c>
      <c r="AN20" s="60">
        <f ca="1">AVERAGE(OFFSET($AM$3,0,0,'Données projet'!$E$10+1,1))-AVERAGE(OFFSET($H$3,0,0,'Données projet'!$E$10+1,1))</f>
        <v>303.73499739059076</v>
      </c>
      <c r="AO20" s="60">
        <f t="shared" si="36"/>
        <v>172.32171001882188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32.310433828550828</v>
      </c>
      <c r="BF20" s="14">
        <f t="shared" si="37"/>
        <v>9.9359032392271498</v>
      </c>
      <c r="BG20" s="22">
        <f t="shared" si="7"/>
        <v>73.579037059713301</v>
      </c>
      <c r="BH20" s="60">
        <f t="shared" si="8"/>
        <v>366.91237039304661</v>
      </c>
      <c r="BI20" s="60">
        <f ca="1">AVERAGE(OFFSET($BH$3,0,0,'Données projet'!$E$11+1,1))-AVERAGE(OFFSET($H$3,0,0,'Données projet'!$E$11+1,1))</f>
        <v>352.29660374042186</v>
      </c>
      <c r="BJ20" s="60">
        <f t="shared" si="38"/>
        <v>187.26439695305618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20.196692580818372</v>
      </c>
      <c r="CA20" s="14">
        <f t="shared" si="39"/>
        <v>6.5599072384749233</v>
      </c>
      <c r="CB20" s="22">
        <f t="shared" si="10"/>
        <v>46.601078018602493</v>
      </c>
      <c r="CC20" s="60">
        <f t="shared" si="11"/>
        <v>339.93441135193581</v>
      </c>
      <c r="CD20" s="60">
        <f ca="1">AVERAGE(OFFSET($CC$3,0,0,'Données projet'!$E$12+1,1))-AVERAGE(OFFSET($H$3,0,0,'Données projet'!$E$12+1,1))</f>
        <v>277.03735509061545</v>
      </c>
      <c r="CE20" s="60">
        <f t="shared" si="40"/>
        <v>158.16416492761959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24.31083366209619</v>
      </c>
      <c r="CV20" s="14">
        <f t="shared" si="41"/>
        <v>7.7276032052466093</v>
      </c>
      <c r="CW20" s="22">
        <f t="shared" si="13"/>
        <v>55.800277543955367</v>
      </c>
      <c r="CX20" s="60">
        <f t="shared" si="14"/>
        <v>349.13361087728867</v>
      </c>
      <c r="CY20" s="60">
        <f ca="1">AVERAGE(OFFSET($CX$3,0,0,'Données projet'!$E$13+1,1))-AVERAGE(OFFSET($H$3,0,0,'Données projet'!$E$13+1,1))</f>
        <v>350.3652766444938</v>
      </c>
      <c r="CZ20" s="60">
        <f t="shared" si="42"/>
        <v>197.04549436738586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16</v>
      </c>
      <c r="DO20" s="13">
        <f>IF('Données projet'!$A$166&gt;35,DO19+DN20-DW19,IF(A20&lt;'Données projet'!$A$166,$DL$205^A20,IF(A20='Données projet'!$A$166,'Données projet'!$B$166,DO19+DN20-DW19)))</f>
        <v>117</v>
      </c>
      <c r="DP20" s="18">
        <f>DO20*VLOOKUP('Données projet'!$B$14,Paramètres!$A$1:$I$89,3,0)*VLOOKUP('Données projet'!$B$14,Paramètres!$A$1:$I$89,5,0)</f>
        <v>93.0852</v>
      </c>
      <c r="DQ20" s="14">
        <f t="shared" si="43"/>
        <v>25.307835040599706</v>
      </c>
      <c r="DR20" s="22">
        <f t="shared" si="16"/>
        <v>206.20120269571112</v>
      </c>
      <c r="DS20" s="60">
        <f t="shared" si="17"/>
        <v>499.53453602904443</v>
      </c>
      <c r="DT20" s="60">
        <f ca="1">AVERAGE(OFFSET($DS$3,0,0,'Données projet'!$E$14+1,1))-AVERAGE(OFFSET($H$3,0,0,'Données projet'!$E$14+1,1))</f>
        <v>382.01991140382955</v>
      </c>
      <c r="DU20" s="60">
        <f t="shared" si="44"/>
        <v>389.53897948144339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14.4</v>
      </c>
      <c r="EJ20" s="13">
        <f>IF('Données projet'!$A$192&gt;35,EJ19+EI20-ER19,IF(A20&lt;'Données projet'!$A$192,$EG$205^A20,IF(A20='Données projet'!$A$192,'Données projet'!$B$192,EJ19+EI20-ER19)))</f>
        <v>125.80000000000001</v>
      </c>
      <c r="EK20" s="18">
        <f>EJ20*VLOOKUP('Données projet'!$B$15,Paramètres!$A$1:$I$89,3,0)*VLOOKUP('Données projet'!$B$15,Paramètres!$A$1:$I$89,5,0)</f>
        <v>100.08648000000001</v>
      </c>
      <c r="EL20" s="14">
        <f t="shared" si="45"/>
        <v>26.982599179194239</v>
      </c>
      <c r="EM20" s="22">
        <f t="shared" si="19"/>
        <v>221.31197957043</v>
      </c>
      <c r="EN20" s="60">
        <f t="shared" si="20"/>
        <v>514.64531290376328</v>
      </c>
      <c r="EO20" s="60">
        <f ca="1">AVERAGE(OFFSET($EN$3,0,0,'Données projet'!$E$15+1,1))-AVERAGE(OFFSET($H$3,0,0,'Données projet'!$E$15+1,1))</f>
        <v>323.92137573760789</v>
      </c>
      <c r="EP20" s="60">
        <f t="shared" si="46"/>
        <v>389.53897948144339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8.6</v>
      </c>
      <c r="FE20" s="13">
        <f>IF('Données projet'!$A$218&gt;35,FE19+FD20-FM19,IF(A20&lt;'Données projet'!$A$218,$FB$205^A20,IF(A20='Données projet'!$A$218,'Données projet'!$B$218,FE19+FD20-FM19)))</f>
        <v>54.2</v>
      </c>
      <c r="FF20" s="18">
        <f>FE20*VLOOKUP('Données projet'!$B$16,Paramètres!$A$1:$I$89,3,0)*VLOOKUP('Données projet'!$B$16,Paramètres!$A$1:$I$89,5,0)</f>
        <v>43.121520000000004</v>
      </c>
      <c r="FG20" s="14">
        <f t="shared" si="47"/>
        <v>12.822353245070515</v>
      </c>
      <c r="FH20" s="22">
        <f t="shared" si="22"/>
        <v>97.435579235164482</v>
      </c>
      <c r="FI20" s="60">
        <f t="shared" si="23"/>
        <v>390.7689125684978</v>
      </c>
      <c r="FJ20" s="60">
        <f ca="1">AVERAGE(OFFSET($FI$3,0,0,'Données projet'!$E$16+1,1))-AVERAGE(OFFSET($H$3,0,0,'Données projet'!$E$16+1,1))</f>
        <v>219.61164494001008</v>
      </c>
      <c r="FK20" s="60">
        <f t="shared" si="48"/>
        <v>219.59799863414111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3.4358974358974361</v>
      </c>
      <c r="FZ20" s="13">
        <f>IF('Données projet'!$A$244&gt;35,FZ19+FY20-GH19,IF(A20&lt;'Données projet'!$A$244,$FW$205^A20,IF(A20='Données projet'!$A$244,'Données projet'!$B$244,FZ19+FY20-GH19)))</f>
        <v>13.82902259141513</v>
      </c>
      <c r="GA20" s="18">
        <f>FZ20*VLOOKUP('Données projet'!$B$17,Paramètres!$A$1:$I$89,3,0)*VLOOKUP('Données projet'!$B$17,Paramètres!$A$1:$I$89,5,0)</f>
        <v>6.4719825727822808</v>
      </c>
      <c r="GB20" s="14">
        <f t="shared" si="49"/>
        <v>2.399853096169215</v>
      </c>
      <c r="GC20" s="22">
        <f t="shared" si="25"/>
        <v>15.45178045675719</v>
      </c>
      <c r="GD20" s="60">
        <f t="shared" si="26"/>
        <v>308.78511379009052</v>
      </c>
      <c r="GE20" s="60">
        <f ca="1">AVERAGE(OFFSET($GD$3,0,0,'Données projet'!$E$17+1,1))-AVERAGE(OFFSET($H$3,0,0,'Données projet'!$E$17+1,1))</f>
        <v>147.5699668214238</v>
      </c>
      <c r="GF20" s="60">
        <f t="shared" si="50"/>
        <v>70.653739864908346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>
        <f>VLOOKUP(A20,'Données projet'!$A$269:$I$289,2,0)</f>
        <v>224.56319999999999</v>
      </c>
      <c r="GS20" s="13">
        <f>VLOOKUP(A20,'Données projet'!$A$269:$I$289,9,0)</f>
        <v>18.278400000000005</v>
      </c>
      <c r="GT20" s="13">
        <f t="array" ref="GT20">INDEX(GS:GS,MIN(IF(ISNUMBER(GS20:GS216),ROW(GS20:GS216),"")))</f>
        <v>18.278400000000005</v>
      </c>
      <c r="GU20" s="13">
        <f>IF('Données projet'!$A$270&gt;35,GU19+GT20-HC19,IF(A20&lt;'Données projet'!$A$270,$GR$205^A20,IF(A20='Données projet'!$A$270,'Données projet'!$B$270,GU19+GT20-HC19)))</f>
        <v>224.56319999999999</v>
      </c>
      <c r="GV20" s="18">
        <f>GU20*VLOOKUP('Données projet'!$B$18,Paramètres!$A$1:$I$89,3,0)*VLOOKUP('Données projet'!$B$18,Paramètres!$A$1:$I$89,5,0)</f>
        <v>114.20386099199999</v>
      </c>
      <c r="GW20" s="14">
        <f t="shared" si="51"/>
        <v>30.319274712160997</v>
      </c>
      <c r="GX20" s="22">
        <f t="shared" si="28"/>
        <v>251.71112801808036</v>
      </c>
      <c r="GY20" s="60">
        <f t="shared" si="29"/>
        <v>545.0444613514137</v>
      </c>
      <c r="GZ20" s="60">
        <f ca="1">AVERAGE(OFFSET($GY$3,0,0,'Données projet'!$E$18+1,1))-AVERAGE(OFFSET($H$3,0,0,'Données projet'!$E$18+1,1))</f>
        <v>136.03899433512379</v>
      </c>
      <c r="HA20" s="60">
        <f t="shared" si="52"/>
        <v>316.56646692826882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390.51791836449235</v>
      </c>
      <c r="S21" s="60">
        <f ca="1">AVERAGE(OFFSET($R$3,0,0,'Données projet'!$E$9+1,1))-AVERAGE(OFFSET($H$3,0,0,'Données projet'!$E$9+1,1))</f>
        <v>384.44848355636935</v>
      </c>
      <c r="T21" s="60">
        <f t="shared" si="34"/>
        <v>203.5274665601915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0">
        <f t="shared" si="5"/>
        <v>353.23335406291386</v>
      </c>
      <c r="AN21" s="60">
        <f ca="1">AVERAGE(OFFSET($AM$3,0,0,'Données projet'!$E$10+1,1))-AVERAGE(OFFSET($H$3,0,0,'Données projet'!$E$10+1,1))</f>
        <v>303.73499739059076</v>
      </c>
      <c r="AO21" s="60">
        <f t="shared" si="36"/>
        <v>172.32171001882188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40.041370369393334</v>
      </c>
      <c r="BF21" s="14">
        <f t="shared" si="37"/>
        <v>12.009611467876571</v>
      </c>
      <c r="BG21" s="22">
        <f t="shared" si="7"/>
        <v>90.655460033245092</v>
      </c>
      <c r="BH21" s="60">
        <f t="shared" si="8"/>
        <v>383.98879336657842</v>
      </c>
      <c r="BI21" s="60">
        <f ca="1">AVERAGE(OFFSET($BH$3,0,0,'Données projet'!$E$11+1,1))-AVERAGE(OFFSET($H$3,0,0,'Données projet'!$E$11+1,1))</f>
        <v>352.29660374042186</v>
      </c>
      <c r="BJ21" s="60">
        <f t="shared" si="38"/>
        <v>187.26439695305618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24.346846605609343</v>
      </c>
      <c r="CA21" s="14">
        <f t="shared" si="39"/>
        <v>7.7377171800078735</v>
      </c>
      <c r="CB21" s="22">
        <f t="shared" si="10"/>
        <v>55.880615259949991</v>
      </c>
      <c r="CC21" s="60">
        <f t="shared" si="11"/>
        <v>349.21394859328331</v>
      </c>
      <c r="CD21" s="60">
        <f ca="1">AVERAGE(OFFSET($CC$3,0,0,'Données projet'!$E$12+1,1))-AVERAGE(OFFSET($H$3,0,0,'Données projet'!$E$12+1,1))</f>
        <v>277.03735509061545</v>
      </c>
      <c r="CE21" s="60">
        <f t="shared" si="40"/>
        <v>158.16416492761959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29.306389432677911</v>
      </c>
      <c r="CV21" s="14">
        <f t="shared" si="41"/>
        <v>9.1150691477493808</v>
      </c>
      <c r="CW21" s="22">
        <f t="shared" si="13"/>
        <v>66.917373694244205</v>
      </c>
      <c r="CX21" s="60">
        <f t="shared" si="14"/>
        <v>360.2507070275775</v>
      </c>
      <c r="CY21" s="60">
        <f ca="1">AVERAGE(OFFSET($CX$3,0,0,'Données projet'!$E$13+1,1))-AVERAGE(OFFSET($H$3,0,0,'Données projet'!$E$13+1,1))</f>
        <v>350.3652766444938</v>
      </c>
      <c r="CZ21" s="60">
        <f t="shared" si="42"/>
        <v>197.04549436738586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16</v>
      </c>
      <c r="DO21" s="13">
        <f>IF('Données projet'!$A$166&gt;35,DO20+DN21-DW20,IF(A21&lt;'Données projet'!$A$166,$DL$205^A21,IF(A21='Données projet'!$A$166,'Données projet'!$B$166,DO20+DN21-DW20)))</f>
        <v>133</v>
      </c>
      <c r="DP21" s="18">
        <f>DO21*VLOOKUP('Données projet'!$B$14,Paramètres!$A$1:$I$89,3,0)*VLOOKUP('Données projet'!$B$14,Paramètres!$A$1:$I$89,5,0)</f>
        <v>105.81480000000001</v>
      </c>
      <c r="DQ21" s="14">
        <f t="shared" si="43"/>
        <v>28.342703760346488</v>
      </c>
      <c r="DR21" s="22">
        <f t="shared" si="16"/>
        <v>233.65765238260346</v>
      </c>
      <c r="DS21" s="60">
        <f t="shared" si="17"/>
        <v>526.99098571593674</v>
      </c>
      <c r="DT21" s="60">
        <f ca="1">AVERAGE(OFFSET($DS$3,0,0,'Données projet'!$E$14+1,1))-AVERAGE(OFFSET($H$3,0,0,'Données projet'!$E$14+1,1))</f>
        <v>382.01991140382955</v>
      </c>
      <c r="DU21" s="60">
        <f t="shared" si="44"/>
        <v>389.53897948144339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14.4</v>
      </c>
      <c r="EJ21" s="13">
        <f>IF('Données projet'!$A$192&gt;35,EJ20+EI21-ER20,IF(A21&lt;'Données projet'!$A$192,$EG$205^A21,IF(A21='Données projet'!$A$192,'Données projet'!$B$192,EJ20+EI21-ER20)))</f>
        <v>140.20000000000002</v>
      </c>
      <c r="EK21" s="18">
        <f>EJ21*VLOOKUP('Données projet'!$B$15,Paramètres!$A$1:$I$89,3,0)*VLOOKUP('Données projet'!$B$15,Paramètres!$A$1:$I$89,5,0)</f>
        <v>111.54312000000002</v>
      </c>
      <c r="EL21" s="14">
        <f t="shared" si="45"/>
        <v>29.694260380758625</v>
      </c>
      <c r="EM21" s="22">
        <f t="shared" si="19"/>
        <v>245.98843749648799</v>
      </c>
      <c r="EN21" s="60">
        <f t="shared" si="20"/>
        <v>539.32177082982128</v>
      </c>
      <c r="EO21" s="60">
        <f ca="1">AVERAGE(OFFSET($EN$3,0,0,'Données projet'!$E$15+1,1))-AVERAGE(OFFSET($H$3,0,0,'Données projet'!$E$15+1,1))</f>
        <v>323.92137573760789</v>
      </c>
      <c r="EP21" s="60">
        <f t="shared" si="46"/>
        <v>389.53897948144339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8.6</v>
      </c>
      <c r="FE21" s="13">
        <f>IF('Données projet'!$A$218&gt;35,FE20+FD21-FM20,IF(A21&lt;'Données projet'!$A$218,$FB$205^A21,IF(A21='Données projet'!$A$218,'Données projet'!$B$218,FE20+FD21-FM20)))</f>
        <v>62.800000000000004</v>
      </c>
      <c r="FF21" s="18">
        <f>FE21*VLOOKUP('Données projet'!$B$16,Paramètres!$A$1:$I$89,3,0)*VLOOKUP('Données projet'!$B$16,Paramètres!$A$1:$I$89,5,0)</f>
        <v>49.963680000000011</v>
      </c>
      <c r="FG21" s="14">
        <f t="shared" si="47"/>
        <v>14.604379468418438</v>
      </c>
      <c r="FH21" s="22">
        <f t="shared" si="22"/>
        <v>112.45603690749546</v>
      </c>
      <c r="FI21" s="60">
        <f t="shared" si="23"/>
        <v>405.78937024082876</v>
      </c>
      <c r="FJ21" s="60">
        <f ca="1">AVERAGE(OFFSET($FI$3,0,0,'Données projet'!$E$16+1,1))-AVERAGE(OFFSET($H$3,0,0,'Données projet'!$E$16+1,1))</f>
        <v>219.61164494001008</v>
      </c>
      <c r="FK21" s="60">
        <f t="shared" si="48"/>
        <v>219.59799863414111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3.4358974358974361</v>
      </c>
      <c r="FZ21" s="13">
        <f>IF('Données projet'!$A$244&gt;35,FZ20+FY21-GH20,IF(A21&lt;'Données projet'!$A$244,$FW$205^A21,IF(A21='Données projet'!$A$244,'Données projet'!$B$244,FZ20+FY21-GH20)))</f>
        <v>16.139752389254127</v>
      </c>
      <c r="GA21" s="18">
        <f>FZ21*VLOOKUP('Données projet'!$B$17,Paramètres!$A$1:$I$89,3,0)*VLOOKUP('Données projet'!$B$17,Paramètres!$A$1:$I$89,5,0)</f>
        <v>7.5534041181709313</v>
      </c>
      <c r="GB21" s="14">
        <f t="shared" si="49"/>
        <v>2.7509264109465743</v>
      </c>
      <c r="GC21" s="22">
        <f t="shared" si="25"/>
        <v>17.946709004879654</v>
      </c>
      <c r="GD21" s="60">
        <f t="shared" si="26"/>
        <v>311.28004233821298</v>
      </c>
      <c r="GE21" s="60">
        <f ca="1">AVERAGE(OFFSET($GD$3,0,0,'Données projet'!$E$17+1,1))-AVERAGE(OFFSET($H$3,0,0,'Données projet'!$E$17+1,1))</f>
        <v>147.5699668214238</v>
      </c>
      <c r="GF21" s="60">
        <f t="shared" si="50"/>
        <v>70.653739864908346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>
        <f>VLOOKUP(A21,'Données projet'!$A$269:$I$289,2,0)</f>
        <v>240.23040000000003</v>
      </c>
      <c r="GS21" s="13">
        <f>VLOOKUP(A21,'Données projet'!$A$269:$I$289,9,0)</f>
        <v>15.667200000000037</v>
      </c>
      <c r="GT21" s="13">
        <f t="array" ref="GT21">INDEX(GS:GS,MIN(IF(ISNUMBER(GS21:GS217),ROW(GS21:GS217),"")))</f>
        <v>15.667200000000037</v>
      </c>
      <c r="GU21" s="13">
        <f>IF('Données projet'!$A$270&gt;35,GU20+GT21-HC20,IF(A21&lt;'Données projet'!$A$270,$GR$205^A21,IF(A21='Données projet'!$A$270,'Données projet'!$B$270,GU20+GT21-HC20)))</f>
        <v>240.23040000000003</v>
      </c>
      <c r="GV21" s="18">
        <f>GU21*VLOOKUP('Données projet'!$B$18,Paramètres!$A$1:$I$89,3,0)*VLOOKUP('Données projet'!$B$18,Paramètres!$A$1:$I$89,5,0)</f>
        <v>122.17157222400002</v>
      </c>
      <c r="GW21" s="14">
        <f t="shared" si="51"/>
        <v>32.180952977566456</v>
      </c>
      <c r="GX21" s="22">
        <f t="shared" si="28"/>
        <v>268.83064805939489</v>
      </c>
      <c r="GY21" s="60">
        <f t="shared" si="29"/>
        <v>562.16398139272815</v>
      </c>
      <c r="GZ21" s="60">
        <f ca="1">AVERAGE(OFFSET($GY$3,0,0,'Données projet'!$E$18+1,1))-AVERAGE(OFFSET($H$3,0,0,'Données projet'!$E$18+1,1))</f>
        <v>136.03899433512379</v>
      </c>
      <c r="HA21" s="60">
        <f t="shared" si="52"/>
        <v>316.56646692826882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413.0904086280766</v>
      </c>
      <c r="S22" s="60">
        <f ca="1">AVERAGE(OFFSET($R$3,0,0,'Données projet'!$E$9+1,1))-AVERAGE(OFFSET($H$3,0,0,'Données projet'!$E$9+1,1))</f>
        <v>384.44848355636935</v>
      </c>
      <c r="T22" s="60">
        <f t="shared" si="34"/>
        <v>203.5274665601915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0">
        <f t="shared" si="5"/>
        <v>365.16965167242461</v>
      </c>
      <c r="AN22" s="60">
        <f ca="1">AVERAGE(OFFSET($AM$3,0,0,'Données projet'!$E$10+1,1))-AVERAGE(OFFSET($H$3,0,0,'Données projet'!$E$10+1,1))</f>
        <v>303.73499739059076</v>
      </c>
      <c r="AO22" s="60">
        <f t="shared" si="36"/>
        <v>172.32171001882188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49.622092651760646</v>
      </c>
      <c r="BF22" s="14">
        <f t="shared" si="37"/>
        <v>14.516120390537463</v>
      </c>
      <c r="BG22" s="22">
        <f t="shared" si="7"/>
        <v>111.70738771533587</v>
      </c>
      <c r="BH22" s="60">
        <f t="shared" si="8"/>
        <v>405.04072104866918</v>
      </c>
      <c r="BI22" s="60">
        <f ca="1">AVERAGE(OFFSET($BH$3,0,0,'Données projet'!$E$11+1,1))-AVERAGE(OFFSET($H$3,0,0,'Données projet'!$E$11+1,1))</f>
        <v>352.29660374042186</v>
      </c>
      <c r="BJ22" s="60">
        <f t="shared" si="38"/>
        <v>187.26439695305618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29.349802561239567</v>
      </c>
      <c r="CA22" s="14">
        <f t="shared" si="39"/>
        <v>9.1269990536799668</v>
      </c>
      <c r="CB22" s="22">
        <f t="shared" si="10"/>
        <v>67.013762812651535</v>
      </c>
      <c r="CC22" s="60">
        <f t="shared" si="11"/>
        <v>360.34709614598484</v>
      </c>
      <c r="CD22" s="60">
        <f ca="1">AVERAGE(OFFSET($CC$3,0,0,'Données projet'!$E$12+1,1))-AVERAGE(OFFSET($H$3,0,0,'Données projet'!$E$12+1,1))</f>
        <v>277.03735509061545</v>
      </c>
      <c r="CE22" s="60">
        <f t="shared" si="40"/>
        <v>158.16416492761959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35.328466045936516</v>
      </c>
      <c r="CV22" s="14">
        <f t="shared" si="41"/>
        <v>10.751650073316766</v>
      </c>
      <c r="CW22" s="22">
        <f t="shared" si="13"/>
        <v>80.256202241032796</v>
      </c>
      <c r="CX22" s="60">
        <f t="shared" si="14"/>
        <v>373.5895355743661</v>
      </c>
      <c r="CY22" s="60">
        <f ca="1">AVERAGE(OFFSET($CX$3,0,0,'Données projet'!$E$13+1,1))-AVERAGE(OFFSET($H$3,0,0,'Données projet'!$E$13+1,1))</f>
        <v>350.3652766444938</v>
      </c>
      <c r="CZ22" s="60">
        <f t="shared" si="42"/>
        <v>197.04549436738586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16</v>
      </c>
      <c r="DO22" s="13">
        <f>IF('Données projet'!$A$166&gt;35,DO21+DN22-DW21,IF(A22&lt;'Données projet'!$A$166,$DL$205^A22,IF(A22='Données projet'!$A$166,'Données projet'!$B$166,DO21+DN22-DW21)))</f>
        <v>149</v>
      </c>
      <c r="DP22" s="18">
        <f>DO22*VLOOKUP('Données projet'!$B$14,Paramètres!$A$1:$I$89,3,0)*VLOOKUP('Données projet'!$B$14,Paramètres!$A$1:$I$89,5,0)</f>
        <v>118.5444</v>
      </c>
      <c r="DQ22" s="14">
        <f t="shared" si="43"/>
        <v>31.3352637371359</v>
      </c>
      <c r="DR22" s="22">
        <f t="shared" si="16"/>
        <v>261.04041434217834</v>
      </c>
      <c r="DS22" s="60">
        <f t="shared" si="17"/>
        <v>554.37374767551159</v>
      </c>
      <c r="DT22" s="60">
        <f ca="1">AVERAGE(OFFSET($DS$3,0,0,'Données projet'!$E$14+1,1))-AVERAGE(OFFSET($H$3,0,0,'Données projet'!$E$14+1,1))</f>
        <v>382.01991140382955</v>
      </c>
      <c r="DU22" s="60">
        <f t="shared" si="44"/>
        <v>389.53897948144339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14.4</v>
      </c>
      <c r="EJ22" s="13">
        <f>IF('Données projet'!$A$192&gt;35,EJ21+EI22-ER21,IF(A22&lt;'Données projet'!$A$192,$EG$205^A22,IF(A22='Données projet'!$A$192,'Données projet'!$B$192,EJ21+EI22-ER21)))</f>
        <v>154.60000000000002</v>
      </c>
      <c r="EK22" s="18">
        <f>EJ22*VLOOKUP('Données projet'!$B$15,Paramètres!$A$1:$I$89,3,0)*VLOOKUP('Données projet'!$B$15,Paramètres!$A$1:$I$89,5,0)</f>
        <v>122.99976000000004</v>
      </c>
      <c r="EL22" s="14">
        <f t="shared" si="45"/>
        <v>32.373635496583567</v>
      </c>
      <c r="EM22" s="22">
        <f t="shared" si="19"/>
        <v>270.60866382321643</v>
      </c>
      <c r="EN22" s="60">
        <f t="shared" si="20"/>
        <v>563.94199715654975</v>
      </c>
      <c r="EO22" s="60">
        <f ca="1">AVERAGE(OFFSET($EN$3,0,0,'Données projet'!$E$15+1,1))-AVERAGE(OFFSET($H$3,0,0,'Données projet'!$E$15+1,1))</f>
        <v>323.92137573760789</v>
      </c>
      <c r="EP22" s="60">
        <f t="shared" si="46"/>
        <v>389.53897948144339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8.6</v>
      </c>
      <c r="FE22" s="13">
        <f>IF('Données projet'!$A$218&gt;35,FE21+FD22-FM21,IF(A22&lt;'Données projet'!$A$218,$FB$205^A22,IF(A22='Données projet'!$A$218,'Données projet'!$B$218,FE21+FD22-FM21)))</f>
        <v>71.400000000000006</v>
      </c>
      <c r="FF22" s="18">
        <f>FE22*VLOOKUP('Données projet'!$B$16,Paramètres!$A$1:$I$89,3,0)*VLOOKUP('Données projet'!$B$16,Paramètres!$A$1:$I$89,5,0)</f>
        <v>56.805840000000003</v>
      </c>
      <c r="FG22" s="14">
        <f t="shared" si="47"/>
        <v>16.358131967776131</v>
      </c>
      <c r="FH22" s="22">
        <f t="shared" si="22"/>
        <v>127.42725117721011</v>
      </c>
      <c r="FI22" s="60">
        <f t="shared" si="23"/>
        <v>420.76058451054342</v>
      </c>
      <c r="FJ22" s="60">
        <f ca="1">AVERAGE(OFFSET($FI$3,0,0,'Données projet'!$E$16+1,1))-AVERAGE(OFFSET($H$3,0,0,'Données projet'!$E$16+1,1))</f>
        <v>219.61164494001008</v>
      </c>
      <c r="FK22" s="60">
        <f t="shared" si="48"/>
        <v>219.59799863414111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3.4358974358974361</v>
      </c>
      <c r="FZ22" s="13">
        <f>IF('Données projet'!$A$244&gt;35,FZ21+FY22-GH21,IF(A22&lt;'Données projet'!$A$244,$FW$205^A22,IF(A22='Données projet'!$A$244,'Données projet'!$B$244,FZ21+FY22-GH21)))</f>
        <v>18.836588447555499</v>
      </c>
      <c r="GA22" s="18">
        <f>FZ22*VLOOKUP('Données projet'!$B$17,Paramètres!$A$1:$I$89,3,0)*VLOOKUP('Données projet'!$B$17,Paramètres!$A$1:$I$89,5,0)</f>
        <v>8.8155233934559742</v>
      </c>
      <c r="GB22" s="14">
        <f t="shared" si="49"/>
        <v>3.153358066176315</v>
      </c>
      <c r="GC22" s="22">
        <f t="shared" si="25"/>
        <v>20.845801875526238</v>
      </c>
      <c r="GD22" s="60">
        <f t="shared" si="26"/>
        <v>314.17913520885958</v>
      </c>
      <c r="GE22" s="60">
        <f ca="1">AVERAGE(OFFSET($GD$3,0,0,'Données projet'!$E$17+1,1))-AVERAGE(OFFSET($H$3,0,0,'Données projet'!$E$17+1,1))</f>
        <v>147.5699668214238</v>
      </c>
      <c r="GF22" s="60">
        <f t="shared" si="50"/>
        <v>70.653739864908346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>
        <f>VLOOKUP(A22,'Données projet'!$A$269:$I$289,2,0)</f>
        <v>255.89759999999998</v>
      </c>
      <c r="GS22" s="13">
        <f>VLOOKUP(A22,'Données projet'!$A$269:$I$289,9,0)</f>
        <v>15.667199999999951</v>
      </c>
      <c r="GT22" s="13">
        <f t="array" ref="GT22">INDEX(GS:GS,MIN(IF(ISNUMBER(GS22:GS218),ROW(GS22:GS218),"")))</f>
        <v>15.667199999999951</v>
      </c>
      <c r="GU22" s="13">
        <f>IF('Données projet'!$A$270&gt;35,GU21+GT22-HC21,IF(A22&lt;'Données projet'!$A$270,$GR$205^A22,IF(A22='Données projet'!$A$270,'Données projet'!$B$270,GU21+GT22-HC21)))</f>
        <v>255.89759999999998</v>
      </c>
      <c r="GV22" s="18">
        <f>GU22*VLOOKUP('Données projet'!$B$18,Paramètres!$A$1:$I$89,3,0)*VLOOKUP('Données projet'!$B$18,Paramètres!$A$1:$I$89,5,0)</f>
        <v>130.13928345599999</v>
      </c>
      <c r="GW22" s="14">
        <f t="shared" si="51"/>
        <v>34.028541643478619</v>
      </c>
      <c r="GX22" s="22">
        <f t="shared" si="28"/>
        <v>285.92562871492515</v>
      </c>
      <c r="GY22" s="60">
        <f t="shared" si="29"/>
        <v>579.25896204825847</v>
      </c>
      <c r="GZ22" s="60">
        <f ca="1">AVERAGE(OFFSET($GY$3,0,0,'Données projet'!$E$18+1,1))-AVERAGE(OFFSET($H$3,0,0,'Données projet'!$E$18+1,1))</f>
        <v>136.03899433512379</v>
      </c>
      <c r="HA22" s="60">
        <f t="shared" si="52"/>
        <v>316.56646692826882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440.92171753768048</v>
      </c>
      <c r="S23" s="60">
        <f ca="1">AVERAGE(OFFSET($R$3,0,0,'Données projet'!$E$9+1,1))-AVERAGE(OFFSET($H$3,0,0,'Données projet'!$E$9+1,1))</f>
        <v>384.44848355636935</v>
      </c>
      <c r="T23" s="60">
        <f t="shared" si="34"/>
        <v>203.5274665601915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0">
        <f t="shared" si="5"/>
        <v>379.49184380384929</v>
      </c>
      <c r="AN23" s="60">
        <f ca="1">AVERAGE(OFFSET($AM$3,0,0,'Données projet'!$E$10+1,1))-AVERAGE(OFFSET($H$3,0,0,'Données projet'!$E$10+1,1))</f>
        <v>303.73499739059076</v>
      </c>
      <c r="AO23" s="60">
        <f t="shared" si="36"/>
        <v>172.32171001882188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61.495200000000004</v>
      </c>
      <c r="BF23" s="14">
        <f t="shared" si="37"/>
        <v>17.545759224285259</v>
      </c>
      <c r="BG23" s="22">
        <f t="shared" si="7"/>
        <v>137.66300398229683</v>
      </c>
      <c r="BH23" s="60">
        <f t="shared" si="8"/>
        <v>430.99633731563017</v>
      </c>
      <c r="BI23" s="60">
        <f ca="1">AVERAGE(OFFSET($BH$3,0,0,'Données projet'!$E$11+1,1))-AVERAGE(OFFSET($H$3,0,0,'Données projet'!$E$11+1,1))</f>
        <v>352.29660374042186</v>
      </c>
      <c r="BJ23" s="60">
        <f t="shared" si="38"/>
        <v>187.26439695305618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35.380800000000001</v>
      </c>
      <c r="CA23" s="14">
        <f t="shared" si="39"/>
        <v>10.765721954933243</v>
      </c>
      <c r="CB23" s="22">
        <f t="shared" si="10"/>
        <v>80.371859071508723</v>
      </c>
      <c r="CC23" s="60">
        <f t="shared" si="11"/>
        <v>373.70519240484202</v>
      </c>
      <c r="CD23" s="60">
        <f ca="1">AVERAGE(OFFSET($CC$3,0,0,'Données projet'!$E$12+1,1))-AVERAGE(OFFSET($H$3,0,0,'Données projet'!$E$12+1,1))</f>
        <v>277.03735509061545</v>
      </c>
      <c r="CE23" s="60">
        <f t="shared" si="40"/>
        <v>158.16416492761959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42.588000000000001</v>
      </c>
      <c r="CV23" s="14">
        <f t="shared" si="41"/>
        <v>12.682073764365764</v>
      </c>
      <c r="CW23" s="22">
        <f t="shared" si="13"/>
        <v>96.262045139603686</v>
      </c>
      <c r="CX23" s="60">
        <f t="shared" si="14"/>
        <v>389.595378472937</v>
      </c>
      <c r="CY23" s="60">
        <f ca="1">AVERAGE(OFFSET($CX$3,0,0,'Données projet'!$E$13+1,1))-AVERAGE(OFFSET($H$3,0,0,'Données projet'!$E$13+1,1))</f>
        <v>350.3652766444938</v>
      </c>
      <c r="CZ23" s="60">
        <f t="shared" si="42"/>
        <v>197.04549436738586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165</v>
      </c>
      <c r="DM23" s="13">
        <f>VLOOKUP(A23,'Données projet'!$A$165:$I$185,9,0)</f>
        <v>16</v>
      </c>
      <c r="DN23" s="13">
        <f t="array" ref="DN23">INDEX(DM:DM,MIN(IF(ISNUMBER(DM23:DM219),ROW(DM23:DM219),"")))</f>
        <v>16</v>
      </c>
      <c r="DO23" s="13">
        <f>IF('Données projet'!$A$166&gt;35,DO22+DN23-DW22,IF(A23&lt;'Données projet'!$A$166,$DL$205^A23,IF(A23='Données projet'!$A$166,'Données projet'!$B$166,DO22+DN23-DW22)))</f>
        <v>165</v>
      </c>
      <c r="DP23" s="18">
        <f>DO23*VLOOKUP('Données projet'!$B$14,Paramètres!$A$1:$I$89,3,0)*VLOOKUP('Données projet'!$B$14,Paramètres!$A$1:$I$89,5,0)</f>
        <v>131.274</v>
      </c>
      <c r="DQ23" s="14">
        <f t="shared" si="43"/>
        <v>34.290576031111669</v>
      </c>
      <c r="DR23" s="22">
        <f t="shared" si="16"/>
        <v>288.35830325418613</v>
      </c>
      <c r="DS23" s="60">
        <f t="shared" si="17"/>
        <v>581.6916365875195</v>
      </c>
      <c r="DT23" s="60">
        <f ca="1">AVERAGE(OFFSET($DS$3,0,0,'Données projet'!$E$14+1,1))-AVERAGE(OFFSET($H$3,0,0,'Données projet'!$E$14+1,1))</f>
        <v>382.01991140382955</v>
      </c>
      <c r="DU23" s="60">
        <f t="shared" si="44"/>
        <v>389.53897948144339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169</v>
      </c>
      <c r="EH23" s="13">
        <f>VLOOKUP(A23,'Données projet'!$A$191:$I$211,9,0)</f>
        <v>14.4</v>
      </c>
      <c r="EI23" s="13">
        <f t="array" ref="EI23">INDEX(EH:EH,MIN(IF(ISNUMBER(EH23:EH219),ROW(EH23:EH219),"")))</f>
        <v>14.4</v>
      </c>
      <c r="EJ23" s="13">
        <f>IF('Données projet'!$A$192&gt;35,EJ22+EI23-ER22,IF(A23&lt;'Données projet'!$A$192,$EG$205^A23,IF(A23='Données projet'!$A$192,'Données projet'!$B$192,EJ22+EI23-ER22)))</f>
        <v>169.00000000000003</v>
      </c>
      <c r="EK23" s="18">
        <f>EJ23*VLOOKUP('Données projet'!$B$15,Paramètres!$A$1:$I$89,3,0)*VLOOKUP('Données projet'!$B$15,Paramètres!$A$1:$I$89,5,0)</f>
        <v>134.45640000000003</v>
      </c>
      <c r="EL23" s="14">
        <f t="shared" si="45"/>
        <v>35.024073835162412</v>
      </c>
      <c r="EM23" s="22">
        <f t="shared" si="19"/>
        <v>295.17849192957459</v>
      </c>
      <c r="EN23" s="60">
        <f t="shared" si="20"/>
        <v>588.51182526290791</v>
      </c>
      <c r="EO23" s="60">
        <f ca="1">AVERAGE(OFFSET($EN$3,0,0,'Données projet'!$E$15+1,1))-AVERAGE(OFFSET($H$3,0,0,'Données projet'!$E$15+1,1))</f>
        <v>323.92137573760789</v>
      </c>
      <c r="EP23" s="60">
        <f t="shared" si="46"/>
        <v>389.53897948144339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67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>
        <f>VLOOKUP(A23,'Données projet'!$A$217:$I$237,2,0)</f>
        <v>80</v>
      </c>
      <c r="FC23" s="13">
        <f>VLOOKUP(A23,'Données projet'!$A$217:$I$237,9,0)</f>
        <v>8.6</v>
      </c>
      <c r="FD23" s="13">
        <f t="array" ref="FD23">INDEX(FC:FC,MIN(IF(ISNUMBER(FC23:FC219),ROW(FC23:FC219),"")))</f>
        <v>8.6</v>
      </c>
      <c r="FE23" s="13">
        <f>IF('Données projet'!$A$218&gt;35,FE22+FD23-FM22,IF(A23&lt;'Données projet'!$A$218,$FB$205^A23,IF(A23='Données projet'!$A$218,'Données projet'!$B$218,FE22+FD23-FM22)))</f>
        <v>80</v>
      </c>
      <c r="FF23" s="18">
        <f>FE23*VLOOKUP('Données projet'!$B$16,Paramètres!$A$1:$I$89,3,0)*VLOOKUP('Données projet'!$B$16,Paramètres!$A$1:$I$89,5,0)</f>
        <v>63.647999999999996</v>
      </c>
      <c r="FG23" s="14">
        <f t="shared" si="47"/>
        <v>18.087405707268363</v>
      </c>
      <c r="FH23" s="22">
        <f t="shared" si="22"/>
        <v>142.35583160682572</v>
      </c>
      <c r="FI23" s="60">
        <f t="shared" si="23"/>
        <v>435.689164940159</v>
      </c>
      <c r="FJ23" s="60">
        <f ca="1">AVERAGE(OFFSET($FI$3,0,0,'Données projet'!$E$16+1,1))-AVERAGE(OFFSET($H$3,0,0,'Données projet'!$E$16+1,1))</f>
        <v>219.61164494001008</v>
      </c>
      <c r="FK23" s="60">
        <f t="shared" si="48"/>
        <v>219.59799863414111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43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3.4358974358974361</v>
      </c>
      <c r="FZ23" s="13">
        <f>IF('Données projet'!$A$244&gt;35,FZ22+FY23-GH22,IF(A23&lt;'Données projet'!$A$244,$FW$205^A23,IF(A23='Données projet'!$A$244,'Données projet'!$B$244,FZ22+FY23-GH22)))</f>
        <v>21.984046333871831</v>
      </c>
      <c r="GA23" s="18">
        <f>FZ23*VLOOKUP('Données projet'!$B$17,Paramètres!$A$1:$I$89,3,0)*VLOOKUP('Données projet'!$B$17,Paramètres!$A$1:$I$89,5,0)</f>
        <v>10.288533684252016</v>
      </c>
      <c r="GB23" s="14">
        <f t="shared" si="49"/>
        <v>3.6146612479167253</v>
      </c>
      <c r="GC23" s="22">
        <f t="shared" si="25"/>
        <v>24.214731173527223</v>
      </c>
      <c r="GD23" s="60">
        <f t="shared" si="26"/>
        <v>317.54806450686056</v>
      </c>
      <c r="GE23" s="60">
        <f ca="1">AVERAGE(OFFSET($GD$3,0,0,'Données projet'!$E$17+1,1))-AVERAGE(OFFSET($H$3,0,0,'Données projet'!$E$17+1,1))</f>
        <v>147.5699668214238</v>
      </c>
      <c r="GF23" s="60">
        <f t="shared" si="50"/>
        <v>70.653739864908346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>
        <f>VLOOKUP(A23,'Données projet'!$A$269:$I$289,2,0)</f>
        <v>268.95359999999999</v>
      </c>
      <c r="GS23" s="13">
        <f>VLOOKUP(A23,'Données projet'!$A$269:$I$289,9,0)</f>
        <v>13.056000000000012</v>
      </c>
      <c r="GT23" s="13">
        <f t="array" ref="GT23">INDEX(GS:GS,MIN(IF(ISNUMBER(GS23:GS219),ROW(GS23:GS219),"")))</f>
        <v>13.056000000000012</v>
      </c>
      <c r="GU23" s="13">
        <f>IF('Données projet'!$A$270&gt;35,GU22+GT23-HC22,IF(A23&lt;'Données projet'!$A$270,$GR$205^A23,IF(A23='Données projet'!$A$270,'Données projet'!$B$270,GU22+GT23-HC22)))</f>
        <v>268.95359999999999</v>
      </c>
      <c r="GV23" s="18">
        <f>GU23*VLOOKUP('Données projet'!$B$18,Paramètres!$A$1:$I$89,3,0)*VLOOKUP('Données projet'!$B$18,Paramètres!$A$1:$I$89,5,0)</f>
        <v>136.77904281600001</v>
      </c>
      <c r="GW23" s="14">
        <f t="shared" si="51"/>
        <v>35.558132856347285</v>
      </c>
      <c r="GX23" s="22">
        <f t="shared" si="28"/>
        <v>300.15391429600487</v>
      </c>
      <c r="GY23" s="60">
        <f t="shared" si="29"/>
        <v>593.48724762933819</v>
      </c>
      <c r="GZ23" s="60">
        <f ca="1">AVERAGE(OFFSET($GY$3,0,0,'Données projet'!$E$18+1,1))-AVERAGE(OFFSET($H$3,0,0,'Données projet'!$E$18+1,1))</f>
        <v>136.03899433512379</v>
      </c>
      <c r="HA23" s="60">
        <f t="shared" si="52"/>
        <v>316.56646692826882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455.08896575162873</v>
      </c>
      <c r="S24" s="60">
        <f ca="1">AVERAGE(OFFSET($R$3,0,0,'Données projet'!$E$9+1,1))-AVERAGE(OFFSET($H$3,0,0,'Données projet'!$E$9+1,1))</f>
        <v>384.44848355636935</v>
      </c>
      <c r="T24" s="60">
        <f t="shared" si="34"/>
        <v>203.5274665601915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0">
        <f t="shared" si="5"/>
        <v>390.65226125630295</v>
      </c>
      <c r="AN24" s="60">
        <f ca="1">AVERAGE(OFFSET($AM$3,0,0,'Données projet'!$E$10+1,1))-AVERAGE(OFFSET($H$3,0,0,'Données projet'!$E$10+1,1))</f>
        <v>303.73499739059076</v>
      </c>
      <c r="AO24" s="60">
        <f t="shared" si="36"/>
        <v>172.32171001882188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80.2</v>
      </c>
      <c r="BE24" s="14">
        <f>BD24*VLOOKUP('Données projet'!$B$11,Paramètres!$A$1:$I$89,3,0)*VLOOKUP('Données projet'!$B$11,Paramètres!$A$1:$I$89,5,0)</f>
        <v>67.560480000000013</v>
      </c>
      <c r="BF24" s="14">
        <f t="shared" si="37"/>
        <v>19.066393765425332</v>
      </c>
      <c r="BG24" s="22">
        <f t="shared" si="7"/>
        <v>150.87513847478246</v>
      </c>
      <c r="BH24" s="60">
        <f t="shared" si="8"/>
        <v>444.20847180811575</v>
      </c>
      <c r="BI24" s="60">
        <f ca="1">AVERAGE(OFFSET($BH$3,0,0,'Données projet'!$E$11+1,1))-AVERAGE(OFFSET($H$3,0,0,'Données projet'!$E$11+1,1))</f>
        <v>352.29660374042186</v>
      </c>
      <c r="BJ24" s="60">
        <f t="shared" si="38"/>
        <v>187.26439695305618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40.098240000000011</v>
      </c>
      <c r="CA24" s="14">
        <f t="shared" si="39"/>
        <v>12.024681710991171</v>
      </c>
      <c r="CB24" s="22">
        <f t="shared" si="10"/>
        <v>90.780755313309626</v>
      </c>
      <c r="CC24" s="60">
        <f t="shared" si="11"/>
        <v>384.11408864664293</v>
      </c>
      <c r="CD24" s="60">
        <f ca="1">AVERAGE(OFFSET($CC$3,0,0,'Données projet'!$E$12+1,1))-AVERAGE(OFFSET($H$3,0,0,'Données projet'!$E$12+1,1))</f>
        <v>277.03735509061545</v>
      </c>
      <c r="CE24" s="60">
        <f t="shared" si="40"/>
        <v>158.16416492761959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48.266400000000004</v>
      </c>
      <c r="CV24" s="14">
        <f t="shared" si="41"/>
        <v>14.165134590154434</v>
      </c>
      <c r="CW24" s="22">
        <f t="shared" si="13"/>
        <v>108.73492274451898</v>
      </c>
      <c r="CX24" s="60">
        <f t="shared" si="14"/>
        <v>402.06825607785231</v>
      </c>
      <c r="CY24" s="60">
        <f ca="1">AVERAGE(OFFSET($CX$3,0,0,'Données projet'!$E$13+1,1))-AVERAGE(OFFSET($H$3,0,0,'Données projet'!$E$13+1,1))</f>
        <v>350.3652766444938</v>
      </c>
      <c r="CZ24" s="60">
        <f t="shared" si="42"/>
        <v>197.04549436738586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16.8</v>
      </c>
      <c r="DO24" s="13">
        <f>IF('Données projet'!$A$166&gt;35,DO23+DN24-DW23,IF(A24&lt;'Données projet'!$A$166,$DL$205^A24,IF(A24='Données projet'!$A$166,'Données projet'!$B$166,DO23+DN24-DW23)))</f>
        <v>181.8</v>
      </c>
      <c r="DP24" s="18">
        <f>DO24*VLOOKUP('Données projet'!$B$14,Paramètres!$A$1:$I$89,3,0)*VLOOKUP('Données projet'!$B$14,Paramètres!$A$1:$I$89,5,0)</f>
        <v>144.64008000000001</v>
      </c>
      <c r="DQ24" s="14">
        <f t="shared" si="43"/>
        <v>37.357957092646465</v>
      </c>
      <c r="DR24" s="22">
        <f t="shared" si="16"/>
        <v>316.97991460302597</v>
      </c>
      <c r="DS24" s="60">
        <f t="shared" si="17"/>
        <v>610.31324793635929</v>
      </c>
      <c r="DT24" s="60">
        <f ca="1">AVERAGE(OFFSET($DS$3,0,0,'Données projet'!$E$14+1,1))-AVERAGE(OFFSET($H$3,0,0,'Données projet'!$E$14+1,1))</f>
        <v>382.01991140382955</v>
      </c>
      <c r="DU24" s="60">
        <f t="shared" si="44"/>
        <v>389.53897948144339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14.8</v>
      </c>
      <c r="EJ24" s="13">
        <f>IF('Données projet'!$A$192&gt;35,EJ23+EI24-ER23,IF(A24&lt;'Données projet'!$A$192,$EG$205^A24,IF(A24='Données projet'!$A$192,'Données projet'!$B$192,EJ23+EI24-ER23)))</f>
        <v>116.80000000000004</v>
      </c>
      <c r="EK24" s="18">
        <f>EJ24*VLOOKUP('Données projet'!$B$15,Paramètres!$A$1:$I$89,3,0)*VLOOKUP('Données projet'!$B$15,Paramètres!$A$1:$I$89,5,0)</f>
        <v>92.926080000000027</v>
      </c>
      <c r="EL24" s="14">
        <f t="shared" si="45"/>
        <v>25.269605588991233</v>
      </c>
      <c r="EM24" s="22">
        <f t="shared" si="19"/>
        <v>205.85748573415978</v>
      </c>
      <c r="EN24" s="60">
        <f t="shared" si="20"/>
        <v>499.19081906749307</v>
      </c>
      <c r="EO24" s="60">
        <f ca="1">AVERAGE(OFFSET($EN$3,0,0,'Données projet'!$E$15+1,1))-AVERAGE(OFFSET($H$3,0,0,'Données projet'!$E$15+1,1))</f>
        <v>323.92137573760789</v>
      </c>
      <c r="EP24" s="60">
        <f t="shared" si="46"/>
        <v>389.53897948144339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15.6</v>
      </c>
      <c r="FE24" s="13">
        <f>IF('Données projet'!$A$218&gt;35,FE23+FD24-FM23,IF(A24&lt;'Données projet'!$A$218,$FB$205^A24,IF(A24='Données projet'!$A$218,'Données projet'!$B$218,FE23+FD24-FM23)))</f>
        <v>52.599999999999994</v>
      </c>
      <c r="FF24" s="18">
        <f>FE24*VLOOKUP('Données projet'!$B$16,Paramètres!$A$1:$I$89,3,0)*VLOOKUP('Données projet'!$B$16,Paramètres!$A$1:$I$89,5,0)</f>
        <v>41.848559999999999</v>
      </c>
      <c r="FG24" s="14">
        <f t="shared" si="47"/>
        <v>12.487312237283449</v>
      </c>
      <c r="FH24" s="22">
        <f t="shared" si="22"/>
        <v>94.63497747993533</v>
      </c>
      <c r="FI24" s="60">
        <f t="shared" si="23"/>
        <v>387.96831081326866</v>
      </c>
      <c r="FJ24" s="60">
        <f ca="1">AVERAGE(OFFSET($FI$3,0,0,'Données projet'!$E$16+1,1))-AVERAGE(OFFSET($H$3,0,0,'Données projet'!$E$16+1,1))</f>
        <v>219.61164494001008</v>
      </c>
      <c r="FK24" s="60">
        <f t="shared" si="48"/>
        <v>219.59799863414111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3.4358974358974361</v>
      </c>
      <c r="FZ24" s="13">
        <f>IF('Données projet'!$A$244&gt;35,FZ23+FY24-GH23,IF(A24&lt;'Données projet'!$A$244,$FW$205^A24,IF(A24='Données projet'!$A$244,'Données projet'!$B$244,FZ23+FY24-GH23)))</f>
        <v>25.657421701143715</v>
      </c>
      <c r="GA24" s="18">
        <f>FZ24*VLOOKUP('Données projet'!$B$17,Paramètres!$A$1:$I$89,3,0)*VLOOKUP('Données projet'!$B$17,Paramètres!$A$1:$I$89,5,0)</f>
        <v>12.007673356135259</v>
      </c>
      <c r="GB24" s="14">
        <f t="shared" si="49"/>
        <v>4.1434482424744576</v>
      </c>
      <c r="GC24" s="22">
        <f t="shared" si="25"/>
        <v>28.129870117578587</v>
      </c>
      <c r="GD24" s="60">
        <f t="shared" si="26"/>
        <v>321.46320345091192</v>
      </c>
      <c r="GE24" s="60">
        <f ca="1">AVERAGE(OFFSET($GD$3,0,0,'Données projet'!$E$17+1,1))-AVERAGE(OFFSET($H$3,0,0,'Données projet'!$E$17+1,1))</f>
        <v>147.5699668214238</v>
      </c>
      <c r="GF24" s="60">
        <f t="shared" si="50"/>
        <v>70.653739864908346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>
        <f>VLOOKUP(A24,'Données projet'!$A$269:$I$289,2,0)</f>
        <v>282.00959999999998</v>
      </c>
      <c r="GS24" s="13">
        <f>VLOOKUP(A24,'Données projet'!$A$269:$I$289,9,0)</f>
        <v>13.055999999999983</v>
      </c>
      <c r="GT24" s="13">
        <f t="array" ref="GT24">INDEX(GS:GS,MIN(IF(ISNUMBER(GS24:GS220),ROW(GS24:GS220),"")))</f>
        <v>13.055999999999983</v>
      </c>
      <c r="GU24" s="13">
        <f>IF('Données projet'!$A$270&gt;35,GU23+GT24-HC23,IF(A24&lt;'Données projet'!$A$270,$GR$205^A24,IF(A24='Données projet'!$A$270,'Données projet'!$B$270,GU23+GT24-HC23)))</f>
        <v>282.00959999999998</v>
      </c>
      <c r="GV24" s="18">
        <f>GU24*VLOOKUP('Données projet'!$B$18,Paramètres!$A$1:$I$89,3,0)*VLOOKUP('Données projet'!$B$18,Paramètres!$A$1:$I$89,5,0)</f>
        <v>143.41880217599999</v>
      </c>
      <c r="GW24" s="14">
        <f t="shared" si="51"/>
        <v>37.079101933457103</v>
      </c>
      <c r="GX24" s="22">
        <f t="shared" si="28"/>
        <v>314.36718299063779</v>
      </c>
      <c r="GY24" s="60">
        <f t="shared" si="29"/>
        <v>607.7005163239711</v>
      </c>
      <c r="GZ24" s="60">
        <f ca="1">AVERAGE(OFFSET($GY$3,0,0,'Données projet'!$E$18+1,1))-AVERAGE(OFFSET($H$3,0,0,'Données projet'!$E$18+1,1))</f>
        <v>136.03899433512379</v>
      </c>
      <c r="HA24" s="60">
        <f t="shared" si="52"/>
        <v>316.56646692826882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469.22684616560844</v>
      </c>
      <c r="S25" s="60">
        <f ca="1">AVERAGE(OFFSET($R$3,0,0,'Données projet'!$E$9+1,1))-AVERAGE(OFFSET($H$3,0,0,'Données projet'!$E$9+1,1))</f>
        <v>384.44848355636935</v>
      </c>
      <c r="T25" s="60">
        <f t="shared" si="34"/>
        <v>203.5274665601915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0">
        <f t="shared" si="5"/>
        <v>401.7808352462539</v>
      </c>
      <c r="AN25" s="60">
        <f ca="1">AVERAGE(OFFSET($AM$3,0,0,'Données projet'!$E$10+1,1))-AVERAGE(OFFSET($H$3,0,0,'Données projet'!$E$10+1,1))</f>
        <v>303.73499739059076</v>
      </c>
      <c r="AO25" s="60">
        <f t="shared" si="36"/>
        <v>172.32171001882188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87.4</v>
      </c>
      <c r="BE25" s="14">
        <f>BD25*VLOOKUP('Données projet'!$B$11,Paramètres!$A$1:$I$89,3,0)*VLOOKUP('Données projet'!$B$11,Paramètres!$A$1:$I$89,5,0)</f>
        <v>73.625760000000014</v>
      </c>
      <c r="BF25" s="14">
        <f t="shared" si="37"/>
        <v>20.571198174996731</v>
      </c>
      <c r="BG25" s="22">
        <f t="shared" si="7"/>
        <v>164.05970215478601</v>
      </c>
      <c r="BH25" s="60">
        <f t="shared" si="8"/>
        <v>457.39303548811932</v>
      </c>
      <c r="BI25" s="60">
        <f ca="1">AVERAGE(OFFSET($BH$3,0,0,'Données projet'!$E$11+1,1))-AVERAGE(OFFSET($H$3,0,0,'Données projet'!$E$11+1,1))</f>
        <v>352.29660374042186</v>
      </c>
      <c r="BJ25" s="60">
        <f t="shared" si="38"/>
        <v>187.26439695305618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44.815680000000008</v>
      </c>
      <c r="CA25" s="14">
        <f t="shared" si="39"/>
        <v>13.266476878569183</v>
      </c>
      <c r="CB25" s="22">
        <f t="shared" si="10"/>
        <v>101.159756563508</v>
      </c>
      <c r="CC25" s="60">
        <f t="shared" si="11"/>
        <v>394.4930898968413</v>
      </c>
      <c r="CD25" s="60">
        <f ca="1">AVERAGE(OFFSET($CC$3,0,0,'Données projet'!$E$12+1,1))-AVERAGE(OFFSET($H$3,0,0,'Données projet'!$E$12+1,1))</f>
        <v>277.03735509061545</v>
      </c>
      <c r="CE25" s="60">
        <f t="shared" si="40"/>
        <v>158.16416492761959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53.944800000000008</v>
      </c>
      <c r="CV25" s="14">
        <f t="shared" si="41"/>
        <v>15.627975445731321</v>
      </c>
      <c r="CW25" s="22">
        <f t="shared" si="13"/>
        <v>121.17258390131538</v>
      </c>
      <c r="CX25" s="60">
        <f t="shared" si="14"/>
        <v>414.50591723464868</v>
      </c>
      <c r="CY25" s="60">
        <f ca="1">AVERAGE(OFFSET($CX$3,0,0,'Données projet'!$E$13+1,1))-AVERAGE(OFFSET($H$3,0,0,'Données projet'!$E$13+1,1))</f>
        <v>350.3652766444938</v>
      </c>
      <c r="CZ25" s="60">
        <f t="shared" si="42"/>
        <v>197.04549436738586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16.8</v>
      </c>
      <c r="DO25" s="13">
        <f>IF('Données projet'!$A$166&gt;35,DO24+DN25-DW24,IF(A25&lt;'Données projet'!$A$166,$DL$205^A25,IF(A25='Données projet'!$A$166,'Données projet'!$B$166,DO24+DN25-DW24)))</f>
        <v>198.60000000000002</v>
      </c>
      <c r="DP25" s="18">
        <f>DO25*VLOOKUP('Données projet'!$B$14,Paramètres!$A$1:$I$89,3,0)*VLOOKUP('Données projet'!$B$14,Paramètres!$A$1:$I$89,5,0)</f>
        <v>158.00616000000002</v>
      </c>
      <c r="DQ25" s="14">
        <f t="shared" si="43"/>
        <v>40.392471545814118</v>
      </c>
      <c r="DR25" s="22">
        <f t="shared" si="16"/>
        <v>345.54428327562624</v>
      </c>
      <c r="DS25" s="60">
        <f t="shared" si="17"/>
        <v>638.87761660895956</v>
      </c>
      <c r="DT25" s="60">
        <f ca="1">AVERAGE(OFFSET($DS$3,0,0,'Données projet'!$E$14+1,1))-AVERAGE(OFFSET($H$3,0,0,'Données projet'!$E$14+1,1))</f>
        <v>382.01991140382955</v>
      </c>
      <c r="DU25" s="60">
        <f t="shared" si="44"/>
        <v>389.53897948144339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14.8</v>
      </c>
      <c r="EJ25" s="13">
        <f>IF('Données projet'!$A$192&gt;35,EJ24+EI25-ER24,IF(A25&lt;'Données projet'!$A$192,$EG$205^A25,IF(A25='Données projet'!$A$192,'Données projet'!$B$192,EJ24+EI25-ER24)))</f>
        <v>131.60000000000005</v>
      </c>
      <c r="EK25" s="18">
        <f>EJ25*VLOOKUP('Données projet'!$B$15,Paramètres!$A$1:$I$89,3,0)*VLOOKUP('Données projet'!$B$15,Paramètres!$A$1:$I$89,5,0)</f>
        <v>104.70096000000005</v>
      </c>
      <c r="EL25" s="14">
        <f t="shared" si="45"/>
        <v>28.07892464469024</v>
      </c>
      <c r="EM25" s="22">
        <f t="shared" si="19"/>
        <v>231.25829908950223</v>
      </c>
      <c r="EN25" s="60">
        <f t="shared" si="20"/>
        <v>524.59163242283557</v>
      </c>
      <c r="EO25" s="60">
        <f ca="1">AVERAGE(OFFSET($EN$3,0,0,'Données projet'!$E$15+1,1))-AVERAGE(OFFSET($H$3,0,0,'Données projet'!$E$15+1,1))</f>
        <v>323.92137573760789</v>
      </c>
      <c r="EP25" s="60">
        <f t="shared" si="46"/>
        <v>389.53897948144339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15.6</v>
      </c>
      <c r="FE25" s="13">
        <f>IF('Données projet'!$A$218&gt;35,FE24+FD25-FM24,IF(A25&lt;'Données projet'!$A$218,$FB$205^A25,IF(A25='Données projet'!$A$218,'Données projet'!$B$218,FE24+FD25-FM24)))</f>
        <v>68.199999999999989</v>
      </c>
      <c r="FF25" s="18">
        <f>FE25*VLOOKUP('Données projet'!$B$16,Paramètres!$A$1:$I$89,3,0)*VLOOKUP('Données projet'!$B$16,Paramètres!$A$1:$I$89,5,0)</f>
        <v>54.259919999999994</v>
      </c>
      <c r="FG25" s="14">
        <f t="shared" si="47"/>
        <v>15.708613019613548</v>
      </c>
      <c r="FH25" s="22">
        <f t="shared" si="22"/>
        <v>121.86186167582692</v>
      </c>
      <c r="FI25" s="60">
        <f t="shared" si="23"/>
        <v>415.19519500916022</v>
      </c>
      <c r="FJ25" s="60">
        <f ca="1">AVERAGE(OFFSET($FI$3,0,0,'Données projet'!$E$16+1,1))-AVERAGE(OFFSET($H$3,0,0,'Données projet'!$E$16+1,1))</f>
        <v>219.61164494001008</v>
      </c>
      <c r="FK25" s="60">
        <f t="shared" si="48"/>
        <v>219.59799863414111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3.4358974358974361</v>
      </c>
      <c r="FZ25" s="13">
        <f>IF('Données projet'!$A$244&gt;35,FZ24+FY25-GH24,IF(A25&lt;'Données projet'!$A$244,$FW$205^A25,IF(A25='Données projet'!$A$244,'Données projet'!$B$244,FZ24+FY25-GH24)))</f>
        <v>29.944591562111224</v>
      </c>
      <c r="GA25" s="18">
        <f>FZ25*VLOOKUP('Données projet'!$B$17,Paramètres!$A$1:$I$89,3,0)*VLOOKUP('Données projet'!$B$17,Paramètres!$A$1:$I$89,5,0)</f>
        <v>14.014068851068053</v>
      </c>
      <c r="GB25" s="14">
        <f t="shared" si="49"/>
        <v>4.749591223232712</v>
      </c>
      <c r="GC25" s="22">
        <f t="shared" si="25"/>
        <v>32.680041296073831</v>
      </c>
      <c r="GD25" s="60">
        <f t="shared" si="26"/>
        <v>326.01337462940717</v>
      </c>
      <c r="GE25" s="60">
        <f ca="1">AVERAGE(OFFSET($GD$3,0,0,'Données projet'!$E$17+1,1))-AVERAGE(OFFSET($H$3,0,0,'Données projet'!$E$17+1,1))</f>
        <v>147.5699668214238</v>
      </c>
      <c r="GF25" s="60">
        <f t="shared" si="50"/>
        <v>70.653739864908346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>
        <f>VLOOKUP(A25,'Données projet'!$A$269:$I$289,2,0)</f>
        <v>292.45439999999996</v>
      </c>
      <c r="GS25" s="13">
        <f>VLOOKUP(A25,'Données projet'!$A$269:$I$289,9,0)</f>
        <v>10.444799999999987</v>
      </c>
      <c r="GT25" s="13">
        <f t="array" ref="GT25">INDEX(GS:GS,MIN(IF(ISNUMBER(GS25:GS221),ROW(GS25:GS221),"")))</f>
        <v>10.444799999999987</v>
      </c>
      <c r="GU25" s="13">
        <f>IF('Données projet'!$A$270&gt;35,GU24+GT25-HC24,IF(A25&lt;'Données projet'!$A$270,$GR$205^A25,IF(A25='Données projet'!$A$270,'Données projet'!$B$270,GU24+GT25-HC24)))</f>
        <v>292.45439999999996</v>
      </c>
      <c r="GV25" s="18">
        <f>GU25*VLOOKUP('Données projet'!$B$18,Paramètres!$A$1:$I$89,3,0)*VLOOKUP('Données projet'!$B$18,Paramètres!$A$1:$I$89,5,0)</f>
        <v>148.73060966400001</v>
      </c>
      <c r="GW25" s="14">
        <f t="shared" si="51"/>
        <v>38.289969582540643</v>
      </c>
      <c r="GX25" s="22">
        <f t="shared" si="28"/>
        <v>325.7275088543916</v>
      </c>
      <c r="GY25" s="60">
        <f t="shared" si="29"/>
        <v>619.06084218772492</v>
      </c>
      <c r="GZ25" s="60">
        <f ca="1">AVERAGE(OFFSET($GY$3,0,0,'Données projet'!$E$18+1,1))-AVERAGE(OFFSET($H$3,0,0,'Données projet'!$E$18+1,1))</f>
        <v>136.03899433512379</v>
      </c>
      <c r="HA25" s="60">
        <f t="shared" si="52"/>
        <v>316.56646692826882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483.33805314710958</v>
      </c>
      <c r="S26" s="60">
        <f ca="1">AVERAGE(OFFSET($R$3,0,0,'Données projet'!$E$9+1,1))-AVERAGE(OFFSET($H$3,0,0,'Données projet'!$E$9+1,1))</f>
        <v>384.44848355636935</v>
      </c>
      <c r="T26" s="60">
        <f t="shared" si="34"/>
        <v>203.5274665601915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0">
        <f t="shared" si="5"/>
        <v>412.88129961889177</v>
      </c>
      <c r="AN26" s="60">
        <f ca="1">AVERAGE(OFFSET($AM$3,0,0,'Données projet'!$E$10+1,1))-AVERAGE(OFFSET($H$3,0,0,'Données projet'!$E$10+1,1))</f>
        <v>303.73499739059076</v>
      </c>
      <c r="AO26" s="60">
        <f t="shared" si="36"/>
        <v>172.32171001882188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94.600000000000009</v>
      </c>
      <c r="BE26" s="14">
        <f>BD26*VLOOKUP('Données projet'!$B$11,Paramètres!$A$1:$I$89,3,0)*VLOOKUP('Données projet'!$B$11,Paramètres!$A$1:$I$89,5,0)</f>
        <v>79.691040000000015</v>
      </c>
      <c r="BF26" s="14">
        <f t="shared" si="37"/>
        <v>22.061624798490286</v>
      </c>
      <c r="BG26" s="22">
        <f t="shared" si="7"/>
        <v>177.21922452403726</v>
      </c>
      <c r="BH26" s="60">
        <f t="shared" si="8"/>
        <v>470.55255785737057</v>
      </c>
      <c r="BI26" s="60">
        <f ca="1">AVERAGE(OFFSET($BH$3,0,0,'Données projet'!$E$11+1,1))-AVERAGE(OFFSET($H$3,0,0,'Données projet'!$E$11+1,1))</f>
        <v>352.29660374042186</v>
      </c>
      <c r="BJ26" s="60">
        <f t="shared" si="38"/>
        <v>187.26439695305618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49.533120000000011</v>
      </c>
      <c r="CA26" s="14">
        <f t="shared" si="39"/>
        <v>14.493120113047395</v>
      </c>
      <c r="CB26" s="22">
        <f t="shared" si="10"/>
        <v>111.5123681968909</v>
      </c>
      <c r="CC26" s="60">
        <f t="shared" si="11"/>
        <v>404.84570153022423</v>
      </c>
      <c r="CD26" s="60">
        <f ca="1">AVERAGE(OFFSET($CC$3,0,0,'Données projet'!$E$12+1,1))-AVERAGE(OFFSET($H$3,0,0,'Données projet'!$E$12+1,1))</f>
        <v>277.03735509061545</v>
      </c>
      <c r="CE26" s="60">
        <f t="shared" si="40"/>
        <v>158.16416492761959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59.623200000000011</v>
      </c>
      <c r="CV26" s="14">
        <f t="shared" si="41"/>
        <v>17.072967249098898</v>
      </c>
      <c r="CW26" s="22">
        <f t="shared" si="13"/>
        <v>133.57915795884725</v>
      </c>
      <c r="CX26" s="60">
        <f t="shared" si="14"/>
        <v>426.91249129218056</v>
      </c>
      <c r="CY26" s="60">
        <f ca="1">AVERAGE(OFFSET($CX$3,0,0,'Données projet'!$E$13+1,1))-AVERAGE(OFFSET($H$3,0,0,'Données projet'!$E$13+1,1))</f>
        <v>350.3652766444938</v>
      </c>
      <c r="CZ26" s="60">
        <f t="shared" si="42"/>
        <v>197.04549436738586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16.8</v>
      </c>
      <c r="DO26" s="13">
        <f>IF('Données projet'!$A$166&gt;35,DO25+DN26-DW25,IF(A26&lt;'Données projet'!$A$166,$DL$205^A26,IF(A26='Données projet'!$A$166,'Données projet'!$B$166,DO25+DN26-DW25)))</f>
        <v>215.40000000000003</v>
      </c>
      <c r="DP26" s="18">
        <f>DO26*VLOOKUP('Données projet'!$B$14,Paramètres!$A$1:$I$89,3,0)*VLOOKUP('Données projet'!$B$14,Paramètres!$A$1:$I$89,5,0)</f>
        <v>171.37224000000003</v>
      </c>
      <c r="DQ26" s="14">
        <f t="shared" si="43"/>
        <v>43.397215745170669</v>
      </c>
      <c r="DR26" s="22">
        <f t="shared" si="16"/>
        <v>374.05680208950565</v>
      </c>
      <c r="DS26" s="60">
        <f t="shared" si="17"/>
        <v>667.39013542283897</v>
      </c>
      <c r="DT26" s="60">
        <f ca="1">AVERAGE(OFFSET($DS$3,0,0,'Données projet'!$E$14+1,1))-AVERAGE(OFFSET($H$3,0,0,'Données projet'!$E$14+1,1))</f>
        <v>382.01991140382955</v>
      </c>
      <c r="DU26" s="60">
        <f t="shared" si="44"/>
        <v>389.53897948144339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14.8</v>
      </c>
      <c r="EJ26" s="13">
        <f>IF('Données projet'!$A$192&gt;35,EJ25+EI26-ER25,IF(A26&lt;'Données projet'!$A$192,$EG$205^A26,IF(A26='Données projet'!$A$192,'Données projet'!$B$192,EJ25+EI26-ER25)))</f>
        <v>146.40000000000006</v>
      </c>
      <c r="EK26" s="18">
        <f>EJ26*VLOOKUP('Données projet'!$B$15,Paramètres!$A$1:$I$89,3,0)*VLOOKUP('Données projet'!$B$15,Paramètres!$A$1:$I$89,5,0)</f>
        <v>116.47584000000005</v>
      </c>
      <c r="EL26" s="14">
        <f t="shared" si="45"/>
        <v>30.851626354938308</v>
      </c>
      <c r="EM26" s="22">
        <f t="shared" si="19"/>
        <v>256.59533723485094</v>
      </c>
      <c r="EN26" s="60">
        <f t="shared" si="20"/>
        <v>549.92867056818432</v>
      </c>
      <c r="EO26" s="60">
        <f ca="1">AVERAGE(OFFSET($EN$3,0,0,'Données projet'!$E$15+1,1))-AVERAGE(OFFSET($H$3,0,0,'Données projet'!$E$15+1,1))</f>
        <v>323.92137573760789</v>
      </c>
      <c r="EP26" s="60">
        <f t="shared" si="46"/>
        <v>389.53897948144339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15.6</v>
      </c>
      <c r="FE26" s="13">
        <f>IF('Données projet'!$A$218&gt;35,FE25+FD26-FM25,IF(A26&lt;'Données projet'!$A$218,$FB$205^A26,IF(A26='Données projet'!$A$218,'Données projet'!$B$218,FE25+FD26-FM25)))</f>
        <v>83.799999999999983</v>
      </c>
      <c r="FF26" s="18">
        <f>FE26*VLOOKUP('Données projet'!$B$16,Paramètres!$A$1:$I$89,3,0)*VLOOKUP('Données projet'!$B$16,Paramètres!$A$1:$I$89,5,0)</f>
        <v>66.671279999999996</v>
      </c>
      <c r="FG26" s="14">
        <f t="shared" si="47"/>
        <v>18.844489742729156</v>
      </c>
      <c r="FH26" s="22">
        <f t="shared" si="22"/>
        <v>148.93996563525323</v>
      </c>
      <c r="FI26" s="60">
        <f t="shared" si="23"/>
        <v>442.27329896858657</v>
      </c>
      <c r="FJ26" s="60">
        <f ca="1">AVERAGE(OFFSET($FI$3,0,0,'Données projet'!$E$16+1,1))-AVERAGE(OFFSET($H$3,0,0,'Données projet'!$E$16+1,1))</f>
        <v>219.61164494001008</v>
      </c>
      <c r="FK26" s="60">
        <f t="shared" si="48"/>
        <v>219.59799863414111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3.4358974358974361</v>
      </c>
      <c r="FZ26" s="13">
        <f>IF('Données projet'!$A$244&gt;35,FZ25+FY26-GH25,IF(A26&lt;'Données projet'!$A$244,$FW$205^A26,IF(A26='Données projet'!$A$244,'Données projet'!$B$244,FZ25+FY26-GH25)))</f>
        <v>34.948116543670167</v>
      </c>
      <c r="GA26" s="18">
        <f>FZ26*VLOOKUP('Données projet'!$B$17,Paramètres!$A$1:$I$89,3,0)*VLOOKUP('Données projet'!$B$17,Paramètres!$A$1:$I$89,5,0)</f>
        <v>16.355718542437639</v>
      </c>
      <c r="GB26" s="14">
        <f t="shared" si="49"/>
        <v>5.4444065589044843</v>
      </c>
      <c r="GC26" s="22">
        <f t="shared" si="25"/>
        <v>37.968551218170866</v>
      </c>
      <c r="GD26" s="60">
        <f t="shared" si="26"/>
        <v>331.3018845515042</v>
      </c>
      <c r="GE26" s="60">
        <f ca="1">AVERAGE(OFFSET($GD$3,0,0,'Données projet'!$E$17+1,1))-AVERAGE(OFFSET($H$3,0,0,'Données projet'!$E$17+1,1))</f>
        <v>147.5699668214238</v>
      </c>
      <c r="GF26" s="60">
        <f t="shared" si="50"/>
        <v>70.653739864908346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>
        <f>VLOOKUP(A26,'Données projet'!$A$269:$I$289,2,0)</f>
        <v>300.28800000000001</v>
      </c>
      <c r="GS26" s="13">
        <f>VLOOKUP(A26,'Données projet'!$A$269:$I$289,9,0)</f>
        <v>7.8336000000000467</v>
      </c>
      <c r="GT26" s="13">
        <f t="array" ref="GT26">INDEX(GS:GS,MIN(IF(ISNUMBER(GS26:GS222),ROW(GS26:GS222),"")))</f>
        <v>7.8336000000000467</v>
      </c>
      <c r="GU26" s="13">
        <f>IF('Données projet'!$A$270&gt;35,GU25+GT26-HC25,IF(A26&lt;'Données projet'!$A$270,$GR$205^A26,IF(A26='Données projet'!$A$270,'Données projet'!$B$270,GU25+GT26-HC25)))</f>
        <v>300.28800000000001</v>
      </c>
      <c r="GV26" s="18">
        <f>GU26*VLOOKUP('Données projet'!$B$18,Paramètres!$A$1:$I$89,3,0)*VLOOKUP('Données projet'!$B$18,Paramètres!$A$1:$I$89,5,0)</f>
        <v>152.71446528000001</v>
      </c>
      <c r="GW26" s="14">
        <f t="shared" si="51"/>
        <v>39.194812232752284</v>
      </c>
      <c r="GX26" s="22">
        <f t="shared" si="28"/>
        <v>334.24199166804357</v>
      </c>
      <c r="GY26" s="60">
        <f t="shared" si="29"/>
        <v>627.57532500137688</v>
      </c>
      <c r="GZ26" s="60">
        <f ca="1">AVERAGE(OFFSET($GY$3,0,0,'Données projet'!$E$18+1,1))-AVERAGE(OFFSET($H$3,0,0,'Données projet'!$E$18+1,1))</f>
        <v>136.03899433512379</v>
      </c>
      <c r="HA26" s="60">
        <f t="shared" si="52"/>
        <v>316.56646692826882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497.42484763862745</v>
      </c>
      <c r="S27" s="60">
        <f ca="1">AVERAGE(OFFSET($R$3,0,0,'Données projet'!$E$9+1,1))-AVERAGE(OFFSET($H$3,0,0,'Données projet'!$E$9+1,1))</f>
        <v>384.44848355636935</v>
      </c>
      <c r="T27" s="60">
        <f t="shared" si="34"/>
        <v>203.5274665601915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0">
        <f t="shared" si="5"/>
        <v>423.95663605630523</v>
      </c>
      <c r="AN27" s="60">
        <f ca="1">AVERAGE(OFFSET($AM$3,0,0,'Données projet'!$E$10+1,1))-AVERAGE(OFFSET($H$3,0,0,'Données projet'!$E$10+1,1))</f>
        <v>303.73499739059076</v>
      </c>
      <c r="AO27" s="60">
        <f t="shared" si="36"/>
        <v>172.32171001882188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101.80000000000001</v>
      </c>
      <c r="BE27" s="14">
        <f>BD27*VLOOKUP('Données projet'!$B$11,Paramètres!$A$1:$I$89,3,0)*VLOOKUP('Données projet'!$B$11,Paramètres!$A$1:$I$89,5,0)</f>
        <v>85.756320000000017</v>
      </c>
      <c r="BF27" s="14">
        <f t="shared" si="37"/>
        <v>23.538892352228263</v>
      </c>
      <c r="BG27" s="22">
        <f t="shared" si="7"/>
        <v>190.35582818013089</v>
      </c>
      <c r="BH27" s="60">
        <f t="shared" si="8"/>
        <v>483.68916151346423</v>
      </c>
      <c r="BI27" s="60">
        <f ca="1">AVERAGE(OFFSET($BH$3,0,0,'Données projet'!$E$11+1,1))-AVERAGE(OFFSET($H$3,0,0,'Données projet'!$E$11+1,1))</f>
        <v>352.29660374042186</v>
      </c>
      <c r="BJ27" s="60">
        <f t="shared" si="38"/>
        <v>187.26439695305618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54.250560000000007</v>
      </c>
      <c r="CA27" s="14">
        <f t="shared" si="39"/>
        <v>15.706218631166928</v>
      </c>
      <c r="CB27" s="22">
        <f t="shared" si="10"/>
        <v>121.84138944928242</v>
      </c>
      <c r="CC27" s="60">
        <f t="shared" si="11"/>
        <v>415.17472278261573</v>
      </c>
      <c r="CD27" s="60">
        <f ca="1">AVERAGE(OFFSET($CC$3,0,0,'Données projet'!$E$12+1,1))-AVERAGE(OFFSET($H$3,0,0,'Données projet'!$E$12+1,1))</f>
        <v>277.03735509061545</v>
      </c>
      <c r="CE27" s="60">
        <f t="shared" si="40"/>
        <v>158.16416492761959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65.301600000000008</v>
      </c>
      <c r="CV27" s="14">
        <f t="shared" si="41"/>
        <v>18.502003309535596</v>
      </c>
      <c r="CW27" s="22">
        <f t="shared" si="13"/>
        <v>145.95794243077449</v>
      </c>
      <c r="CX27" s="60">
        <f t="shared" si="14"/>
        <v>439.29127576410781</v>
      </c>
      <c r="CY27" s="60">
        <f ca="1">AVERAGE(OFFSET($CX$3,0,0,'Données projet'!$E$13+1,1))-AVERAGE(OFFSET($H$3,0,0,'Données projet'!$E$13+1,1))</f>
        <v>350.3652766444938</v>
      </c>
      <c r="CZ27" s="60">
        <f t="shared" si="42"/>
        <v>197.04549436738586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16.8</v>
      </c>
      <c r="DO27" s="13">
        <f>IF('Données projet'!$A$166&gt;35,DO26+DN27-DW26,IF(A27&lt;'Données projet'!$A$166,$DL$205^A27,IF(A27='Données projet'!$A$166,'Données projet'!$B$166,DO26+DN27-DW26)))</f>
        <v>232.20000000000005</v>
      </c>
      <c r="DP27" s="18">
        <f>DO27*VLOOKUP('Données projet'!$B$14,Paramètres!$A$1:$I$89,3,0)*VLOOKUP('Données projet'!$B$14,Paramètres!$A$1:$I$89,5,0)</f>
        <v>184.73832000000004</v>
      </c>
      <c r="DQ27" s="14">
        <f t="shared" si="43"/>
        <v>46.374775595471988</v>
      </c>
      <c r="DR27" s="22">
        <f t="shared" si="16"/>
        <v>402.52197482878046</v>
      </c>
      <c r="DS27" s="60">
        <f t="shared" si="17"/>
        <v>695.85530816211372</v>
      </c>
      <c r="DT27" s="60">
        <f ca="1">AVERAGE(OFFSET($DS$3,0,0,'Données projet'!$E$14+1,1))-AVERAGE(OFFSET($H$3,0,0,'Données projet'!$E$14+1,1))</f>
        <v>382.01991140382955</v>
      </c>
      <c r="DU27" s="60">
        <f t="shared" si="44"/>
        <v>389.53897948144339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14.8</v>
      </c>
      <c r="EJ27" s="13">
        <f>IF('Données projet'!$A$192&gt;35,EJ26+EI27-ER26,IF(A27&lt;'Données projet'!$A$192,$EG$205^A27,IF(A27='Données projet'!$A$192,'Données projet'!$B$192,EJ26+EI27-ER26)))</f>
        <v>161.20000000000007</v>
      </c>
      <c r="EK27" s="18">
        <f>EJ27*VLOOKUP('Données projet'!$B$15,Paramètres!$A$1:$I$89,3,0)*VLOOKUP('Données projet'!$B$15,Paramètres!$A$1:$I$89,5,0)</f>
        <v>128.25072000000009</v>
      </c>
      <c r="EL27" s="14">
        <f t="shared" si="45"/>
        <v>33.591833937449628</v>
      </c>
      <c r="EM27" s="22">
        <f t="shared" si="19"/>
        <v>281.87578144105822</v>
      </c>
      <c r="EN27" s="60">
        <f t="shared" si="20"/>
        <v>575.20911477439154</v>
      </c>
      <c r="EO27" s="60">
        <f ca="1">AVERAGE(OFFSET($EN$3,0,0,'Données projet'!$E$15+1,1))-AVERAGE(OFFSET($H$3,0,0,'Données projet'!$E$15+1,1))</f>
        <v>323.92137573760789</v>
      </c>
      <c r="EP27" s="60">
        <f t="shared" si="46"/>
        <v>389.53897948144339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15.6</v>
      </c>
      <c r="FE27" s="13">
        <f>IF('Données projet'!$A$218&gt;35,FE26+FD27-FM26,IF(A27&lt;'Données projet'!$A$218,$FB$205^A27,IF(A27='Données projet'!$A$218,'Données projet'!$B$218,FE26+FD27-FM26)))</f>
        <v>99.399999999999977</v>
      </c>
      <c r="FF27" s="18">
        <f>FE27*VLOOKUP('Données projet'!$B$16,Paramètres!$A$1:$I$89,3,0)*VLOOKUP('Données projet'!$B$16,Paramètres!$A$1:$I$89,5,0)</f>
        <v>79.082639999999984</v>
      </c>
      <c r="FG27" s="14">
        <f t="shared" si="47"/>
        <v>21.912734504175745</v>
      </c>
      <c r="FH27" s="22">
        <f t="shared" si="22"/>
        <v>175.90027726143936</v>
      </c>
      <c r="FI27" s="60">
        <f t="shared" si="23"/>
        <v>469.2336105947727</v>
      </c>
      <c r="FJ27" s="60">
        <f ca="1">AVERAGE(OFFSET($FI$3,0,0,'Données projet'!$E$16+1,1))-AVERAGE(OFFSET($H$3,0,0,'Données projet'!$E$16+1,1))</f>
        <v>219.61164494001008</v>
      </c>
      <c r="FK27" s="60">
        <f t="shared" si="48"/>
        <v>219.59799863414111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3.4358974358974361</v>
      </c>
      <c r="FZ27" s="13">
        <f>IF('Données projet'!$A$244&gt;35,FZ26+FY27-GH26,IF(A27&lt;'Données projet'!$A$244,$FW$205^A27,IF(A27='Données projet'!$A$244,'Données projet'!$B$244,FZ26+FY27-GH26)))</f>
        <v>40.787694412748245</v>
      </c>
      <c r="GA27" s="18">
        <f>FZ27*VLOOKUP('Données projet'!$B$17,Paramètres!$A$1:$I$89,3,0)*VLOOKUP('Données projet'!$B$17,Paramètres!$A$1:$I$89,5,0)</f>
        <v>19.08864098516618</v>
      </c>
      <c r="GB27" s="14">
        <f t="shared" si="49"/>
        <v>6.2408660841484478</v>
      </c>
      <c r="GC27" s="22">
        <f t="shared" si="25"/>
        <v>44.115558145722979</v>
      </c>
      <c r="GD27" s="60">
        <f t="shared" si="26"/>
        <v>337.44889147905627</v>
      </c>
      <c r="GE27" s="60">
        <f ca="1">AVERAGE(OFFSET($GD$3,0,0,'Données projet'!$E$17+1,1))-AVERAGE(OFFSET($H$3,0,0,'Données projet'!$E$17+1,1))</f>
        <v>147.5699668214238</v>
      </c>
      <c r="GF27" s="60">
        <f t="shared" si="50"/>
        <v>70.653739864908346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>
        <f>VLOOKUP(A27,'Données projet'!$A$269:$I$289,2,0)</f>
        <v>308.1216</v>
      </c>
      <c r="GS27" s="13">
        <f>VLOOKUP(A27,'Données projet'!$A$269:$I$289,9,0)</f>
        <v>7.8335999999999899</v>
      </c>
      <c r="GT27" s="13">
        <f t="array" ref="GT27">INDEX(GS:GS,MIN(IF(ISNUMBER(GS27:GS223),ROW(GS27:GS223),"")))</f>
        <v>7.8335999999999899</v>
      </c>
      <c r="GU27" s="13">
        <f>IF('Données projet'!$A$270&gt;35,GU26+GT27-HC26,IF(A27&lt;'Données projet'!$A$270,$GR$205^A27,IF(A27='Données projet'!$A$270,'Données projet'!$B$270,GU26+GT27-HC26)))</f>
        <v>308.1216</v>
      </c>
      <c r="GV27" s="18">
        <f>GU27*VLOOKUP('Données projet'!$B$18,Paramètres!$A$1:$I$89,3,0)*VLOOKUP('Données projet'!$B$18,Paramètres!$A$1:$I$89,5,0)</f>
        <v>156.69832089600001</v>
      </c>
      <c r="GW27" s="14">
        <f t="shared" si="51"/>
        <v>40.096911147036494</v>
      </c>
      <c r="GX27" s="22">
        <f t="shared" si="28"/>
        <v>342.75169580828856</v>
      </c>
      <c r="GY27" s="60">
        <f t="shared" si="29"/>
        <v>636.08502914162182</v>
      </c>
      <c r="GZ27" s="60">
        <f ca="1">AVERAGE(OFFSET($GY$3,0,0,'Données projet'!$E$18+1,1))-AVERAGE(OFFSET($H$3,0,0,'Données projet'!$E$18+1,1))</f>
        <v>136.03899433512379</v>
      </c>
      <c r="HA27" s="60">
        <f t="shared" si="52"/>
        <v>316.56646692826882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511.48915264607911</v>
      </c>
      <c r="S28" s="60">
        <f ca="1">AVERAGE(OFFSET($R$3,0,0,'Données projet'!$E$9+1,1))-AVERAGE(OFFSET($H$3,0,0,'Données projet'!$E$9+1,1))</f>
        <v>384.44848355636935</v>
      </c>
      <c r="T28" s="60">
        <f t="shared" si="34"/>
        <v>203.5274665601915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0">
        <f t="shared" si="5"/>
        <v>435.00927803996467</v>
      </c>
      <c r="AN28" s="60">
        <f ca="1">AVERAGE(OFFSET($AM$3,0,0,'Données projet'!$E$10+1,1))-AVERAGE(OFFSET($H$3,0,0,'Données projet'!$E$10+1,1))</f>
        <v>303.73499739059076</v>
      </c>
      <c r="AO28" s="60">
        <f t="shared" si="36"/>
        <v>172.32171001882188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109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109.00000000000001</v>
      </c>
      <c r="BE28" s="14">
        <f>BD28*VLOOKUP('Données projet'!$B$11,Paramètres!$A$1:$I$89,3,0)*VLOOKUP('Données projet'!$B$11,Paramètres!$A$1:$I$89,5,0)</f>
        <v>91.821600000000018</v>
      </c>
      <c r="BF28" s="14">
        <f t="shared" si="37"/>
        <v>25.004037394505982</v>
      </c>
      <c r="BG28" s="22">
        <f t="shared" si="7"/>
        <v>203.47131846209797</v>
      </c>
      <c r="BH28" s="60">
        <f t="shared" si="8"/>
        <v>496.80465179543125</v>
      </c>
      <c r="BI28" s="60">
        <f ca="1">AVERAGE(OFFSET($BH$3,0,0,'Données projet'!$E$11+1,1))-AVERAGE(OFFSET($H$3,0,0,'Données projet'!$E$11+1,1))</f>
        <v>352.29660374042186</v>
      </c>
      <c r="BJ28" s="60">
        <f t="shared" si="38"/>
        <v>187.26439695305618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58.968000000000011</v>
      </c>
      <c r="CA28" s="14">
        <f t="shared" si="39"/>
        <v>16.907084152971134</v>
      </c>
      <c r="CB28" s="22">
        <f t="shared" si="10"/>
        <v>132.14910489975807</v>
      </c>
      <c r="CC28" s="60">
        <f t="shared" si="11"/>
        <v>425.48243823309139</v>
      </c>
      <c r="CD28" s="60">
        <f ca="1">AVERAGE(OFFSET($CC$3,0,0,'Données projet'!$E$12+1,1))-AVERAGE(OFFSET($H$3,0,0,'Données projet'!$E$12+1,1))</f>
        <v>277.03735509061545</v>
      </c>
      <c r="CE28" s="60">
        <f t="shared" si="40"/>
        <v>158.16416492761959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70.98</v>
      </c>
      <c r="CV28" s="14">
        <f t="shared" si="41"/>
        <v>19.916628839746853</v>
      </c>
      <c r="CW28" s="22">
        <f t="shared" si="13"/>
        <v>158.31162856255909</v>
      </c>
      <c r="CX28" s="60">
        <f t="shared" si="14"/>
        <v>451.64496189589238</v>
      </c>
      <c r="CY28" s="60">
        <f ca="1">AVERAGE(OFFSET($CX$3,0,0,'Données projet'!$E$13+1,1))-AVERAGE(OFFSET($H$3,0,0,'Données projet'!$E$13+1,1))</f>
        <v>350.3652766444938</v>
      </c>
      <c r="CZ28" s="60">
        <f t="shared" si="42"/>
        <v>197.04549436738586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249</v>
      </c>
      <c r="DM28" s="13">
        <f>VLOOKUP(A28,'Données projet'!$A$165:$I$185,9,0)</f>
        <v>16.8</v>
      </c>
      <c r="DN28" s="13">
        <f t="array" ref="DN28">INDEX(DM:DM,MIN(IF(ISNUMBER(DM28:DM224),ROW(DM28:DM224),"")))</f>
        <v>16.8</v>
      </c>
      <c r="DO28" s="13">
        <f>IF('Données projet'!$A$166&gt;35,DO27+DN28-DW27,IF(A28&lt;'Données projet'!$A$166,$DL$205^A28,IF(A28='Données projet'!$A$166,'Données projet'!$B$166,DO27+DN28-DW27)))</f>
        <v>249.00000000000006</v>
      </c>
      <c r="DP28" s="18">
        <f>DO28*VLOOKUP('Données projet'!$B$14,Paramètres!$A$1:$I$89,3,0)*VLOOKUP('Données projet'!$B$14,Paramètres!$A$1:$I$89,5,0)</f>
        <v>198.10440000000006</v>
      </c>
      <c r="DQ28" s="14">
        <f t="shared" si="43"/>
        <v>49.327341602622013</v>
      </c>
      <c r="DR28" s="22">
        <f t="shared" si="16"/>
        <v>430.9436166245668</v>
      </c>
      <c r="DS28" s="60">
        <f t="shared" si="17"/>
        <v>724.27694995790011</v>
      </c>
      <c r="DT28" s="60">
        <f ca="1">AVERAGE(OFFSET($DS$3,0,0,'Données projet'!$E$14+1,1))-AVERAGE(OFFSET($H$3,0,0,'Données projet'!$E$14+1,1))</f>
        <v>382.01991140382955</v>
      </c>
      <c r="DU28" s="60">
        <f t="shared" si="44"/>
        <v>389.53897948144339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84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176</v>
      </c>
      <c r="EH28" s="13">
        <f>VLOOKUP(A28,'Données projet'!$A$191:$I$211,9,0)</f>
        <v>14.8</v>
      </c>
      <c r="EI28" s="13">
        <f t="array" ref="EI28">INDEX(EH:EH,MIN(IF(ISNUMBER(EH28:EH224),ROW(EH28:EH224),"")))</f>
        <v>14.8</v>
      </c>
      <c r="EJ28" s="13">
        <f>IF('Données projet'!$A$192&gt;35,EJ27+EI28-ER27,IF(A28&lt;'Données projet'!$A$192,$EG$205^A28,IF(A28='Données projet'!$A$192,'Données projet'!$B$192,EJ27+EI28-ER27)))</f>
        <v>176.00000000000009</v>
      </c>
      <c r="EK28" s="18">
        <f>EJ28*VLOOKUP('Données projet'!$B$15,Paramètres!$A$1:$I$89,3,0)*VLOOKUP('Données projet'!$B$15,Paramètres!$A$1:$I$89,5,0)</f>
        <v>140.02560000000008</v>
      </c>
      <c r="EL28" s="14">
        <f t="shared" si="45"/>
        <v>36.302870033112491</v>
      </c>
      <c r="EM28" s="22">
        <f t="shared" si="19"/>
        <v>307.10541864100441</v>
      </c>
      <c r="EN28" s="60">
        <f t="shared" si="20"/>
        <v>600.43875197433772</v>
      </c>
      <c r="EO28" s="60">
        <f ca="1">AVERAGE(OFFSET($EN$3,0,0,'Données projet'!$E$15+1,1))-AVERAGE(OFFSET($H$3,0,0,'Données projet'!$E$15+1,1))</f>
        <v>323.92137573760789</v>
      </c>
      <c r="EP28" s="60">
        <f t="shared" si="46"/>
        <v>389.53897948144339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>
        <f>VLOOKUP(A28,'Données projet'!$A$217:$I$237,2,0)</f>
        <v>115</v>
      </c>
      <c r="FC28" s="13">
        <f>VLOOKUP(A28,'Données projet'!$A$217:$I$237,9,0)</f>
        <v>15.6</v>
      </c>
      <c r="FD28" s="13">
        <f t="array" ref="FD28">INDEX(FC:FC,MIN(IF(ISNUMBER(FC28:FC224),ROW(FC28:FC224),"")))</f>
        <v>15.6</v>
      </c>
      <c r="FE28" s="13">
        <f>IF('Données projet'!$A$218&gt;35,FE27+FD28-FM27,IF(A28&lt;'Données projet'!$A$218,$FB$205^A28,IF(A28='Données projet'!$A$218,'Données projet'!$B$218,FE27+FD28-FM27)))</f>
        <v>114.99999999999997</v>
      </c>
      <c r="FF28" s="18">
        <f>FE28*VLOOKUP('Données projet'!$B$16,Paramètres!$A$1:$I$89,3,0)*VLOOKUP('Données projet'!$B$16,Paramètres!$A$1:$I$89,5,0)</f>
        <v>91.493999999999986</v>
      </c>
      <c r="FG28" s="14">
        <f t="shared" si="47"/>
        <v>24.925195840896517</v>
      </c>
      <c r="FH28" s="22">
        <f t="shared" si="22"/>
        <v>202.76343275622807</v>
      </c>
      <c r="FI28" s="60">
        <f t="shared" si="23"/>
        <v>496.09676608956136</v>
      </c>
      <c r="FJ28" s="60">
        <f ca="1">AVERAGE(OFFSET($FI$3,0,0,'Données projet'!$E$16+1,1))-AVERAGE(OFFSET($H$3,0,0,'Données projet'!$E$16+1,1))</f>
        <v>219.61164494001008</v>
      </c>
      <c r="FK28" s="60">
        <f t="shared" si="48"/>
        <v>219.59799863414111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3.4358974358974361</v>
      </c>
      <c r="FZ28" s="13">
        <f>IF('Données projet'!$A$244&gt;35,FZ27+FY28-GH27,IF(A28&lt;'Données projet'!$A$244,$FW$205^A28,IF(A28='Données projet'!$A$244,'Données projet'!$B$244,FZ27+FY28-GH27)))</f>
        <v>47.603023568635017</v>
      </c>
      <c r="GA28" s="18">
        <f>FZ28*VLOOKUP('Données projet'!$B$17,Paramètres!$A$1:$I$89,3,0)*VLOOKUP('Données projet'!$B$17,Paramètres!$A$1:$I$89,5,0)</f>
        <v>22.278215030121189</v>
      </c>
      <c r="GB28" s="14">
        <f t="shared" si="49"/>
        <v>7.1538392768580321</v>
      </c>
      <c r="GC28" s="22">
        <f t="shared" si="25"/>
        <v>51.260827917988813</v>
      </c>
      <c r="GD28" s="60">
        <f t="shared" si="26"/>
        <v>344.59416125132213</v>
      </c>
      <c r="GE28" s="60">
        <f ca="1">AVERAGE(OFFSET($GD$3,0,0,'Données projet'!$E$17+1,1))-AVERAGE(OFFSET($H$3,0,0,'Données projet'!$E$17+1,1))</f>
        <v>147.5699668214238</v>
      </c>
      <c r="GF28" s="60">
        <f t="shared" si="50"/>
        <v>70.653739864908346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>
        <f>VLOOKUP(A28,'Données projet'!$A$269:$I$289,2,0)</f>
        <v>313.34400000000005</v>
      </c>
      <c r="GS28" s="13">
        <f>VLOOKUP(A28,'Données projet'!$A$269:$I$289,9,0)</f>
        <v>5.2224000000000501</v>
      </c>
      <c r="GT28" s="13">
        <f t="array" ref="GT28">INDEX(GS:GS,MIN(IF(ISNUMBER(GS28:GS224),ROW(GS28:GS224),"")))</f>
        <v>5.2224000000000501</v>
      </c>
      <c r="GU28" s="13">
        <f>IF('Données projet'!$A$270&gt;35,GU27+GT28-HC27,IF(A28&lt;'Données projet'!$A$270,$GR$205^A28,IF(A28='Données projet'!$A$270,'Données projet'!$B$270,GU27+GT28-HC27)))</f>
        <v>313.34400000000005</v>
      </c>
      <c r="GV28" s="18">
        <f>GU28*VLOOKUP('Données projet'!$B$18,Paramètres!$A$1:$I$89,3,0)*VLOOKUP('Données projet'!$B$18,Paramètres!$A$1:$I$89,5,0)</f>
        <v>159.35422464000004</v>
      </c>
      <c r="GW28" s="14">
        <f t="shared" si="51"/>
        <v>40.696824705362708</v>
      </c>
      <c r="GX28" s="22">
        <f t="shared" si="28"/>
        <v>348.42224427650677</v>
      </c>
      <c r="GY28" s="60">
        <f t="shared" si="29"/>
        <v>641.75557760984009</v>
      </c>
      <c r="GZ28" s="60">
        <f ca="1">AVERAGE(OFFSET($GY$3,0,0,'Données projet'!$E$18+1,1))-AVERAGE(OFFSET($H$3,0,0,'Données projet'!$E$18+1,1))</f>
        <v>136.03899433512379</v>
      </c>
      <c r="HA28" s="60">
        <f t="shared" si="52"/>
        <v>316.56646692826882</v>
      </c>
      <c r="HB28" s="16">
        <f>IF(ISNA(VLOOKUP(A28,'Données projet'!$A$269:$I$289,3,0)),0,VLOOKUP(A28,'Données projet'!$A$269:$I$289,3,0))</f>
        <v>1</v>
      </c>
      <c r="HC28" s="16">
        <f>IF(ISNA(VLOOKUP(A28,'Données projet'!$A$269:$I$289,4,0)),0,VLOOKUP(A28,'Données projet'!$A$269:$I$289,4,0))</f>
        <v>313.34400000000005</v>
      </c>
      <c r="HD28" s="17">
        <f>IF(ISNA(VLOOKUP(A28,'Données projet'!$A$269:$I$289,5,0)),0%,VLOOKUP(A28,'Données projet'!$A$269:$I$289,5,0)*VLOOKUP('Données projet'!$B$18,Paramètres!$A$1:$I$89,7,0))</f>
        <v>0.46799999999999997</v>
      </c>
      <c r="HE28" s="17">
        <f>IF(ISNA(VLOOKUP(A28,'Données projet'!$A$269:$I$289,6,0)),0%,VLOOKUP(A28,'Données projet'!$A$269:$I$289,6,0)*VLOOKUP('Données projet'!$B$18,Paramètres!$A$1:$I$89,7,0))</f>
        <v>6.6000000000000003E-2</v>
      </c>
      <c r="HF28" s="17">
        <f>IF(ISNA(VLOOKUP(A28,'Données projet'!$A$269:$I$289,7,0)),0%,VLOOKUP(A28,'Données projet'!$A$269:$I$289,7,0))</f>
        <v>0.11</v>
      </c>
      <c r="HG28" s="23">
        <f>EXP(-LN(2)/35)*HG27+(1-EXP(-LN(2)/35))/(LN(2)/35)*HC28*HD28*VLOOKUP('Données projet'!$B$18,Paramètres!$A$1:$I$89,3,0)*0.475*44/12</f>
        <v>82.443523590305205</v>
      </c>
      <c r="HH28" s="23">
        <f>EXP(-LN(2)/25)*HH27+(1-EXP(-LN(2)/25))/(LN(2)/25)*Calculateur!HC28*Calculateur!HE28*VLOOKUP('Données projet'!$B$18,Paramètres!$A$1:$I$89,3,0)*0.475*44/12</f>
        <v>11.580872208581207</v>
      </c>
      <c r="HI28" s="23">
        <f>EXP(-LN(2)/2)*HI27+(1-EXP(-LN(2)/2))/(LN(2)/2)*HC28*HF28*VLOOKUP('Données projet'!$B$18,Paramètres!$A$1:$I$89,3,0)*0.475*44/12</f>
        <v>16.539049989430449</v>
      </c>
      <c r="HJ28" s="24">
        <f t="shared" si="30"/>
        <v>110.56344578831687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462.94678562222634</v>
      </c>
      <c r="S29" s="60">
        <f ca="1">AVERAGE(OFFSET($R$3,0,0,'Données projet'!$E$9+1,1))-AVERAGE(OFFSET($H$3,0,0,'Données projet'!$E$9+1,1))</f>
        <v>384.44848355636935</v>
      </c>
      <c r="T29" s="60">
        <f t="shared" si="34"/>
        <v>203.5274665601915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0">
        <f t="shared" si="5"/>
        <v>448.79621558952238</v>
      </c>
      <c r="AN29" s="60">
        <f ca="1">AVERAGE(OFFSET($AM$3,0,0,'Données projet'!$E$10+1,1))-AVERAGE(OFFSET($H$3,0,0,'Données projet'!$E$10+1,1))</f>
        <v>303.73499739059076</v>
      </c>
      <c r="AO29" s="60">
        <f t="shared" si="36"/>
        <v>172.32171001882188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70.930080000000018</v>
      </c>
      <c r="BF29" s="14">
        <f t="shared" si="37"/>
        <v>19.904251483253464</v>
      </c>
      <c r="BG29" s="22">
        <f t="shared" si="7"/>
        <v>158.20312733333313</v>
      </c>
      <c r="BH29" s="60">
        <f t="shared" si="8"/>
        <v>451.53646066666647</v>
      </c>
      <c r="BI29" s="60">
        <f ca="1">AVERAGE(OFFSET($BH$3,0,0,'Données projet'!$E$11+1,1))-AVERAGE(OFFSET($H$3,0,0,'Données projet'!$E$11+1,1))</f>
        <v>352.29660374042186</v>
      </c>
      <c r="BJ29" s="60">
        <f t="shared" si="38"/>
        <v>187.26439695305618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64.864800000000017</v>
      </c>
      <c r="CA29" s="14">
        <f t="shared" si="39"/>
        <v>18.392606985756636</v>
      </c>
      <c r="CB29" s="22">
        <f t="shared" si="10"/>
        <v>145.00665050019282</v>
      </c>
      <c r="CC29" s="60">
        <f t="shared" si="11"/>
        <v>438.33998383352616</v>
      </c>
      <c r="CD29" s="60">
        <f ca="1">AVERAGE(OFFSET($CC$3,0,0,'Données projet'!$E$12+1,1))-AVERAGE(OFFSET($H$3,0,0,'Données projet'!$E$12+1,1))</f>
        <v>277.03735509061545</v>
      </c>
      <c r="CE29" s="60">
        <f t="shared" si="40"/>
        <v>158.16416492761959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78.078000000000003</v>
      </c>
      <c r="CV29" s="14">
        <f t="shared" si="41"/>
        <v>21.666582091642084</v>
      </c>
      <c r="CW29" s="22">
        <f t="shared" si="13"/>
        <v>173.72181380960993</v>
      </c>
      <c r="CX29" s="60">
        <f t="shared" si="14"/>
        <v>467.05514714294327</v>
      </c>
      <c r="CY29" s="60">
        <f ca="1">AVERAGE(OFFSET($CX$3,0,0,'Données projet'!$E$13+1,1))-AVERAGE(OFFSET($H$3,0,0,'Données projet'!$E$13+1,1))</f>
        <v>350.3652766444938</v>
      </c>
      <c r="CZ29" s="60">
        <f t="shared" si="42"/>
        <v>197.04549436738586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16.399999999999999</v>
      </c>
      <c r="DO29" s="13">
        <f>IF('Données projet'!$A$166&gt;35,DO28+DN29-DW28,IF(A29&lt;'Données projet'!$A$166,$DL$205^A29,IF(A29='Données projet'!$A$166,'Données projet'!$B$166,DO28+DN29-DW28)))</f>
        <v>181.40000000000003</v>
      </c>
      <c r="DP29" s="18">
        <f>DO29*VLOOKUP('Données projet'!$B$14,Paramètres!$A$1:$I$89,3,0)*VLOOKUP('Données projet'!$B$14,Paramètres!$A$1:$I$89,5,0)</f>
        <v>144.32184000000004</v>
      </c>
      <c r="DQ29" s="14">
        <f t="shared" si="43"/>
        <v>37.285319642019559</v>
      </c>
      <c r="DR29" s="22">
        <f t="shared" si="16"/>
        <v>316.29913637651748</v>
      </c>
      <c r="DS29" s="60">
        <f t="shared" si="17"/>
        <v>609.63246970985074</v>
      </c>
      <c r="DT29" s="60">
        <f ca="1">AVERAGE(OFFSET($DS$3,0,0,'Données projet'!$E$14+1,1))-AVERAGE(OFFSET($H$3,0,0,'Données projet'!$E$14+1,1))</f>
        <v>382.01991140382955</v>
      </c>
      <c r="DU29" s="60">
        <f t="shared" si="44"/>
        <v>389.53897948144339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14.2</v>
      </c>
      <c r="EJ29" s="13">
        <f>IF('Données projet'!$A$192&gt;35,EJ28+EI29-ER28,IF(A29&lt;'Données projet'!$A$192,$EG$205^A29,IF(A29='Données projet'!$A$192,'Données projet'!$B$192,EJ28+EI29-ER28)))</f>
        <v>190.20000000000007</v>
      </c>
      <c r="EK29" s="18">
        <f>EJ29*VLOOKUP('Données projet'!$B$15,Paramètres!$A$1:$I$89,3,0)*VLOOKUP('Données projet'!$B$15,Paramètres!$A$1:$I$89,5,0)</f>
        <v>151.32312000000007</v>
      </c>
      <c r="EL29" s="14">
        <f t="shared" si="45"/>
        <v>38.879115530839606</v>
      </c>
      <c r="EM29" s="22">
        <f t="shared" si="19"/>
        <v>331.26889354954574</v>
      </c>
      <c r="EN29" s="60">
        <f t="shared" si="20"/>
        <v>624.60222688287899</v>
      </c>
      <c r="EO29" s="60">
        <f ca="1">AVERAGE(OFFSET($EN$3,0,0,'Données projet'!$E$15+1,1))-AVERAGE(OFFSET($H$3,0,0,'Données projet'!$E$15+1,1))</f>
        <v>323.92137573760789</v>
      </c>
      <c r="EP29" s="60">
        <f t="shared" si="46"/>
        <v>389.53897948144339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6.4</v>
      </c>
      <c r="FE29" s="13">
        <f>IF('Données projet'!$A$218&gt;35,FE28+FD29-FM28,IF(A29&lt;'Données projet'!$A$218,$FB$205^A29,IF(A29='Données projet'!$A$218,'Données projet'!$B$218,FE28+FD29-FM28)))</f>
        <v>121.39999999999998</v>
      </c>
      <c r="FF29" s="18">
        <f>FE29*VLOOKUP('Données projet'!$B$16,Paramètres!$A$1:$I$89,3,0)*VLOOKUP('Données projet'!$B$16,Paramètres!$A$1:$I$89,5,0)</f>
        <v>96.58583999999999</v>
      </c>
      <c r="FG29" s="14">
        <f t="shared" si="47"/>
        <v>26.146983882464014</v>
      </c>
      <c r="FH29" s="22">
        <f t="shared" si="22"/>
        <v>213.75966826195815</v>
      </c>
      <c r="FI29" s="60">
        <f t="shared" si="23"/>
        <v>507.09300159529147</v>
      </c>
      <c r="FJ29" s="60">
        <f ca="1">AVERAGE(OFFSET($FI$3,0,0,'Données projet'!$E$16+1,1))-AVERAGE(OFFSET($H$3,0,0,'Données projet'!$E$16+1,1))</f>
        <v>219.61164494001008</v>
      </c>
      <c r="FK29" s="60">
        <f t="shared" si="48"/>
        <v>219.59799863414111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3.4358974358974361</v>
      </c>
      <c r="FZ29" s="13">
        <f>IF('Données projet'!$A$244&gt;35,FZ28+FY29-GH28,IF(A29&lt;'Données projet'!$A$244,$FW$205^A29,IF(A29='Données projet'!$A$244,'Données projet'!$B$244,FZ28+FY29-GH28)))</f>
        <v>55.557145004199242</v>
      </c>
      <c r="GA29" s="18">
        <f>FZ29*VLOOKUP('Données projet'!$B$17,Paramètres!$A$1:$I$89,3,0)*VLOOKUP('Données projet'!$B$17,Paramètres!$A$1:$I$89,5,0)</f>
        <v>26.000743861965244</v>
      </c>
      <c r="GB29" s="14">
        <f t="shared" si="49"/>
        <v>8.2003708634455794</v>
      </c>
      <c r="GC29" s="22">
        <f t="shared" si="25"/>
        <v>59.56694148009052</v>
      </c>
      <c r="GD29" s="60">
        <f t="shared" si="26"/>
        <v>352.90027481342383</v>
      </c>
      <c r="GE29" s="60">
        <f ca="1">AVERAGE(OFFSET($GD$3,0,0,'Données projet'!$E$17+1,1))-AVERAGE(OFFSET($H$3,0,0,'Données projet'!$E$17+1,1))</f>
        <v>147.5699668214238</v>
      </c>
      <c r="GF29" s="60">
        <f t="shared" si="50"/>
        <v>70.653739864908346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>
        <f>GU29*VLOOKUP('Données projet'!$B$18,Paramètres!$A$1:$I$89,3,0)*VLOOKUP('Données projet'!$B$18,Paramètres!$A$1:$I$89,5,0)</f>
        <v>0</v>
      </c>
      <c r="GW29" s="14" t="e">
        <f t="shared" si="51"/>
        <v>#NUM!</v>
      </c>
      <c r="GX29" s="22" t="e">
        <f t="shared" si="28"/>
        <v>#NUM!</v>
      </c>
      <c r="GY29" s="60" t="e">
        <f t="shared" si="29"/>
        <v>#NUM!</v>
      </c>
      <c r="GZ29" s="60">
        <f ca="1">AVERAGE(OFFSET($GY$3,0,0,'Données projet'!$E$18+1,1))-AVERAGE(OFFSET($H$3,0,0,'Données projet'!$E$18+1,1))</f>
        <v>136.03899433512379</v>
      </c>
      <c r="HA29" s="60">
        <f t="shared" si="52"/>
        <v>316.56646692826882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80.826856378283424</v>
      </c>
      <c r="HH29" s="23">
        <f>EXP(-LN(2)/25)*HH28+(1-EXP(-LN(2)/25))/(LN(2)/25)*Calculateur!HC29*Calculateur!HE29*VLOOKUP('Données projet'!$B$18,Paramètres!$A$1:$I$89,3,0)*0.475*44/12</f>
        <v>11.264192649025953</v>
      </c>
      <c r="HI29" s="23">
        <f>EXP(-LN(2)/2)*HI28+(1-EXP(-LN(2)/2))/(LN(2)/2)*HC29*HF29*VLOOKUP('Données projet'!$B$18,Paramètres!$A$1:$I$89,3,0)*0.475*44/12</f>
        <v>11.694874401909569</v>
      </c>
      <c r="HJ29" s="24">
        <f t="shared" si="30"/>
        <v>103.78592342921895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480.9879370704989</v>
      </c>
      <c r="S30" s="60">
        <f ca="1">AVERAGE(OFFSET($R$3,0,0,'Données projet'!$E$9+1,1))-AVERAGE(OFFSET($H$3,0,0,'Données projet'!$E$9+1,1))</f>
        <v>384.44848355636935</v>
      </c>
      <c r="T30" s="60">
        <f t="shared" si="34"/>
        <v>203.5274665601915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0">
        <f t="shared" si="5"/>
        <v>462.55410206940076</v>
      </c>
      <c r="AN30" s="60">
        <f ca="1">AVERAGE(OFFSET($AM$3,0,0,'Données projet'!$E$10+1,1))-AVERAGE(OFFSET($H$3,0,0,'Données projet'!$E$10+1,1))</f>
        <v>303.73499739059076</v>
      </c>
      <c r="AO30" s="60">
        <f t="shared" si="36"/>
        <v>172.32171001882188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78.680160000000029</v>
      </c>
      <c r="BF30" s="14">
        <f t="shared" si="37"/>
        <v>21.814164609384523</v>
      </c>
      <c r="BG30" s="22">
        <f t="shared" si="7"/>
        <v>175.02761536134474</v>
      </c>
      <c r="BH30" s="60">
        <f t="shared" si="8"/>
        <v>468.36094869467809</v>
      </c>
      <c r="BI30" s="60">
        <f ca="1">AVERAGE(OFFSET($BH$3,0,0,'Données projet'!$E$11+1,1))-AVERAGE(OFFSET($H$3,0,0,'Données projet'!$E$11+1,1))</f>
        <v>352.29660374042186</v>
      </c>
      <c r="BJ30" s="60">
        <f t="shared" si="38"/>
        <v>187.26439695305618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70.761600000000001</v>
      </c>
      <c r="CA30" s="14">
        <f t="shared" si="39"/>
        <v>19.862470414169767</v>
      </c>
      <c r="CB30" s="22">
        <f t="shared" si="10"/>
        <v>157.83692263801234</v>
      </c>
      <c r="CC30" s="60">
        <f t="shared" si="11"/>
        <v>451.17025597134568</v>
      </c>
      <c r="CD30" s="60">
        <f ca="1">AVERAGE(OFFSET($CC$3,0,0,'Données projet'!$E$12+1,1))-AVERAGE(OFFSET($H$3,0,0,'Données projet'!$E$12+1,1))</f>
        <v>277.03735509061545</v>
      </c>
      <c r="CE30" s="60">
        <f t="shared" si="40"/>
        <v>158.16416492761959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85.176000000000002</v>
      </c>
      <c r="CV30" s="14">
        <f t="shared" si="41"/>
        <v>23.398088487656441</v>
      </c>
      <c r="CW30" s="22">
        <f t="shared" si="13"/>
        <v>189.09987078266829</v>
      </c>
      <c r="CX30" s="60">
        <f t="shared" si="14"/>
        <v>482.4332041160016</v>
      </c>
      <c r="CY30" s="60">
        <f ca="1">AVERAGE(OFFSET($CX$3,0,0,'Données projet'!$E$13+1,1))-AVERAGE(OFFSET($H$3,0,0,'Données projet'!$E$13+1,1))</f>
        <v>350.3652766444938</v>
      </c>
      <c r="CZ30" s="60">
        <f t="shared" si="42"/>
        <v>197.04549436738586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16.399999999999999</v>
      </c>
      <c r="DO30" s="13">
        <f>IF('Données projet'!$A$166&gt;35,DO29+DN30-DW29,IF(A30&lt;'Données projet'!$A$166,$DL$205^A30,IF(A30='Données projet'!$A$166,'Données projet'!$B$166,DO29+DN30-DW29)))</f>
        <v>197.80000000000004</v>
      </c>
      <c r="DP30" s="18">
        <f>DO30*VLOOKUP('Données projet'!$B$14,Paramètres!$A$1:$I$89,3,0)*VLOOKUP('Données projet'!$B$14,Paramètres!$A$1:$I$89,5,0)</f>
        <v>157.36968000000005</v>
      </c>
      <c r="DQ30" s="14">
        <f t="shared" si="43"/>
        <v>40.248668251494969</v>
      </c>
      <c r="DR30" s="22">
        <f t="shared" si="16"/>
        <v>344.18528987135386</v>
      </c>
      <c r="DS30" s="60">
        <f t="shared" si="17"/>
        <v>637.51862320468717</v>
      </c>
      <c r="DT30" s="60">
        <f ca="1">AVERAGE(OFFSET($DS$3,0,0,'Données projet'!$E$14+1,1))-AVERAGE(OFFSET($H$3,0,0,'Données projet'!$E$14+1,1))</f>
        <v>382.01991140382955</v>
      </c>
      <c r="DU30" s="60">
        <f t="shared" si="44"/>
        <v>389.53897948144339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14.2</v>
      </c>
      <c r="EJ30" s="13">
        <f>IF('Données projet'!$A$192&gt;35,EJ29+EI30-ER29,IF(A30&lt;'Données projet'!$A$192,$EG$205^A30,IF(A30='Données projet'!$A$192,'Données projet'!$B$192,EJ29+EI30-ER29)))</f>
        <v>204.40000000000006</v>
      </c>
      <c r="EK30" s="18">
        <f>EJ30*VLOOKUP('Données projet'!$B$15,Paramètres!$A$1:$I$89,3,0)*VLOOKUP('Données projet'!$B$15,Paramètres!$A$1:$I$89,5,0)</f>
        <v>162.62064000000004</v>
      </c>
      <c r="EL30" s="14">
        <f t="shared" si="45"/>
        <v>41.433048015026095</v>
      </c>
      <c r="EM30" s="22">
        <f t="shared" si="19"/>
        <v>355.39350662617045</v>
      </c>
      <c r="EN30" s="60">
        <f t="shared" si="20"/>
        <v>648.72683995950376</v>
      </c>
      <c r="EO30" s="60">
        <f ca="1">AVERAGE(OFFSET($EN$3,0,0,'Données projet'!$E$15+1,1))-AVERAGE(OFFSET($H$3,0,0,'Données projet'!$E$15+1,1))</f>
        <v>323.92137573760789</v>
      </c>
      <c r="EP30" s="60">
        <f t="shared" si="46"/>
        <v>389.53897948144339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6.4</v>
      </c>
      <c r="FE30" s="13">
        <f>IF('Données projet'!$A$218&gt;35,FE29+FD30-FM29,IF(A30&lt;'Données projet'!$A$218,$FB$205^A30,IF(A30='Données projet'!$A$218,'Données projet'!$B$218,FE29+FD30-FM29)))</f>
        <v>127.79999999999998</v>
      </c>
      <c r="FF30" s="18">
        <f>FE30*VLOOKUP('Données projet'!$B$16,Paramètres!$A$1:$I$89,3,0)*VLOOKUP('Données projet'!$B$16,Paramètres!$A$1:$I$89,5,0)</f>
        <v>101.67768</v>
      </c>
      <c r="FG30" s="14">
        <f t="shared" si="47"/>
        <v>27.361293833270413</v>
      </c>
      <c r="FH30" s="22">
        <f t="shared" si="22"/>
        <v>224.74287942627927</v>
      </c>
      <c r="FI30" s="60">
        <f t="shared" si="23"/>
        <v>518.07621275961264</v>
      </c>
      <c r="FJ30" s="60">
        <f ca="1">AVERAGE(OFFSET($FI$3,0,0,'Données projet'!$E$16+1,1))-AVERAGE(OFFSET($H$3,0,0,'Données projet'!$E$16+1,1))</f>
        <v>219.61164494001008</v>
      </c>
      <c r="FK30" s="60">
        <f t="shared" si="48"/>
        <v>219.59799863414111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3.4358974358974361</v>
      </c>
      <c r="FZ30" s="13">
        <f>IF('Données projet'!$A$244&gt;35,FZ29+FY30-GH29,IF(A30&lt;'Données projet'!$A$244,$FW$205^A30,IF(A30='Données projet'!$A$244,'Données projet'!$B$244,FZ29+FY30-GH29)))</f>
        <v>64.840342684688977</v>
      </c>
      <c r="GA30" s="18">
        <f>FZ30*VLOOKUP('Données projet'!$B$17,Paramètres!$A$1:$I$89,3,0)*VLOOKUP('Données projet'!$B$17,Paramètres!$A$1:$I$89,5,0)</f>
        <v>30.345280376434442</v>
      </c>
      <c r="GB30" s="14">
        <f t="shared" si="49"/>
        <v>9.3999990348653313</v>
      </c>
      <c r="GC30" s="22">
        <f t="shared" si="25"/>
        <v>69.223028308013781</v>
      </c>
      <c r="GD30" s="60">
        <f t="shared" si="26"/>
        <v>362.55636164134711</v>
      </c>
      <c r="GE30" s="60">
        <f ca="1">AVERAGE(OFFSET($GD$3,0,0,'Données projet'!$E$17+1,1))-AVERAGE(OFFSET($H$3,0,0,'Données projet'!$E$17+1,1))</f>
        <v>147.5699668214238</v>
      </c>
      <c r="GF30" s="60">
        <f t="shared" si="50"/>
        <v>70.653739864908346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>
        <f>GU30*VLOOKUP('Données projet'!$B$18,Paramètres!$A$1:$I$89,3,0)*VLOOKUP('Données projet'!$B$18,Paramètres!$A$1:$I$89,5,0)</f>
        <v>0</v>
      </c>
      <c r="GW30" s="14" t="e">
        <f t="shared" si="51"/>
        <v>#NUM!</v>
      </c>
      <c r="GX30" s="22" t="e">
        <f t="shared" si="28"/>
        <v>#NUM!</v>
      </c>
      <c r="GY30" s="60" t="e">
        <f t="shared" si="29"/>
        <v>#NUM!</v>
      </c>
      <c r="GZ30" s="60">
        <f ca="1">AVERAGE(OFFSET($GY$3,0,0,'Données projet'!$E$18+1,1))-AVERAGE(OFFSET($H$3,0,0,'Données projet'!$E$18+1,1))</f>
        <v>136.03899433512379</v>
      </c>
      <c r="HA30" s="60">
        <f t="shared" si="52"/>
        <v>316.56646692826882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79.241891024219754</v>
      </c>
      <c r="HH30" s="23">
        <f>EXP(-LN(2)/25)*HH29+(1-EXP(-LN(2)/25))/(LN(2)/25)*Calculateur!HC30*Calculateur!HE30*VLOOKUP('Données projet'!$B$18,Paramètres!$A$1:$I$89,3,0)*0.475*44/12</f>
        <v>10.956172708680191</v>
      </c>
      <c r="HI30" s="23">
        <f>EXP(-LN(2)/2)*HI29+(1-EXP(-LN(2)/2))/(LN(2)/2)*HC30*HF30*VLOOKUP('Données projet'!$B$18,Paramètres!$A$1:$I$89,3,0)*0.475*44/12</f>
        <v>8.2695249947152263</v>
      </c>
      <c r="HJ30" s="24">
        <f t="shared" si="30"/>
        <v>98.467588727615166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498.9886264212779</v>
      </c>
      <c r="S31" s="60">
        <f ca="1">AVERAGE(OFFSET($R$3,0,0,'Données projet'!$E$9+1,1))-AVERAGE(OFFSET($H$3,0,0,'Données projet'!$E$9+1,1))</f>
        <v>384.44848355636935</v>
      </c>
      <c r="T31" s="60">
        <f t="shared" si="34"/>
        <v>203.5274665601915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0">
        <f t="shared" si="5"/>
        <v>476.28563363945864</v>
      </c>
      <c r="AN31" s="60">
        <f ca="1">AVERAGE(OFFSET($AM$3,0,0,'Données projet'!$E$10+1,1))-AVERAGE(OFFSET($H$3,0,0,'Données projet'!$E$10+1,1))</f>
        <v>303.73499739059076</v>
      </c>
      <c r="AO31" s="60">
        <f t="shared" si="36"/>
        <v>172.32171001882188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86.430240000000026</v>
      </c>
      <c r="BF31" s="14">
        <f t="shared" si="37"/>
        <v>23.702267442352529</v>
      </c>
      <c r="BG31" s="22">
        <f t="shared" si="7"/>
        <v>191.81411712876402</v>
      </c>
      <c r="BH31" s="60">
        <f t="shared" si="8"/>
        <v>485.14745046209737</v>
      </c>
      <c r="BI31" s="60">
        <f ca="1">AVERAGE(OFFSET($BH$3,0,0,'Données projet'!$E$11+1,1))-AVERAGE(OFFSET($H$3,0,0,'Données projet'!$E$11+1,1))</f>
        <v>352.29660374042186</v>
      </c>
      <c r="BJ31" s="60">
        <f t="shared" si="38"/>
        <v>187.26439695305618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76.6584</v>
      </c>
      <c r="CA31" s="14">
        <f t="shared" si="39"/>
        <v>21.318127749842347</v>
      </c>
      <c r="CB31" s="22">
        <f t="shared" si="10"/>
        <v>170.6424524976421</v>
      </c>
      <c r="CC31" s="60">
        <f t="shared" si="11"/>
        <v>463.97578583097538</v>
      </c>
      <c r="CD31" s="60">
        <f ca="1">AVERAGE(OFFSET($CC$3,0,0,'Données projet'!$E$12+1,1))-AVERAGE(OFFSET($H$3,0,0,'Données projet'!$E$12+1,1))</f>
        <v>277.03735509061545</v>
      </c>
      <c r="CE31" s="60">
        <f t="shared" si="40"/>
        <v>158.16416492761959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92.274000000000001</v>
      </c>
      <c r="CV31" s="14">
        <f t="shared" si="41"/>
        <v>25.112860036087575</v>
      </c>
      <c r="CW31" s="22">
        <f t="shared" si="13"/>
        <v>204.4487812295192</v>
      </c>
      <c r="CX31" s="60">
        <f t="shared" si="14"/>
        <v>497.78211456285248</v>
      </c>
      <c r="CY31" s="60">
        <f ca="1">AVERAGE(OFFSET($CX$3,0,0,'Données projet'!$E$13+1,1))-AVERAGE(OFFSET($H$3,0,0,'Données projet'!$E$13+1,1))</f>
        <v>350.3652766444938</v>
      </c>
      <c r="CZ31" s="60">
        <f t="shared" si="42"/>
        <v>197.04549436738586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16.399999999999999</v>
      </c>
      <c r="DO31" s="13">
        <f>IF('Données projet'!$A$166&gt;35,DO30+DN31-DW30,IF(A31&lt;'Données projet'!$A$166,$DL$205^A31,IF(A31='Données projet'!$A$166,'Données projet'!$B$166,DO30+DN31-DW30)))</f>
        <v>214.20000000000005</v>
      </c>
      <c r="DP31" s="18">
        <f>DO31*VLOOKUP('Données projet'!$B$14,Paramètres!$A$1:$I$89,3,0)*VLOOKUP('Données projet'!$B$14,Paramètres!$A$1:$I$89,5,0)</f>
        <v>170.41752000000002</v>
      </c>
      <c r="DQ31" s="14">
        <f t="shared" si="43"/>
        <v>43.183520822110523</v>
      </c>
      <c r="DR31" s="22">
        <f t="shared" si="16"/>
        <v>372.02181276517587</v>
      </c>
      <c r="DS31" s="60">
        <f t="shared" si="17"/>
        <v>665.35514609850918</v>
      </c>
      <c r="DT31" s="60">
        <f ca="1">AVERAGE(OFFSET($DS$3,0,0,'Données projet'!$E$14+1,1))-AVERAGE(OFFSET($H$3,0,0,'Données projet'!$E$14+1,1))</f>
        <v>382.01991140382955</v>
      </c>
      <c r="DU31" s="60">
        <f t="shared" si="44"/>
        <v>389.53897948144339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14.2</v>
      </c>
      <c r="EJ31" s="13">
        <f>IF('Données projet'!$A$192&gt;35,EJ30+EI31-ER30,IF(A31&lt;'Données projet'!$A$192,$EG$205^A31,IF(A31='Données projet'!$A$192,'Données projet'!$B$192,EJ30+EI31-ER30)))</f>
        <v>218.60000000000005</v>
      </c>
      <c r="EK31" s="18">
        <f>EJ31*VLOOKUP('Données projet'!$B$15,Paramètres!$A$1:$I$89,3,0)*VLOOKUP('Données projet'!$B$15,Paramètres!$A$1:$I$89,5,0)</f>
        <v>173.91816000000006</v>
      </c>
      <c r="EL31" s="14">
        <f t="shared" si="45"/>
        <v>43.966393936722277</v>
      </c>
      <c r="EM31" s="22">
        <f t="shared" si="19"/>
        <v>379.48226477312465</v>
      </c>
      <c r="EN31" s="60">
        <f t="shared" si="20"/>
        <v>672.81559810645797</v>
      </c>
      <c r="EO31" s="60">
        <f ca="1">AVERAGE(OFFSET($EN$3,0,0,'Données projet'!$E$15+1,1))-AVERAGE(OFFSET($H$3,0,0,'Données projet'!$E$15+1,1))</f>
        <v>323.92137573760789</v>
      </c>
      <c r="EP31" s="60">
        <f t="shared" si="46"/>
        <v>389.53897948144339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6.4</v>
      </c>
      <c r="FE31" s="13">
        <f>IF('Données projet'!$A$218&gt;35,FE30+FD31-FM30,IF(A31&lt;'Données projet'!$A$218,$FB$205^A31,IF(A31='Données projet'!$A$218,'Données projet'!$B$218,FE30+FD31-FM30)))</f>
        <v>134.19999999999999</v>
      </c>
      <c r="FF31" s="18">
        <f>FE31*VLOOKUP('Données projet'!$B$16,Paramètres!$A$1:$I$89,3,0)*VLOOKUP('Données projet'!$B$16,Paramètres!$A$1:$I$89,5,0)</f>
        <v>106.76951999999999</v>
      </c>
      <c r="FG31" s="14">
        <f t="shared" si="47"/>
        <v>28.568542914630683</v>
      </c>
      <c r="FH31" s="22">
        <f t="shared" si="22"/>
        <v>235.71379290964839</v>
      </c>
      <c r="FI31" s="60">
        <f t="shared" si="23"/>
        <v>529.04712624298168</v>
      </c>
      <c r="FJ31" s="60">
        <f ca="1">AVERAGE(OFFSET($FI$3,0,0,'Données projet'!$E$16+1,1))-AVERAGE(OFFSET($H$3,0,0,'Données projet'!$E$16+1,1))</f>
        <v>219.61164494001008</v>
      </c>
      <c r="FK31" s="60">
        <f t="shared" si="48"/>
        <v>219.59799863414111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3.4358974358974361</v>
      </c>
      <c r="FZ31" s="13">
        <f>IF('Données projet'!$A$244&gt;35,FZ30+FY31-GH30,IF(A31&lt;'Données projet'!$A$244,$FW$205^A31,IF(A31='Données projet'!$A$244,'Données projet'!$B$244,FZ30+FY31-GH30)))</f>
        <v>75.674695651659619</v>
      </c>
      <c r="GA31" s="18">
        <f>FZ31*VLOOKUP('Données projet'!$B$17,Paramètres!$A$1:$I$89,3,0)*VLOOKUP('Données projet'!$B$17,Paramètres!$A$1:$I$89,5,0)</f>
        <v>35.415757564976701</v>
      </c>
      <c r="GB31" s="14">
        <f t="shared" si="49"/>
        <v>10.775120214299996</v>
      </c>
      <c r="GC31" s="22">
        <f t="shared" si="25"/>
        <v>80.449112132240245</v>
      </c>
      <c r="GD31" s="60">
        <f t="shared" si="26"/>
        <v>373.78244546557357</v>
      </c>
      <c r="GE31" s="60">
        <f ca="1">AVERAGE(OFFSET($GD$3,0,0,'Données projet'!$E$17+1,1))-AVERAGE(OFFSET($H$3,0,0,'Données projet'!$E$17+1,1))</f>
        <v>147.5699668214238</v>
      </c>
      <c r="GF31" s="60">
        <f t="shared" si="50"/>
        <v>70.653739864908346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>
        <f>GU31*VLOOKUP('Données projet'!$B$18,Paramètres!$A$1:$I$89,3,0)*VLOOKUP('Données projet'!$B$18,Paramètres!$A$1:$I$89,5,0)</f>
        <v>0</v>
      </c>
      <c r="GW31" s="14" t="e">
        <f t="shared" si="51"/>
        <v>#NUM!</v>
      </c>
      <c r="GX31" s="22" t="e">
        <f t="shared" si="28"/>
        <v>#NUM!</v>
      </c>
      <c r="GY31" s="60" t="e">
        <f t="shared" si="29"/>
        <v>#NUM!</v>
      </c>
      <c r="GZ31" s="60">
        <f ca="1">AVERAGE(OFFSET($GY$3,0,0,'Données projet'!$E$18+1,1))-AVERAGE(OFFSET($H$3,0,0,'Données projet'!$E$18+1,1))</f>
        <v>136.03899433512379</v>
      </c>
      <c r="HA31" s="60">
        <f t="shared" si="52"/>
        <v>316.56646692826882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77.688005874015857</v>
      </c>
      <c r="HH31" s="23">
        <f>EXP(-LN(2)/25)*HH30+(1-EXP(-LN(2)/25))/(LN(2)/25)*Calculateur!HC31*Calculateur!HE31*VLOOKUP('Données projet'!$B$18,Paramètres!$A$1:$I$89,3,0)*0.475*44/12</f>
        <v>10.656575589801248</v>
      </c>
      <c r="HI31" s="23">
        <f>EXP(-LN(2)/2)*HI30+(1-EXP(-LN(2)/2))/(LN(2)/2)*HC31*HF31*VLOOKUP('Données projet'!$B$18,Paramètres!$A$1:$I$89,3,0)*0.475*44/12</f>
        <v>5.8474372009547855</v>
      </c>
      <c r="HJ31" s="24">
        <f t="shared" si="30"/>
        <v>94.192018664771894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516.95289444408968</v>
      </c>
      <c r="S32" s="60">
        <f ca="1">AVERAGE(OFFSET($R$3,0,0,'Données projet'!$E$9+1,1))-AVERAGE(OFFSET($H$3,0,0,'Données projet'!$E$9+1,1))</f>
        <v>384.44848355636935</v>
      </c>
      <c r="T32" s="60">
        <f t="shared" si="34"/>
        <v>203.5274665601915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0">
        <f t="shared" si="5"/>
        <v>489.99306810277216</v>
      </c>
      <c r="AN32" s="60">
        <f ca="1">AVERAGE(OFFSET($AM$3,0,0,'Données projet'!$E$10+1,1))-AVERAGE(OFFSET($H$3,0,0,'Données projet'!$E$10+1,1))</f>
        <v>303.73499739059076</v>
      </c>
      <c r="AO32" s="60">
        <f t="shared" si="36"/>
        <v>172.32171001882188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94.180320000000037</v>
      </c>
      <c r="BF32" s="14">
        <f t="shared" si="37"/>
        <v>25.570738079029208</v>
      </c>
      <c r="BG32" s="22">
        <f t="shared" si="7"/>
        <v>208.56642615430928</v>
      </c>
      <c r="BH32" s="60">
        <f t="shared" si="8"/>
        <v>501.8997594876426</v>
      </c>
      <c r="BI32" s="60">
        <f ca="1">AVERAGE(OFFSET($BH$3,0,0,'Données projet'!$E$11+1,1))-AVERAGE(OFFSET($H$3,0,0,'Données projet'!$E$11+1,1))</f>
        <v>352.29660374042186</v>
      </c>
      <c r="BJ32" s="60">
        <f t="shared" si="38"/>
        <v>187.26439695305618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82.555199999999999</v>
      </c>
      <c r="CA32" s="14">
        <f t="shared" si="39"/>
        <v>22.760796016854769</v>
      </c>
      <c r="CB32" s="22">
        <f t="shared" si="10"/>
        <v>183.42535972935536</v>
      </c>
      <c r="CC32" s="60">
        <f t="shared" si="11"/>
        <v>476.75869306268868</v>
      </c>
      <c r="CD32" s="60">
        <f ca="1">AVERAGE(OFFSET($CC$3,0,0,'Données projet'!$E$12+1,1))-AVERAGE(OFFSET($H$3,0,0,'Données projet'!$E$12+1,1))</f>
        <v>277.03735509061545</v>
      </c>
      <c r="CE32" s="60">
        <f t="shared" si="40"/>
        <v>158.16416492761959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99.372000000000014</v>
      </c>
      <c r="CV32" s="14">
        <f t="shared" si="41"/>
        <v>26.812330397327713</v>
      </c>
      <c r="CW32" s="22">
        <f t="shared" si="13"/>
        <v>219.7710421086791</v>
      </c>
      <c r="CX32" s="60">
        <f t="shared" si="14"/>
        <v>513.10437544201238</v>
      </c>
      <c r="CY32" s="60">
        <f ca="1">AVERAGE(OFFSET($CX$3,0,0,'Données projet'!$E$13+1,1))-AVERAGE(OFFSET($H$3,0,0,'Données projet'!$E$13+1,1))</f>
        <v>350.3652766444938</v>
      </c>
      <c r="CZ32" s="60">
        <f t="shared" si="42"/>
        <v>197.04549436738586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16.399999999999999</v>
      </c>
      <c r="DO32" s="13">
        <f>IF('Données projet'!$A$166&gt;35,DO31+DN32-DW31,IF(A32&lt;'Données projet'!$A$166,$DL$205^A32,IF(A32='Données projet'!$A$166,'Données projet'!$B$166,DO31+DN32-DW31)))</f>
        <v>230.60000000000005</v>
      </c>
      <c r="DP32" s="18">
        <f>DO32*VLOOKUP('Données projet'!$B$14,Paramètres!$A$1:$I$89,3,0)*VLOOKUP('Données projet'!$B$14,Paramètres!$A$1:$I$89,5,0)</f>
        <v>183.46536000000003</v>
      </c>
      <c r="DQ32" s="14">
        <f t="shared" si="43"/>
        <v>46.092307191940968</v>
      </c>
      <c r="DR32" s="22">
        <f t="shared" si="16"/>
        <v>399.81293702596389</v>
      </c>
      <c r="DS32" s="60">
        <f t="shared" si="17"/>
        <v>693.1462703592972</v>
      </c>
      <c r="DT32" s="60">
        <f ca="1">AVERAGE(OFFSET($DS$3,0,0,'Données projet'!$E$14+1,1))-AVERAGE(OFFSET($H$3,0,0,'Données projet'!$E$14+1,1))</f>
        <v>382.01991140382955</v>
      </c>
      <c r="DU32" s="60">
        <f t="shared" si="44"/>
        <v>389.53897948144339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14.2</v>
      </c>
      <c r="EJ32" s="13">
        <f>IF('Données projet'!$A$192&gt;35,EJ31+EI32-ER31,IF(A32&lt;'Données projet'!$A$192,$EG$205^A32,IF(A32='Données projet'!$A$192,'Données projet'!$B$192,EJ31+EI32-ER31)))</f>
        <v>232.80000000000004</v>
      </c>
      <c r="EK32" s="18">
        <f>EJ32*VLOOKUP('Données projet'!$B$15,Paramètres!$A$1:$I$89,3,0)*VLOOKUP('Données projet'!$B$15,Paramètres!$A$1:$I$89,5,0)</f>
        <v>185.21568000000005</v>
      </c>
      <c r="EL32" s="14">
        <f t="shared" si="45"/>
        <v>46.480642766630929</v>
      </c>
      <c r="EM32" s="22">
        <f t="shared" si="19"/>
        <v>403.5377621518823</v>
      </c>
      <c r="EN32" s="60">
        <f t="shared" si="20"/>
        <v>696.87109548521562</v>
      </c>
      <c r="EO32" s="60">
        <f ca="1">AVERAGE(OFFSET($EN$3,0,0,'Données projet'!$E$15+1,1))-AVERAGE(OFFSET($H$3,0,0,'Données projet'!$E$15+1,1))</f>
        <v>323.92137573760789</v>
      </c>
      <c r="EP32" s="60">
        <f t="shared" si="46"/>
        <v>389.53897948144339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6.4</v>
      </c>
      <c r="FE32" s="13">
        <f>IF('Données projet'!$A$218&gt;35,FE31+FD32-FM31,IF(A32&lt;'Données projet'!$A$218,$FB$205^A32,IF(A32='Données projet'!$A$218,'Données projet'!$B$218,FE31+FD32-FM31)))</f>
        <v>140.6</v>
      </c>
      <c r="FF32" s="18">
        <f>FE32*VLOOKUP('Données projet'!$B$16,Paramètres!$A$1:$I$89,3,0)*VLOOKUP('Données projet'!$B$16,Paramètres!$A$1:$I$89,5,0)</f>
        <v>111.86136</v>
      </c>
      <c r="FG32" s="14">
        <f t="shared" si="47"/>
        <v>29.769106304683568</v>
      </c>
      <c r="FH32" s="22">
        <f t="shared" si="22"/>
        <v>246.67306214732389</v>
      </c>
      <c r="FI32" s="60">
        <f t="shared" si="23"/>
        <v>540.00639548065715</v>
      </c>
      <c r="FJ32" s="60">
        <f ca="1">AVERAGE(OFFSET($FI$3,0,0,'Données projet'!$E$16+1,1))-AVERAGE(OFFSET($H$3,0,0,'Données projet'!$E$16+1,1))</f>
        <v>219.61164494001008</v>
      </c>
      <c r="FK32" s="60">
        <f t="shared" si="48"/>
        <v>219.59799863414111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3.4358974358974361</v>
      </c>
      <c r="FZ32" s="13">
        <f>IF('Données projet'!$A$244&gt;35,FZ31+FY32-GH31,IF(A32&lt;'Données projet'!$A$244,$FW$205^A32,IF(A32='Données projet'!$A$244,'Données projet'!$B$244,FZ31+FY32-GH31)))</f>
        <v>88.319390750591623</v>
      </c>
      <c r="GA32" s="18">
        <f>FZ32*VLOOKUP('Données projet'!$B$17,Paramètres!$A$1:$I$89,3,0)*VLOOKUP('Données projet'!$B$17,Paramètres!$A$1:$I$89,5,0)</f>
        <v>41.333474871276877</v>
      </c>
      <c r="GB32" s="14">
        <f t="shared" si="49"/>
        <v>12.351407186530604</v>
      </c>
      <c r="GC32" s="22">
        <f t="shared" si="25"/>
        <v>93.501169584014704</v>
      </c>
      <c r="GD32" s="60">
        <f t="shared" si="26"/>
        <v>386.834502917348</v>
      </c>
      <c r="GE32" s="60">
        <f ca="1">AVERAGE(OFFSET($GD$3,0,0,'Données projet'!$E$17+1,1))-AVERAGE(OFFSET($H$3,0,0,'Données projet'!$E$17+1,1))</f>
        <v>147.5699668214238</v>
      </c>
      <c r="GF32" s="60">
        <f t="shared" si="50"/>
        <v>70.653739864908346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>
        <f>GU32*VLOOKUP('Données projet'!$B$18,Paramètres!$A$1:$I$89,3,0)*VLOOKUP('Données projet'!$B$18,Paramètres!$A$1:$I$89,5,0)</f>
        <v>0</v>
      </c>
      <c r="GW32" s="14" t="e">
        <f t="shared" si="51"/>
        <v>#NUM!</v>
      </c>
      <c r="GX32" s="22" t="e">
        <f t="shared" si="28"/>
        <v>#NUM!</v>
      </c>
      <c r="GY32" s="60" t="e">
        <f t="shared" si="29"/>
        <v>#NUM!</v>
      </c>
      <c r="GZ32" s="60">
        <f ca="1">AVERAGE(OFFSET($GY$3,0,0,'Données projet'!$E$18+1,1))-AVERAGE(OFFSET($H$3,0,0,'Données projet'!$E$18+1,1))</f>
        <v>136.03899433512379</v>
      </c>
      <c r="HA32" s="60">
        <f t="shared" si="52"/>
        <v>316.56646692826882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76.164591463831115</v>
      </c>
      <c r="HH32" s="23">
        <f>EXP(-LN(2)/25)*HH31+(1-EXP(-LN(2)/25))/(LN(2)/25)*Calculateur!HC32*Calculateur!HE32*VLOOKUP('Données projet'!$B$18,Paramètres!$A$1:$I$89,3,0)*0.475*44/12</f>
        <v>10.365170969893178</v>
      </c>
      <c r="HI32" s="23">
        <f>EXP(-LN(2)/2)*HI31+(1-EXP(-LN(2)/2))/(LN(2)/2)*HC32*HF32*VLOOKUP('Données projet'!$B$18,Paramètres!$A$1:$I$89,3,0)*0.475*44/12</f>
        <v>4.134762497357614</v>
      </c>
      <c r="HJ32" s="24">
        <f t="shared" si="30"/>
        <v>90.664524931081914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534.88407898366597</v>
      </c>
      <c r="S33" s="60">
        <f ca="1">AVERAGE(OFFSET($R$3,0,0,'Données projet'!$E$9+1,1))-AVERAGE(OFFSET($H$3,0,0,'Données projet'!$E$9+1,1))</f>
        <v>384.44848355636935</v>
      </c>
      <c r="T33" s="60">
        <f t="shared" si="34"/>
        <v>203.5274665601915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0">
        <f t="shared" si="5"/>
        <v>503.67832244229635</v>
      </c>
      <c r="AN33" s="60">
        <f ca="1">AVERAGE(OFFSET($AM$3,0,0,'Données projet'!$E$10+1,1))-AVERAGE(OFFSET($H$3,0,0,'Données projet'!$E$10+1,1))</f>
        <v>303.73499739059076</v>
      </c>
      <c r="AO33" s="60">
        <f t="shared" si="36"/>
        <v>172.32171001882188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101.93040000000003</v>
      </c>
      <c r="BF33" s="14">
        <f t="shared" si="37"/>
        <v>27.421375718582158</v>
      </c>
      <c r="BG33" s="22">
        <f t="shared" si="7"/>
        <v>225.28767604319731</v>
      </c>
      <c r="BH33" s="60">
        <f t="shared" si="8"/>
        <v>518.62100937653065</v>
      </c>
      <c r="BI33" s="60">
        <f ca="1">AVERAGE(OFFSET($BH$3,0,0,'Données projet'!$E$11+1,1))-AVERAGE(OFFSET($H$3,0,0,'Données projet'!$E$11+1,1))</f>
        <v>352.29660374042186</v>
      </c>
      <c r="BJ33" s="60">
        <f t="shared" si="38"/>
        <v>187.26439695305618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88.452000000000012</v>
      </c>
      <c r="CA33" s="14">
        <f t="shared" si="39"/>
        <v>24.191508526943956</v>
      </c>
      <c r="CB33" s="22">
        <f t="shared" si="10"/>
        <v>196.18744401776075</v>
      </c>
      <c r="CC33" s="60">
        <f t="shared" si="11"/>
        <v>489.52077735109407</v>
      </c>
      <c r="CD33" s="60">
        <f ca="1">AVERAGE(OFFSET($CC$3,0,0,'Données projet'!$E$12+1,1))-AVERAGE(OFFSET($H$3,0,0,'Données projet'!$E$12+1,1))</f>
        <v>277.03735509061545</v>
      </c>
      <c r="CE33" s="60">
        <f t="shared" si="40"/>
        <v>158.16416492761959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106.47</v>
      </c>
      <c r="CV33" s="14">
        <f t="shared" si="41"/>
        <v>28.49771681771891</v>
      </c>
      <c r="CW33" s="22">
        <f t="shared" si="13"/>
        <v>235.06877345752704</v>
      </c>
      <c r="CX33" s="60">
        <f t="shared" si="14"/>
        <v>528.40210679086033</v>
      </c>
      <c r="CY33" s="60">
        <f ca="1">AVERAGE(OFFSET($CX$3,0,0,'Données projet'!$E$13+1,1))-AVERAGE(OFFSET($H$3,0,0,'Données projet'!$E$13+1,1))</f>
        <v>350.3652766444938</v>
      </c>
      <c r="CZ33" s="60">
        <f t="shared" si="42"/>
        <v>197.04549436738586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247</v>
      </c>
      <c r="DM33" s="13">
        <f>VLOOKUP(A33,'Données projet'!$A$165:$I$185,9,0)</f>
        <v>16.399999999999999</v>
      </c>
      <c r="DN33" s="13">
        <f t="array" ref="DN33">INDEX(DM:DM,MIN(IF(ISNUMBER(DM33:DM229),ROW(DM33:DM229),"")))</f>
        <v>16.399999999999999</v>
      </c>
      <c r="DO33" s="13">
        <f>IF('Données projet'!$A$166&gt;35,DO32+DN33-DW32,IF(A33&lt;'Données projet'!$A$166,$DL$205^A33,IF(A33='Données projet'!$A$166,'Données projet'!$B$166,DO32+DN33-DW32)))</f>
        <v>247.00000000000006</v>
      </c>
      <c r="DP33" s="18">
        <f>DO33*VLOOKUP('Données projet'!$B$14,Paramètres!$A$1:$I$89,3,0)*VLOOKUP('Données projet'!$B$14,Paramètres!$A$1:$I$89,5,0)</f>
        <v>196.51320000000004</v>
      </c>
      <c r="DQ33" s="14">
        <f t="shared" si="43"/>
        <v>48.977092002823696</v>
      </c>
      <c r="DR33" s="22">
        <f t="shared" si="16"/>
        <v>427.56225857158461</v>
      </c>
      <c r="DS33" s="60">
        <f t="shared" si="17"/>
        <v>720.89559190491786</v>
      </c>
      <c r="DT33" s="60">
        <f ca="1">AVERAGE(OFFSET($DS$3,0,0,'Données projet'!$E$14+1,1))-AVERAGE(OFFSET($H$3,0,0,'Données projet'!$E$14+1,1))</f>
        <v>382.01991140382955</v>
      </c>
      <c r="DU33" s="60">
        <f t="shared" si="44"/>
        <v>389.53897948144339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247</v>
      </c>
      <c r="EH33" s="13">
        <f>VLOOKUP(A33,'Données projet'!$A$191:$I$211,9,0)</f>
        <v>14.2</v>
      </c>
      <c r="EI33" s="13">
        <f t="array" ref="EI33">INDEX(EH:EH,MIN(IF(ISNUMBER(EH33:EH229),ROW(EH33:EH229),"")))</f>
        <v>14.2</v>
      </c>
      <c r="EJ33" s="13">
        <f>IF('Données projet'!$A$192&gt;35,EJ32+EI33-ER32,IF(A33&lt;'Données projet'!$A$192,$EG$205^A33,IF(A33='Données projet'!$A$192,'Données projet'!$B$192,EJ32+EI33-ER32)))</f>
        <v>247.00000000000003</v>
      </c>
      <c r="EK33" s="18">
        <f>EJ33*VLOOKUP('Données projet'!$B$15,Paramètres!$A$1:$I$89,3,0)*VLOOKUP('Données projet'!$B$15,Paramètres!$A$1:$I$89,5,0)</f>
        <v>196.51320000000004</v>
      </c>
      <c r="EL33" s="14">
        <f t="shared" si="45"/>
        <v>48.977092002823696</v>
      </c>
      <c r="EM33" s="22">
        <f t="shared" si="19"/>
        <v>427.56225857158461</v>
      </c>
      <c r="EN33" s="60">
        <f t="shared" si="20"/>
        <v>720.89559190491786</v>
      </c>
      <c r="EO33" s="60">
        <f ca="1">AVERAGE(OFFSET($EN$3,0,0,'Données projet'!$E$15+1,1))-AVERAGE(OFFSET($H$3,0,0,'Données projet'!$E$15+1,1))</f>
        <v>323.92137573760789</v>
      </c>
      <c r="EP33" s="60">
        <f t="shared" si="46"/>
        <v>389.53897948144339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70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147</v>
      </c>
      <c r="FC33" s="13">
        <f>VLOOKUP(A33,'Données projet'!$A$217:$I$237,9,0)</f>
        <v>6.4</v>
      </c>
      <c r="FD33" s="13">
        <f t="array" ref="FD33">INDEX(FC:FC,MIN(IF(ISNUMBER(FC33:FC229),ROW(FC33:FC229),"")))</f>
        <v>6.4</v>
      </c>
      <c r="FE33" s="13">
        <f>IF('Données projet'!$A$218&gt;35,FE32+FD33-FM32,IF(A33&lt;'Données projet'!$A$218,$FB$205^A33,IF(A33='Données projet'!$A$218,'Données projet'!$B$218,FE32+FD33-FM32)))</f>
        <v>147</v>
      </c>
      <c r="FF33" s="18">
        <f>FE33*VLOOKUP('Données projet'!$B$16,Paramètres!$A$1:$I$89,3,0)*VLOOKUP('Données projet'!$B$16,Paramètres!$A$1:$I$89,5,0)</f>
        <v>116.9532</v>
      </c>
      <c r="FG33" s="14">
        <f t="shared" si="47"/>
        <v>30.963323095281662</v>
      </c>
      <c r="FH33" s="22">
        <f t="shared" si="22"/>
        <v>257.62127772428227</v>
      </c>
      <c r="FI33" s="60">
        <f t="shared" si="23"/>
        <v>550.95461105761558</v>
      </c>
      <c r="FJ33" s="60">
        <f ca="1">AVERAGE(OFFSET($FI$3,0,0,'Données projet'!$E$16+1,1))-AVERAGE(OFFSET($H$3,0,0,'Données projet'!$E$16+1,1))</f>
        <v>219.61164494001008</v>
      </c>
      <c r="FK33" s="60">
        <f t="shared" si="48"/>
        <v>219.59799863414111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56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103.07692307692308</v>
      </c>
      <c r="FX33" s="13">
        <f>VLOOKUP(A33,'Données projet'!$A$243:$I$263,9,0)</f>
        <v>3.4358974358974361</v>
      </c>
      <c r="FY33" s="13">
        <f t="array" ref="FY33">INDEX(FX:FX,MIN(IF(ISNUMBER(FX33:FX229),ROW(FX33:FX229),"")))</f>
        <v>3.4358974358974361</v>
      </c>
      <c r="FZ33" s="13">
        <f>IF('Données projet'!$A$244&gt;35,FZ32+FY33-GH32,IF(A33&lt;'Données projet'!$A$244,$FW$205^A33,IF(A33='Données projet'!$A$244,'Données projet'!$B$244,FZ32+FY33-GH32)))</f>
        <v>103.07692307692308</v>
      </c>
      <c r="GA33" s="18">
        <f>FZ33*VLOOKUP('Données projet'!$B$17,Paramètres!$A$1:$I$89,3,0)*VLOOKUP('Données projet'!$B$17,Paramètres!$A$1:$I$89,5,0)</f>
        <v>48.240000000000009</v>
      </c>
      <c r="GB33" s="14">
        <f t="shared" si="49"/>
        <v>14.15828839524373</v>
      </c>
      <c r="GC33" s="22">
        <f t="shared" si="25"/>
        <v>108.6770189550495</v>
      </c>
      <c r="GD33" s="60">
        <f t="shared" si="26"/>
        <v>402.01035228838282</v>
      </c>
      <c r="GE33" s="60">
        <f ca="1">AVERAGE(OFFSET($GD$3,0,0,'Données projet'!$E$17+1,1))-AVERAGE(OFFSET($H$3,0,0,'Données projet'!$E$17+1,1))</f>
        <v>147.5699668214238</v>
      </c>
      <c r="GF33" s="60">
        <f t="shared" si="50"/>
        <v>70.653739864908346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>
        <f>GU33*VLOOKUP('Données projet'!$B$18,Paramètres!$A$1:$I$89,3,0)*VLOOKUP('Données projet'!$B$18,Paramètres!$A$1:$I$89,5,0)</f>
        <v>0</v>
      </c>
      <c r="GW33" s="14" t="e">
        <f t="shared" si="51"/>
        <v>#NUM!</v>
      </c>
      <c r="GX33" s="22" t="e">
        <f t="shared" si="28"/>
        <v>#NUM!</v>
      </c>
      <c r="GY33" s="60" t="e">
        <f t="shared" si="29"/>
        <v>#NUM!</v>
      </c>
      <c r="GZ33" s="60">
        <f ca="1">AVERAGE(OFFSET($GY$3,0,0,'Données projet'!$E$18+1,1))-AVERAGE(OFFSET($H$3,0,0,'Données projet'!$E$18+1,1))</f>
        <v>136.03899433512379</v>
      </c>
      <c r="HA33" s="60">
        <f t="shared" si="52"/>
        <v>316.56646692826882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74.671050281039044</v>
      </c>
      <c r="HH33" s="23">
        <f>EXP(-LN(2)/25)*HH32+(1-EXP(-LN(2)/25))/(LN(2)/25)*Calculateur!HC33*Calculateur!HE33*VLOOKUP('Données projet'!$B$18,Paramètres!$A$1:$I$89,3,0)*0.475*44/12</f>
        <v>10.081734824640797</v>
      </c>
      <c r="HI33" s="23">
        <f>EXP(-LN(2)/2)*HI32+(1-EXP(-LN(2)/2))/(LN(2)/2)*HC33*HF33*VLOOKUP('Données projet'!$B$18,Paramètres!$A$1:$I$89,3,0)*0.475*44/12</f>
        <v>2.9237186004773932</v>
      </c>
      <c r="HJ33" s="24">
        <f t="shared" si="30"/>
        <v>87.676503706157234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555.8952725195021</v>
      </c>
      <c r="S34" s="60">
        <f ca="1">AVERAGE(OFFSET($R$3,0,0,'Données projet'!$E$9+1,1))-AVERAGE(OFFSET($H$3,0,0,'Données projet'!$E$9+1,1))</f>
        <v>384.44848355636935</v>
      </c>
      <c r="T34" s="60">
        <f t="shared" si="34"/>
        <v>203.5274665601915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0">
        <f t="shared" si="5"/>
        <v>462.55410206940076</v>
      </c>
      <c r="AN34" s="60">
        <f ca="1">AVERAGE(OFFSET($AM$3,0,0,'Données projet'!$E$10+1,1))-AVERAGE(OFFSET($H$3,0,0,'Données projet'!$E$10+1,1))</f>
        <v>303.73499739059076</v>
      </c>
      <c r="AO34" s="60">
        <f t="shared" si="36"/>
        <v>172.32171001882188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131.80000000000004</v>
      </c>
      <c r="BE34" s="14">
        <f>BD34*VLOOKUP('Données projet'!$B$11,Paramètres!$A$1:$I$89,3,0)*VLOOKUP('Données projet'!$B$11,Paramètres!$A$1:$I$89,5,0)</f>
        <v>111.02832000000005</v>
      </c>
      <c r="BF34" s="14">
        <f t="shared" si="37"/>
        <v>29.573133422929669</v>
      </c>
      <c r="BG34" s="22">
        <f t="shared" si="7"/>
        <v>244.88086471160261</v>
      </c>
      <c r="BH34" s="60">
        <f t="shared" si="8"/>
        <v>538.21419804493598</v>
      </c>
      <c r="BI34" s="60">
        <f ca="1">AVERAGE(OFFSET($BH$3,0,0,'Données projet'!$E$11+1,1))-AVERAGE(OFFSET($H$3,0,0,'Données projet'!$E$11+1,1))</f>
        <v>352.29660374042186</v>
      </c>
      <c r="BJ34" s="60">
        <f t="shared" si="38"/>
        <v>187.26439695305618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70.761600000000001</v>
      </c>
      <c r="CA34" s="14">
        <f t="shared" si="39"/>
        <v>19.862470414169767</v>
      </c>
      <c r="CB34" s="22">
        <f t="shared" si="10"/>
        <v>157.83692263801234</v>
      </c>
      <c r="CC34" s="60">
        <f t="shared" si="11"/>
        <v>451.17025597134568</v>
      </c>
      <c r="CD34" s="60">
        <f ca="1">AVERAGE(OFFSET($CC$3,0,0,'Données projet'!$E$12+1,1))-AVERAGE(OFFSET($H$3,0,0,'Données projet'!$E$12+1,1))</f>
        <v>277.03735509061545</v>
      </c>
      <c r="CE34" s="60">
        <f t="shared" si="40"/>
        <v>158.16416492761959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85.176000000000002</v>
      </c>
      <c r="CV34" s="14">
        <f t="shared" si="41"/>
        <v>23.398088487656441</v>
      </c>
      <c r="CW34" s="22">
        <f t="shared" si="13"/>
        <v>189.09987078266829</v>
      </c>
      <c r="CX34" s="60">
        <f t="shared" si="14"/>
        <v>482.4332041160016</v>
      </c>
      <c r="CY34" s="60">
        <f ca="1">AVERAGE(OFFSET($CX$3,0,0,'Données projet'!$E$13+1,1))-AVERAGE(OFFSET($H$3,0,0,'Données projet'!$E$13+1,1))</f>
        <v>350.3652766444938</v>
      </c>
      <c r="CZ34" s="60">
        <f t="shared" si="42"/>
        <v>197.04549436738586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15.2</v>
      </c>
      <c r="DO34" s="13">
        <f>IF('Données projet'!$A$166&gt;35,DO33+DN34-DW33,IF(A34&lt;'Données projet'!$A$166,$DL$205^A34,IF(A34='Données projet'!$A$166,'Données projet'!$B$166,DO33+DN34-DW33)))</f>
        <v>262.20000000000005</v>
      </c>
      <c r="DP34" s="18">
        <f>DO34*VLOOKUP('Données projet'!$B$14,Paramètres!$A$1:$I$89,3,0)*VLOOKUP('Données projet'!$B$14,Paramètres!$A$1:$I$89,5,0)</f>
        <v>208.60632000000007</v>
      </c>
      <c r="DQ34" s="14">
        <f t="shared" si="43"/>
        <v>51.630913628711873</v>
      </c>
      <c r="DR34" s="22">
        <f t="shared" si="16"/>
        <v>453.24651523667325</v>
      </c>
      <c r="DS34" s="60">
        <f t="shared" si="17"/>
        <v>746.57984857000656</v>
      </c>
      <c r="DT34" s="60">
        <f ca="1">AVERAGE(OFFSET($DS$3,0,0,'Données projet'!$E$14+1,1))-AVERAGE(OFFSET($H$3,0,0,'Données projet'!$E$14+1,1))</f>
        <v>382.01991140382955</v>
      </c>
      <c r="DU34" s="60">
        <f t="shared" si="44"/>
        <v>389.53897948144339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12.8</v>
      </c>
      <c r="EJ34" s="13">
        <f>IF('Données projet'!$A$192&gt;35,EJ33+EI34-ER33,IF(A34&lt;'Données projet'!$A$192,$EG$205^A34,IF(A34='Données projet'!$A$192,'Données projet'!$B$192,EJ33+EI34-ER33)))</f>
        <v>189.8</v>
      </c>
      <c r="EK34" s="18">
        <f>EJ34*VLOOKUP('Données projet'!$B$15,Paramètres!$A$1:$I$89,3,0)*VLOOKUP('Données projet'!$B$15,Paramètres!$A$1:$I$89,5,0)</f>
        <v>151.00488000000001</v>
      </c>
      <c r="EL34" s="14">
        <f t="shared" si="45"/>
        <v>38.80685939084016</v>
      </c>
      <c r="EM34" s="22">
        <f t="shared" si="19"/>
        <v>330.58877943904662</v>
      </c>
      <c r="EN34" s="60">
        <f t="shared" si="20"/>
        <v>623.92211277237993</v>
      </c>
      <c r="EO34" s="60">
        <f ca="1">AVERAGE(OFFSET($EN$3,0,0,'Données projet'!$E$15+1,1))-AVERAGE(OFFSET($H$3,0,0,'Données projet'!$E$15+1,1))</f>
        <v>323.92137573760789</v>
      </c>
      <c r="EP34" s="60">
        <f t="shared" si="46"/>
        <v>389.53897948144339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16.2</v>
      </c>
      <c r="FE34" s="13">
        <f>IF('Données projet'!$A$218&gt;35,FE33+FD34-FM33,IF(A34&lt;'Données projet'!$A$218,$FB$205^A34,IF(A34='Données projet'!$A$218,'Données projet'!$B$218,FE33+FD34-FM33)))</f>
        <v>107.19999999999999</v>
      </c>
      <c r="FF34" s="18">
        <f>FE34*VLOOKUP('Données projet'!$B$16,Paramètres!$A$1:$I$89,3,0)*VLOOKUP('Données projet'!$B$16,Paramètres!$A$1:$I$89,5,0)</f>
        <v>85.288319999999999</v>
      </c>
      <c r="FG34" s="14">
        <f t="shared" si="47"/>
        <v>23.425349540470684</v>
      </c>
      <c r="FH34" s="22">
        <f t="shared" si="22"/>
        <v>189.34297444965307</v>
      </c>
      <c r="FI34" s="60">
        <f t="shared" si="23"/>
        <v>482.67630778298638</v>
      </c>
      <c r="FJ34" s="60">
        <f ca="1">AVERAGE(OFFSET($FI$3,0,0,'Données projet'!$E$16+1,1))-AVERAGE(OFFSET($H$3,0,0,'Données projet'!$E$16+1,1))</f>
        <v>219.61164494001008</v>
      </c>
      <c r="FK34" s="60">
        <f t="shared" si="48"/>
        <v>219.59799863414111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10.402930402930403</v>
      </c>
      <c r="FZ34" s="13">
        <f>IF('Données projet'!$A$244&gt;35,FZ33+FY34-GH33,IF(A34&lt;'Données projet'!$A$244,$FW$205^A34,IF(A34='Données projet'!$A$244,'Données projet'!$B$244,FZ33+FY34-GH33)))</f>
        <v>113.47985347985349</v>
      </c>
      <c r="GA34" s="18">
        <f>FZ34*VLOOKUP('Données projet'!$B$17,Paramètres!$A$1:$I$89,3,0)*VLOOKUP('Données projet'!$B$17,Paramètres!$A$1:$I$89,5,0)</f>
        <v>53.108571428571437</v>
      </c>
      <c r="GB34" s="14">
        <f t="shared" si="49"/>
        <v>15.413722027781299</v>
      </c>
      <c r="GC34" s="22">
        <f t="shared" si="25"/>
        <v>119.34299443648099</v>
      </c>
      <c r="GD34" s="60">
        <f t="shared" si="26"/>
        <v>412.67632776981429</v>
      </c>
      <c r="GE34" s="60">
        <f ca="1">AVERAGE(OFFSET($GD$3,0,0,'Données projet'!$E$17+1,1))-AVERAGE(OFFSET($H$3,0,0,'Données projet'!$E$17+1,1))</f>
        <v>147.5699668214238</v>
      </c>
      <c r="GF34" s="60">
        <f t="shared" si="50"/>
        <v>70.653739864908346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>
        <f>GU34*VLOOKUP('Données projet'!$B$18,Paramètres!$A$1:$I$89,3,0)*VLOOKUP('Données projet'!$B$18,Paramètres!$A$1:$I$89,5,0)</f>
        <v>0</v>
      </c>
      <c r="GW34" s="14" t="e">
        <f t="shared" si="51"/>
        <v>#NUM!</v>
      </c>
      <c r="GX34" s="22" t="e">
        <f t="shared" si="28"/>
        <v>#NUM!</v>
      </c>
      <c r="GY34" s="60" t="e">
        <f t="shared" si="29"/>
        <v>#NUM!</v>
      </c>
      <c r="GZ34" s="60">
        <f ca="1">AVERAGE(OFFSET($GY$3,0,0,'Données projet'!$E$18+1,1))-AVERAGE(OFFSET($H$3,0,0,'Données projet'!$E$18+1,1))</f>
        <v>136.03899433512379</v>
      </c>
      <c r="HA34" s="60">
        <f t="shared" si="52"/>
        <v>316.56646692826882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73.206796529871355</v>
      </c>
      <c r="HH34" s="23">
        <f>EXP(-LN(2)/25)*HH33+(1-EXP(-LN(2)/25))/(LN(2)/25)*Calculateur!HC34*Calculateur!HE34*VLOOKUP('Données projet'!$B$18,Paramètres!$A$1:$I$89,3,0)*0.475*44/12</f>
        <v>9.8060492556856023</v>
      </c>
      <c r="HI34" s="23">
        <f>EXP(-LN(2)/2)*HI33+(1-EXP(-LN(2)/2))/(LN(2)/2)*HC34*HF34*VLOOKUP('Données projet'!$B$18,Paramètres!$A$1:$I$89,3,0)*0.475*44/12</f>
        <v>2.067381248678807</v>
      </c>
      <c r="HJ34" s="24">
        <f t="shared" si="30"/>
        <v>85.080227034235776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576.86852712790665</v>
      </c>
      <c r="S35" s="60">
        <f ca="1">AVERAGE(OFFSET($R$3,0,0,'Données projet'!$E$9+1,1))-AVERAGE(OFFSET($H$3,0,0,'Données projet'!$E$9+1,1))</f>
        <v>384.44848355636935</v>
      </c>
      <c r="T35" s="60">
        <f t="shared" si="34"/>
        <v>203.5274665601915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0">
        <f t="shared" si="5"/>
        <v>478.24526587136597</v>
      </c>
      <c r="AN35" s="60">
        <f ca="1">AVERAGE(OFFSET($AM$3,0,0,'Données projet'!$E$10+1,1))-AVERAGE(OFFSET($H$3,0,0,'Données projet'!$E$10+1,1))</f>
        <v>303.73499739059076</v>
      </c>
      <c r="AO35" s="60">
        <f t="shared" si="36"/>
        <v>172.32171001882188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142.60000000000005</v>
      </c>
      <c r="BE35" s="14">
        <f>BD35*VLOOKUP('Données projet'!$B$11,Paramètres!$A$1:$I$89,3,0)*VLOOKUP('Données projet'!$B$11,Paramètres!$A$1:$I$89,5,0)</f>
        <v>120.12624000000005</v>
      </c>
      <c r="BF35" s="14">
        <f t="shared" si="37"/>
        <v>31.704440899018444</v>
      </c>
      <c r="BG35" s="22">
        <f t="shared" si="7"/>
        <v>264.43843589912387</v>
      </c>
      <c r="BH35" s="60">
        <f t="shared" si="8"/>
        <v>557.77176923245725</v>
      </c>
      <c r="BI35" s="60">
        <f ca="1">AVERAGE(OFFSET($BH$3,0,0,'Données projet'!$E$11+1,1))-AVERAGE(OFFSET($H$3,0,0,'Données projet'!$E$11+1,1))</f>
        <v>352.29660374042186</v>
      </c>
      <c r="BJ35" s="60">
        <f t="shared" si="38"/>
        <v>187.26439695305618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77.500800000000012</v>
      </c>
      <c r="CA35" s="14">
        <f t="shared" si="39"/>
        <v>21.524992579009275</v>
      </c>
      <c r="CB35" s="22">
        <f t="shared" si="10"/>
        <v>172.46992207510786</v>
      </c>
      <c r="CC35" s="60">
        <f t="shared" si="11"/>
        <v>465.80325540844115</v>
      </c>
      <c r="CD35" s="60">
        <f ca="1">AVERAGE(OFFSET($CC$3,0,0,'Données projet'!$E$12+1,1))-AVERAGE(OFFSET($H$3,0,0,'Données projet'!$E$12+1,1))</f>
        <v>277.03735509061545</v>
      </c>
      <c r="CE35" s="60">
        <f t="shared" si="40"/>
        <v>158.16416492761959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93.288000000000011</v>
      </c>
      <c r="CV35" s="14">
        <f t="shared" si="41"/>
        <v>25.356547829040977</v>
      </c>
      <c r="CW35" s="22">
        <f t="shared" si="13"/>
        <v>206.63925413557971</v>
      </c>
      <c r="CX35" s="60">
        <f t="shared" si="14"/>
        <v>499.97258746891305</v>
      </c>
      <c r="CY35" s="60">
        <f ca="1">AVERAGE(OFFSET($CX$3,0,0,'Données projet'!$E$13+1,1))-AVERAGE(OFFSET($H$3,0,0,'Données projet'!$E$13+1,1))</f>
        <v>350.3652766444938</v>
      </c>
      <c r="CZ35" s="60">
        <f t="shared" si="42"/>
        <v>197.04549436738586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15.2</v>
      </c>
      <c r="DO35" s="13">
        <f>IF('Données projet'!$A$166&gt;35,DO34+DN35-DW34,IF(A35&lt;'Données projet'!$A$166,$DL$205^A35,IF(A35='Données projet'!$A$166,'Données projet'!$B$166,DO34+DN35-DW34)))</f>
        <v>277.40000000000003</v>
      </c>
      <c r="DP35" s="18">
        <f>DO35*VLOOKUP('Données projet'!$B$14,Paramètres!$A$1:$I$89,3,0)*VLOOKUP('Données projet'!$B$14,Paramètres!$A$1:$I$89,5,0)</f>
        <v>220.69944000000004</v>
      </c>
      <c r="DQ35" s="14">
        <f t="shared" si="43"/>
        <v>54.266877453235324</v>
      </c>
      <c r="DR35" s="22">
        <f t="shared" si="16"/>
        <v>478.89966956438485</v>
      </c>
      <c r="DS35" s="60">
        <f t="shared" si="17"/>
        <v>772.23300289771817</v>
      </c>
      <c r="DT35" s="60">
        <f ca="1">AVERAGE(OFFSET($DS$3,0,0,'Données projet'!$E$14+1,1))-AVERAGE(OFFSET($H$3,0,0,'Données projet'!$E$14+1,1))</f>
        <v>382.01991140382955</v>
      </c>
      <c r="DU35" s="60">
        <f t="shared" si="44"/>
        <v>389.53897948144339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12.8</v>
      </c>
      <c r="EJ35" s="13">
        <f>IF('Données projet'!$A$192&gt;35,EJ34+EI35-ER34,IF(A35&lt;'Données projet'!$A$192,$EG$205^A35,IF(A35='Données projet'!$A$192,'Données projet'!$B$192,EJ34+EI35-ER34)))</f>
        <v>202.60000000000002</v>
      </c>
      <c r="EK35" s="18">
        <f>EJ35*VLOOKUP('Données projet'!$B$15,Paramètres!$A$1:$I$89,3,0)*VLOOKUP('Données projet'!$B$15,Paramètres!$A$1:$I$89,5,0)</f>
        <v>161.18856000000002</v>
      </c>
      <c r="EL35" s="14">
        <f t="shared" si="45"/>
        <v>41.11048284884329</v>
      </c>
      <c r="EM35" s="22">
        <f t="shared" si="19"/>
        <v>352.3374996284021</v>
      </c>
      <c r="EN35" s="60">
        <f t="shared" si="20"/>
        <v>645.67083296173541</v>
      </c>
      <c r="EO35" s="60">
        <f ca="1">AVERAGE(OFFSET($EN$3,0,0,'Données projet'!$E$15+1,1))-AVERAGE(OFFSET($H$3,0,0,'Données projet'!$E$15+1,1))</f>
        <v>323.92137573760789</v>
      </c>
      <c r="EP35" s="60">
        <f t="shared" si="46"/>
        <v>389.53897948144339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16.2</v>
      </c>
      <c r="FE35" s="13">
        <f>IF('Données projet'!$A$218&gt;35,FE34+FD35-FM34,IF(A35&lt;'Données projet'!$A$218,$FB$205^A35,IF(A35='Données projet'!$A$218,'Données projet'!$B$218,FE34+FD35-FM34)))</f>
        <v>123.39999999999999</v>
      </c>
      <c r="FF35" s="18">
        <f>FE35*VLOOKUP('Données projet'!$B$16,Paramètres!$A$1:$I$89,3,0)*VLOOKUP('Données projet'!$B$16,Paramètres!$A$1:$I$89,5,0)</f>
        <v>98.177040000000005</v>
      </c>
      <c r="FG35" s="14">
        <f t="shared" si="47"/>
        <v>26.527238539170206</v>
      </c>
      <c r="FH35" s="22">
        <f t="shared" si="22"/>
        <v>217.19328512238812</v>
      </c>
      <c r="FI35" s="60">
        <f t="shared" si="23"/>
        <v>510.5266184557214</v>
      </c>
      <c r="FJ35" s="60">
        <f ca="1">AVERAGE(OFFSET($FI$3,0,0,'Données projet'!$E$16+1,1))-AVERAGE(OFFSET($H$3,0,0,'Données projet'!$E$16+1,1))</f>
        <v>219.61164494001008</v>
      </c>
      <c r="FK35" s="60">
        <f t="shared" si="48"/>
        <v>219.59799863414111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10.402930402930403</v>
      </c>
      <c r="FZ35" s="13">
        <f>IF('Données projet'!$A$244&gt;35,FZ34+FY35-GH34,IF(A35&lt;'Données projet'!$A$244,$FW$205^A35,IF(A35='Données projet'!$A$244,'Données projet'!$B$244,FZ34+FY35-GH34)))</f>
        <v>123.8827838827839</v>
      </c>
      <c r="GA35" s="18">
        <f>FZ35*VLOOKUP('Données projet'!$B$17,Paramètres!$A$1:$I$89,3,0)*VLOOKUP('Données projet'!$B$17,Paramètres!$A$1:$I$89,5,0)</f>
        <v>57.977142857142866</v>
      </c>
      <c r="GB35" s="14">
        <f t="shared" si="49"/>
        <v>16.655810903261287</v>
      </c>
      <c r="GC35" s="22">
        <f t="shared" si="25"/>
        <v>129.98572779937055</v>
      </c>
      <c r="GD35" s="60">
        <f t="shared" si="26"/>
        <v>423.31906113270384</v>
      </c>
      <c r="GE35" s="60">
        <f ca="1">AVERAGE(OFFSET($GD$3,0,0,'Données projet'!$E$17+1,1))-AVERAGE(OFFSET($H$3,0,0,'Données projet'!$E$17+1,1))</f>
        <v>147.5699668214238</v>
      </c>
      <c r="GF35" s="60">
        <f t="shared" si="50"/>
        <v>70.653739864908346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>
        <f>GU35*VLOOKUP('Données projet'!$B$18,Paramètres!$A$1:$I$89,3,0)*VLOOKUP('Données projet'!$B$18,Paramètres!$A$1:$I$89,5,0)</f>
        <v>0</v>
      </c>
      <c r="GW35" s="14" t="e">
        <f t="shared" si="51"/>
        <v>#NUM!</v>
      </c>
      <c r="GX35" s="22" t="e">
        <f t="shared" si="28"/>
        <v>#NUM!</v>
      </c>
      <c r="GY35" s="60" t="e">
        <f t="shared" si="29"/>
        <v>#NUM!</v>
      </c>
      <c r="GZ35" s="60">
        <f ca="1">AVERAGE(OFFSET($GY$3,0,0,'Données projet'!$E$18+1,1))-AVERAGE(OFFSET($H$3,0,0,'Données projet'!$E$18+1,1))</f>
        <v>136.03899433512379</v>
      </c>
      <c r="HA35" s="60">
        <f t="shared" si="52"/>
        <v>316.56646692826882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71.771255901657469</v>
      </c>
      <c r="HH35" s="23">
        <f>EXP(-LN(2)/25)*HH34+(1-EXP(-LN(2)/25))/(LN(2)/25)*Calculateur!HC35*Calculateur!HE35*VLOOKUP('Données projet'!$B$18,Paramètres!$A$1:$I$89,3,0)*0.475*44/12</f>
        <v>9.5379023231111617</v>
      </c>
      <c r="HI35" s="23">
        <f>EXP(-LN(2)/2)*HI34+(1-EXP(-LN(2)/2))/(LN(2)/2)*HC35*HF35*VLOOKUP('Données projet'!$B$18,Paramètres!$A$1:$I$89,3,0)*0.475*44/12</f>
        <v>1.4618593002386966</v>
      </c>
      <c r="HJ35" s="24">
        <f t="shared" si="30"/>
        <v>82.771017525007323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597.80704287706772</v>
      </c>
      <c r="S36" s="60">
        <f ca="1">AVERAGE(OFFSET($R$3,0,0,'Données projet'!$E$9+1,1))-AVERAGE(OFFSET($H$3,0,0,'Données projet'!$E$9+1,1))</f>
        <v>384.44848355636935</v>
      </c>
      <c r="T36" s="60">
        <f t="shared" si="34"/>
        <v>203.5274665601915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0">
        <f t="shared" si="5"/>
        <v>493.9053274736159</v>
      </c>
      <c r="AN36" s="60">
        <f ca="1">AVERAGE(OFFSET($AM$3,0,0,'Données projet'!$E$10+1,1))-AVERAGE(OFFSET($H$3,0,0,'Données projet'!$E$10+1,1))</f>
        <v>303.73499739059076</v>
      </c>
      <c r="AO36" s="60">
        <f t="shared" si="36"/>
        <v>172.32171001882188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153.40000000000006</v>
      </c>
      <c r="BE36" s="14">
        <f>BD36*VLOOKUP('Données projet'!$B$11,Paramètres!$A$1:$I$89,3,0)*VLOOKUP('Données projet'!$B$11,Paramètres!$A$1:$I$89,5,0)</f>
        <v>129.22416000000007</v>
      </c>
      <c r="BF36" s="14">
        <f t="shared" si="37"/>
        <v>33.81702308029579</v>
      </c>
      <c r="BG36" s="22">
        <f t="shared" si="7"/>
        <v>283.96339386484857</v>
      </c>
      <c r="BH36" s="60">
        <f t="shared" si="8"/>
        <v>577.29672719818188</v>
      </c>
      <c r="BI36" s="60">
        <f ca="1">AVERAGE(OFFSET($BH$3,0,0,'Données projet'!$E$11+1,1))-AVERAGE(OFFSET($H$3,0,0,'Données projet'!$E$11+1,1))</f>
        <v>352.29660374042186</v>
      </c>
      <c r="BJ36" s="60">
        <f t="shared" si="38"/>
        <v>187.26439695305618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84.240000000000009</v>
      </c>
      <c r="CA36" s="14">
        <f t="shared" si="39"/>
        <v>23.170749718409468</v>
      </c>
      <c r="CB36" s="22">
        <f t="shared" si="10"/>
        <v>187.07372242622981</v>
      </c>
      <c r="CC36" s="60">
        <f t="shared" si="11"/>
        <v>480.40705575956315</v>
      </c>
      <c r="CD36" s="60">
        <f ca="1">AVERAGE(OFFSET($CC$3,0,0,'Données projet'!$E$12+1,1))-AVERAGE(OFFSET($H$3,0,0,'Données projet'!$E$12+1,1))</f>
        <v>277.03735509061545</v>
      </c>
      <c r="CE36" s="60">
        <f t="shared" si="40"/>
        <v>158.16416492761959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101.4</v>
      </c>
      <c r="CV36" s="14">
        <f t="shared" si="41"/>
        <v>27.295257887453797</v>
      </c>
      <c r="CW36" s="22">
        <f t="shared" si="13"/>
        <v>224.14424082064872</v>
      </c>
      <c r="CX36" s="60">
        <f t="shared" si="14"/>
        <v>517.477574153982</v>
      </c>
      <c r="CY36" s="60">
        <f ca="1">AVERAGE(OFFSET($CX$3,0,0,'Données projet'!$E$13+1,1))-AVERAGE(OFFSET($H$3,0,0,'Données projet'!$E$13+1,1))</f>
        <v>350.3652766444938</v>
      </c>
      <c r="CZ36" s="60">
        <f t="shared" si="42"/>
        <v>197.04549436738586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15.2</v>
      </c>
      <c r="DO36" s="13">
        <f>IF('Données projet'!$A$166&gt;35,DO35+DN36-DW35,IF(A36&lt;'Données projet'!$A$166,$DL$205^A36,IF(A36='Données projet'!$A$166,'Données projet'!$B$166,DO35+DN36-DW35)))</f>
        <v>292.60000000000002</v>
      </c>
      <c r="DP36" s="18">
        <f>DO36*VLOOKUP('Données projet'!$B$14,Paramètres!$A$1:$I$89,3,0)*VLOOKUP('Données projet'!$B$14,Paramètres!$A$1:$I$89,5,0)</f>
        <v>232.79256000000004</v>
      </c>
      <c r="DQ36" s="14">
        <f t="shared" si="43"/>
        <v>56.886073528245028</v>
      </c>
      <c r="DR36" s="22">
        <f t="shared" si="16"/>
        <v>504.52362006169346</v>
      </c>
      <c r="DS36" s="60">
        <f t="shared" si="17"/>
        <v>797.85695339502672</v>
      </c>
      <c r="DT36" s="60">
        <f ca="1">AVERAGE(OFFSET($DS$3,0,0,'Données projet'!$E$14+1,1))-AVERAGE(OFFSET($H$3,0,0,'Données projet'!$E$14+1,1))</f>
        <v>382.01991140382955</v>
      </c>
      <c r="DU36" s="60">
        <f t="shared" si="44"/>
        <v>389.53897948144339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12.8</v>
      </c>
      <c r="EJ36" s="13">
        <f>IF('Données projet'!$A$192&gt;35,EJ35+EI36-ER35,IF(A36&lt;'Données projet'!$A$192,$EG$205^A36,IF(A36='Données projet'!$A$192,'Données projet'!$B$192,EJ35+EI36-ER35)))</f>
        <v>215.40000000000003</v>
      </c>
      <c r="EK36" s="18">
        <f>EJ36*VLOOKUP('Données projet'!$B$15,Paramètres!$A$1:$I$89,3,0)*VLOOKUP('Données projet'!$B$15,Paramètres!$A$1:$I$89,5,0)</f>
        <v>171.37224000000003</v>
      </c>
      <c r="EL36" s="14">
        <f t="shared" si="45"/>
        <v>43.397215745170669</v>
      </c>
      <c r="EM36" s="22">
        <f t="shared" si="19"/>
        <v>374.05680208950565</v>
      </c>
      <c r="EN36" s="60">
        <f t="shared" si="20"/>
        <v>667.39013542283897</v>
      </c>
      <c r="EO36" s="60">
        <f ca="1">AVERAGE(OFFSET($EN$3,0,0,'Données projet'!$E$15+1,1))-AVERAGE(OFFSET($H$3,0,0,'Données projet'!$E$15+1,1))</f>
        <v>323.92137573760789</v>
      </c>
      <c r="EP36" s="60">
        <f t="shared" si="46"/>
        <v>389.53897948144339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16.2</v>
      </c>
      <c r="FE36" s="13">
        <f>IF('Données projet'!$A$218&gt;35,FE35+FD36-FM35,IF(A36&lt;'Données projet'!$A$218,$FB$205^A36,IF(A36='Données projet'!$A$218,'Données projet'!$B$218,FE35+FD36-FM35)))</f>
        <v>139.6</v>
      </c>
      <c r="FF36" s="18">
        <f>FE36*VLOOKUP('Données projet'!$B$16,Paramètres!$A$1:$I$89,3,0)*VLOOKUP('Données projet'!$B$16,Paramètres!$A$1:$I$89,5,0)</f>
        <v>111.06576</v>
      </c>
      <c r="FG36" s="14">
        <f t="shared" si="47"/>
        <v>29.581944857062648</v>
      </c>
      <c r="FH36" s="22">
        <f t="shared" si="22"/>
        <v>244.96141929271744</v>
      </c>
      <c r="FI36" s="60">
        <f t="shared" si="23"/>
        <v>538.29475262605069</v>
      </c>
      <c r="FJ36" s="60">
        <f ca="1">AVERAGE(OFFSET($FI$3,0,0,'Données projet'!$E$16+1,1))-AVERAGE(OFFSET($H$3,0,0,'Données projet'!$E$16+1,1))</f>
        <v>219.61164494001008</v>
      </c>
      <c r="FK36" s="60">
        <f t="shared" si="48"/>
        <v>219.59799863414111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10.402930402930403</v>
      </c>
      <c r="FZ36" s="13">
        <f>IF('Données projet'!$A$244&gt;35,FZ35+FY36-GH35,IF(A36&lt;'Données projet'!$A$244,$FW$205^A36,IF(A36='Données projet'!$A$244,'Données projet'!$B$244,FZ35+FY36-GH35)))</f>
        <v>134.28571428571431</v>
      </c>
      <c r="GA36" s="18">
        <f>FZ36*VLOOKUP('Données projet'!$B$17,Paramètres!$A$1:$I$89,3,0)*VLOOKUP('Données projet'!$B$17,Paramètres!$A$1:$I$89,5,0)</f>
        <v>62.845714285714294</v>
      </c>
      <c r="GB36" s="14">
        <f t="shared" si="49"/>
        <v>17.885803038990584</v>
      </c>
      <c r="GC36" s="22">
        <f t="shared" si="25"/>
        <v>140.60739267386097</v>
      </c>
      <c r="GD36" s="60">
        <f t="shared" si="26"/>
        <v>433.94072600719426</v>
      </c>
      <c r="GE36" s="60">
        <f ca="1">AVERAGE(OFFSET($GD$3,0,0,'Données projet'!$E$17+1,1))-AVERAGE(OFFSET($H$3,0,0,'Données projet'!$E$17+1,1))</f>
        <v>147.5699668214238</v>
      </c>
      <c r="GF36" s="60">
        <f t="shared" si="50"/>
        <v>70.653739864908346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>
        <f>GU36*VLOOKUP('Données projet'!$B$18,Paramètres!$A$1:$I$89,3,0)*VLOOKUP('Données projet'!$B$18,Paramètres!$A$1:$I$89,5,0)</f>
        <v>0</v>
      </c>
      <c r="GW36" s="14" t="e">
        <f t="shared" si="51"/>
        <v>#NUM!</v>
      </c>
      <c r="GX36" s="22" t="e">
        <f t="shared" si="28"/>
        <v>#NUM!</v>
      </c>
      <c r="GY36" s="60" t="e">
        <f t="shared" si="29"/>
        <v>#NUM!</v>
      </c>
      <c r="GZ36" s="60">
        <f ca="1">AVERAGE(OFFSET($GY$3,0,0,'Données projet'!$E$18+1,1))-AVERAGE(OFFSET($H$3,0,0,'Données projet'!$E$18+1,1))</f>
        <v>136.03899433512379</v>
      </c>
      <c r="HA36" s="60">
        <f t="shared" si="52"/>
        <v>316.56646692826882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70.363865349569537</v>
      </c>
      <c r="HH36" s="23">
        <f>EXP(-LN(2)/25)*HH35+(1-EXP(-LN(2)/25))/(LN(2)/25)*Calculateur!HC36*Calculateur!HE36*VLOOKUP('Données projet'!$B$18,Paramètres!$A$1:$I$89,3,0)*0.475*44/12</f>
        <v>9.2770878825092034</v>
      </c>
      <c r="HI36" s="23">
        <f>EXP(-LN(2)/2)*HI35+(1-EXP(-LN(2)/2))/(LN(2)/2)*HC36*HF36*VLOOKUP('Données projet'!$B$18,Paramètres!$A$1:$I$89,3,0)*0.475*44/12</f>
        <v>1.0336906243394035</v>
      </c>
      <c r="HJ36" s="24">
        <f t="shared" si="30"/>
        <v>80.674643856418143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618.71354371583652</v>
      </c>
      <c r="S37" s="60">
        <f ca="1">AVERAGE(OFFSET($R$3,0,0,'Données projet'!$E$9+1,1))-AVERAGE(OFFSET($H$3,0,0,'Données projet'!$E$9+1,1))</f>
        <v>384.44848355636935</v>
      </c>
      <c r="T37" s="60">
        <f t="shared" si="34"/>
        <v>203.5274665601915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0">
        <f t="shared" si="5"/>
        <v>509.537057935093</v>
      </c>
      <c r="AN37" s="60">
        <f ca="1">AVERAGE(OFFSET($AM$3,0,0,'Données projet'!$E$10+1,1))-AVERAGE(OFFSET($H$3,0,0,'Données projet'!$E$10+1,1))</f>
        <v>303.73499739059076</v>
      </c>
      <c r="AO37" s="60">
        <f t="shared" si="36"/>
        <v>172.32171001882188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164.20000000000007</v>
      </c>
      <c r="BE37" s="14">
        <f>BD37*VLOOKUP('Données projet'!$B$11,Paramètres!$A$1:$I$89,3,0)*VLOOKUP('Données projet'!$B$11,Paramètres!$A$1:$I$89,5,0)</f>
        <v>138.32208000000008</v>
      </c>
      <c r="BF37" s="14">
        <f t="shared" si="37"/>
        <v>35.912348257500334</v>
      </c>
      <c r="BG37" s="22">
        <f t="shared" si="7"/>
        <v>303.45829588181323</v>
      </c>
      <c r="BH37" s="60">
        <f t="shared" si="8"/>
        <v>596.79162921514649</v>
      </c>
      <c r="BI37" s="60">
        <f ca="1">AVERAGE(OFFSET($BH$3,0,0,'Données projet'!$E$11+1,1))-AVERAGE(OFFSET($H$3,0,0,'Données projet'!$E$11+1,1))</f>
        <v>352.29660374042186</v>
      </c>
      <c r="BJ37" s="60">
        <f t="shared" si="38"/>
        <v>187.26439695305618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90.97920000000002</v>
      </c>
      <c r="CA37" s="14">
        <f t="shared" si="39"/>
        <v>24.801235516871511</v>
      </c>
      <c r="CB37" s="22">
        <f t="shared" si="10"/>
        <v>201.65092519188457</v>
      </c>
      <c r="CC37" s="60">
        <f t="shared" si="11"/>
        <v>494.98425852521791</v>
      </c>
      <c r="CD37" s="60">
        <f ca="1">AVERAGE(OFFSET($CC$3,0,0,'Données projet'!$E$12+1,1))-AVERAGE(OFFSET($H$3,0,0,'Données projet'!$E$12+1,1))</f>
        <v>277.03735509061545</v>
      </c>
      <c r="CE37" s="60">
        <f t="shared" si="40"/>
        <v>158.16416492761959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109.51200000000001</v>
      </c>
      <c r="CV37" s="14">
        <f t="shared" si="41"/>
        <v>29.215978230632555</v>
      </c>
      <c r="CW37" s="22">
        <f t="shared" si="13"/>
        <v>241.61789541835174</v>
      </c>
      <c r="CX37" s="60">
        <f t="shared" si="14"/>
        <v>534.95122875168499</v>
      </c>
      <c r="CY37" s="60">
        <f ca="1">AVERAGE(OFFSET($CX$3,0,0,'Données projet'!$E$13+1,1))-AVERAGE(OFFSET($H$3,0,0,'Données projet'!$E$13+1,1))</f>
        <v>350.3652766444938</v>
      </c>
      <c r="CZ37" s="60">
        <f t="shared" si="42"/>
        <v>197.04549436738586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15.2</v>
      </c>
      <c r="DO37" s="13">
        <f>IF('Données projet'!$A$166&gt;35,DO36+DN37-DW36,IF(A37&lt;'Données projet'!$A$166,$DL$205^A37,IF(A37='Données projet'!$A$166,'Données projet'!$B$166,DO36+DN37-DW36)))</f>
        <v>307.8</v>
      </c>
      <c r="DP37" s="18">
        <f>DO37*VLOOKUP('Données projet'!$B$14,Paramètres!$A$1:$I$89,3,0)*VLOOKUP('Données projet'!$B$14,Paramètres!$A$1:$I$89,5,0)</f>
        <v>244.88568000000001</v>
      </c>
      <c r="DQ37" s="14">
        <f t="shared" si="43"/>
        <v>59.489472256806273</v>
      </c>
      <c r="DR37" s="22">
        <f t="shared" si="16"/>
        <v>530.12005684727103</v>
      </c>
      <c r="DS37" s="60">
        <f t="shared" si="17"/>
        <v>823.4533901806044</v>
      </c>
      <c r="DT37" s="60">
        <f ca="1">AVERAGE(OFFSET($DS$3,0,0,'Données projet'!$E$14+1,1))-AVERAGE(OFFSET($H$3,0,0,'Données projet'!$E$14+1,1))</f>
        <v>382.01991140382955</v>
      </c>
      <c r="DU37" s="60">
        <f t="shared" si="44"/>
        <v>389.53897948144339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12.8</v>
      </c>
      <c r="EJ37" s="13">
        <f>IF('Données projet'!$A$192&gt;35,EJ36+EI37-ER36,IF(A37&lt;'Données projet'!$A$192,$EG$205^A37,IF(A37='Données projet'!$A$192,'Données projet'!$B$192,EJ36+EI37-ER36)))</f>
        <v>228.20000000000005</v>
      </c>
      <c r="EK37" s="18">
        <f>EJ37*VLOOKUP('Données projet'!$B$15,Paramètres!$A$1:$I$89,3,0)*VLOOKUP('Données projet'!$B$15,Paramètres!$A$1:$I$89,5,0)</f>
        <v>181.55592000000004</v>
      </c>
      <c r="EL37" s="14">
        <f t="shared" si="45"/>
        <v>45.668176109849284</v>
      </c>
      <c r="EM37" s="22">
        <f t="shared" si="19"/>
        <v>395.74863405798754</v>
      </c>
      <c r="EN37" s="60">
        <f t="shared" si="20"/>
        <v>689.08196739132086</v>
      </c>
      <c r="EO37" s="60">
        <f ca="1">AVERAGE(OFFSET($EN$3,0,0,'Données projet'!$E$15+1,1))-AVERAGE(OFFSET($H$3,0,0,'Données projet'!$E$15+1,1))</f>
        <v>323.92137573760789</v>
      </c>
      <c r="EP37" s="60">
        <f t="shared" si="46"/>
        <v>389.53897948144339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16.2</v>
      </c>
      <c r="FE37" s="13">
        <f>IF('Données projet'!$A$218&gt;35,FE36+FD37-FM36,IF(A37&lt;'Données projet'!$A$218,$FB$205^A37,IF(A37='Données projet'!$A$218,'Données projet'!$B$218,FE36+FD37-FM36)))</f>
        <v>155.79999999999998</v>
      </c>
      <c r="FF37" s="18">
        <f>FE37*VLOOKUP('Données projet'!$B$16,Paramètres!$A$1:$I$89,3,0)*VLOOKUP('Données projet'!$B$16,Paramètres!$A$1:$I$89,5,0)</f>
        <v>123.95448</v>
      </c>
      <c r="FG37" s="14">
        <f t="shared" si="47"/>
        <v>32.595569202682604</v>
      </c>
      <c r="FH37" s="22">
        <f t="shared" si="22"/>
        <v>272.6580023613389</v>
      </c>
      <c r="FI37" s="60">
        <f t="shared" si="23"/>
        <v>565.99133569467222</v>
      </c>
      <c r="FJ37" s="60">
        <f ca="1">AVERAGE(OFFSET($FI$3,0,0,'Données projet'!$E$16+1,1))-AVERAGE(OFFSET($H$3,0,0,'Données projet'!$E$16+1,1))</f>
        <v>219.61164494001008</v>
      </c>
      <c r="FK37" s="60">
        <f t="shared" si="48"/>
        <v>219.59799863414111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10.402930402930403</v>
      </c>
      <c r="FZ37" s="13">
        <f>IF('Données projet'!$A$244&gt;35,FZ36+FY37-GH36,IF(A37&lt;'Données projet'!$A$244,$FW$205^A37,IF(A37='Données projet'!$A$244,'Données projet'!$B$244,FZ36+FY37-GH36)))</f>
        <v>144.6886446886447</v>
      </c>
      <c r="GA37" s="18">
        <f>FZ37*VLOOKUP('Données projet'!$B$17,Paramètres!$A$1:$I$89,3,0)*VLOOKUP('Données projet'!$B$17,Paramètres!$A$1:$I$89,5,0)</f>
        <v>67.714285714285722</v>
      </c>
      <c r="GB37" s="14">
        <f t="shared" si="49"/>
        <v>19.104742100396511</v>
      </c>
      <c r="GC37" s="22">
        <f t="shared" si="25"/>
        <v>151.20980677723819</v>
      </c>
      <c r="GD37" s="60">
        <f t="shared" si="26"/>
        <v>444.54314011057147</v>
      </c>
      <c r="GE37" s="60">
        <f ca="1">AVERAGE(OFFSET($GD$3,0,0,'Données projet'!$E$17+1,1))-AVERAGE(OFFSET($H$3,0,0,'Données projet'!$E$17+1,1))</f>
        <v>147.5699668214238</v>
      </c>
      <c r="GF37" s="60">
        <f t="shared" si="50"/>
        <v>70.653739864908346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>
        <f>GU37*VLOOKUP('Données projet'!$B$18,Paramètres!$A$1:$I$89,3,0)*VLOOKUP('Données projet'!$B$18,Paramètres!$A$1:$I$89,5,0)</f>
        <v>0</v>
      </c>
      <c r="GW37" s="14" t="e">
        <f t="shared" si="51"/>
        <v>#NUM!</v>
      </c>
      <c r="GX37" s="22" t="e">
        <f t="shared" si="28"/>
        <v>#NUM!</v>
      </c>
      <c r="GY37" s="60" t="e">
        <f t="shared" si="29"/>
        <v>#NUM!</v>
      </c>
      <c r="GZ37" s="60">
        <f ca="1">AVERAGE(OFFSET($GY$3,0,0,'Données projet'!$E$18+1,1))-AVERAGE(OFFSET($H$3,0,0,'Données projet'!$E$18+1,1))</f>
        <v>136.03899433512379</v>
      </c>
      <c r="HA37" s="60">
        <f t="shared" si="52"/>
        <v>316.56646692826882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68.984072867784562</v>
      </c>
      <c r="HH37" s="23">
        <f>EXP(-LN(2)/25)*HH36+(1-EXP(-LN(2)/25))/(LN(2)/25)*Calculateur!HC37*Calculateur!HE37*VLOOKUP('Données projet'!$B$18,Paramètres!$A$1:$I$89,3,0)*0.475*44/12</f>
        <v>9.0234054265011405</v>
      </c>
      <c r="HI37" s="23">
        <f>EXP(-LN(2)/2)*HI36+(1-EXP(-LN(2)/2))/(LN(2)/2)*HC37*HF37*VLOOKUP('Données projet'!$B$18,Paramètres!$A$1:$I$89,3,0)*0.475*44/12</f>
        <v>0.7309296501193483</v>
      </c>
      <c r="HJ37" s="24">
        <f t="shared" si="30"/>
        <v>78.738407944405054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639.59037499870374</v>
      </c>
      <c r="S38" s="60">
        <f ca="1">AVERAGE(OFFSET($R$3,0,0,'Données projet'!$E$9+1,1))-AVERAGE(OFFSET($H$3,0,0,'Données projet'!$E$9+1,1))</f>
        <v>384.44848355636935</v>
      </c>
      <c r="T38" s="60">
        <f t="shared" si="34"/>
        <v>203.5274665601915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0">
        <f t="shared" si="5"/>
        <v>525.14279449916307</v>
      </c>
      <c r="AN38" s="60">
        <f ca="1">AVERAGE(OFFSET($AM$3,0,0,'Données projet'!$E$10+1,1))-AVERAGE(OFFSET($H$3,0,0,'Données projet'!$E$10+1,1))</f>
        <v>303.73499739059076</v>
      </c>
      <c r="AO38" s="60">
        <f t="shared" si="36"/>
        <v>172.32171001882188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175.00000000000009</v>
      </c>
      <c r="BE38" s="14">
        <f>BD38*VLOOKUP('Données projet'!$B$11,Paramètres!$A$1:$I$89,3,0)*VLOOKUP('Données projet'!$B$11,Paramètres!$A$1:$I$89,5,0)</f>
        <v>147.4200000000001</v>
      </c>
      <c r="BF38" s="14">
        <f t="shared" si="37"/>
        <v>37.991680647570327</v>
      </c>
      <c r="BG38" s="22">
        <f t="shared" si="7"/>
        <v>322.92534379451848</v>
      </c>
      <c r="BH38" s="60">
        <f t="shared" si="8"/>
        <v>616.2586771278518</v>
      </c>
      <c r="BI38" s="60">
        <f ca="1">AVERAGE(OFFSET($BH$3,0,0,'Données projet'!$E$11+1,1))-AVERAGE(OFFSET($H$3,0,0,'Données projet'!$E$11+1,1))</f>
        <v>352.29660374042186</v>
      </c>
      <c r="BJ38" s="60">
        <f t="shared" si="38"/>
        <v>187.26439695305618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97.718400000000003</v>
      </c>
      <c r="CA38" s="14">
        <f t="shared" si="39"/>
        <v>26.417709819192194</v>
      </c>
      <c r="CB38" s="22">
        <f t="shared" si="10"/>
        <v>216.20372460175975</v>
      </c>
      <c r="CC38" s="60">
        <f t="shared" si="11"/>
        <v>509.53705793509306</v>
      </c>
      <c r="CD38" s="60">
        <f ca="1">AVERAGE(OFFSET($CC$3,0,0,'Données projet'!$E$12+1,1))-AVERAGE(OFFSET($H$3,0,0,'Données projet'!$E$12+1,1))</f>
        <v>277.03735509061545</v>
      </c>
      <c r="CE38" s="60">
        <f t="shared" si="40"/>
        <v>158.16416492761959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117.62400000000001</v>
      </c>
      <c r="CV38" s="14">
        <f t="shared" si="41"/>
        <v>31.120192961985413</v>
      </c>
      <c r="CW38" s="22">
        <f t="shared" si="13"/>
        <v>259.06280274212457</v>
      </c>
      <c r="CX38" s="60">
        <f t="shared" si="14"/>
        <v>552.39613607545789</v>
      </c>
      <c r="CY38" s="60">
        <f ca="1">AVERAGE(OFFSET($CX$3,0,0,'Données projet'!$E$13+1,1))-AVERAGE(OFFSET($H$3,0,0,'Données projet'!$E$13+1,1))</f>
        <v>350.3652766444938</v>
      </c>
      <c r="CZ38" s="60">
        <f t="shared" si="42"/>
        <v>197.04549436738586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323</v>
      </c>
      <c r="DM38" s="13">
        <f>VLOOKUP(A38,'Données projet'!$A$165:$I$185,9,0)</f>
        <v>15.2</v>
      </c>
      <c r="DN38" s="13">
        <f t="array" ref="DN38">INDEX(DM:DM,MIN(IF(ISNUMBER(DM38:DM234),ROW(DM38:DM234),"")))</f>
        <v>15.2</v>
      </c>
      <c r="DO38" s="13">
        <f>IF('Données projet'!$A$166&gt;35,DO37+DN38-DW37,IF(A38&lt;'Données projet'!$A$166,$DL$205^A38,IF(A38='Données projet'!$A$166,'Données projet'!$B$166,DO37+DN38-DW37)))</f>
        <v>323</v>
      </c>
      <c r="DP38" s="18">
        <f>DO38*VLOOKUP('Données projet'!$B$14,Paramètres!$A$1:$I$89,3,0)*VLOOKUP('Données projet'!$B$14,Paramètres!$A$1:$I$89,5,0)</f>
        <v>256.97879999999998</v>
      </c>
      <c r="DQ38" s="14">
        <f t="shared" si="43"/>
        <v>62.077942785287306</v>
      </c>
      <c r="DR38" s="22">
        <f t="shared" si="16"/>
        <v>555.69049368437527</v>
      </c>
      <c r="DS38" s="60">
        <f t="shared" si="17"/>
        <v>849.02382701770853</v>
      </c>
      <c r="DT38" s="60">
        <f ca="1">AVERAGE(OFFSET($DS$3,0,0,'Données projet'!$E$14+1,1))-AVERAGE(OFFSET($H$3,0,0,'Données projet'!$E$14+1,1))</f>
        <v>382.01991140382955</v>
      </c>
      <c r="DU38" s="60">
        <f t="shared" si="44"/>
        <v>389.53897948144339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84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241</v>
      </c>
      <c r="EH38" s="13">
        <f>VLOOKUP(A38,'Données projet'!$A$191:$I$211,9,0)</f>
        <v>12.8</v>
      </c>
      <c r="EI38" s="13">
        <f t="array" ref="EI38">INDEX(EH:EH,MIN(IF(ISNUMBER(EH38:EH234),ROW(EH38:EH234),"")))</f>
        <v>12.8</v>
      </c>
      <c r="EJ38" s="13">
        <f>IF('Données projet'!$A$192&gt;35,EJ37+EI38-ER37,IF(A38&lt;'Données projet'!$A$192,$EG$205^A38,IF(A38='Données projet'!$A$192,'Données projet'!$B$192,EJ37+EI38-ER37)))</f>
        <v>241.00000000000006</v>
      </c>
      <c r="EK38" s="18">
        <f>EJ38*VLOOKUP('Données projet'!$B$15,Paramètres!$A$1:$I$89,3,0)*VLOOKUP('Données projet'!$B$15,Paramètres!$A$1:$I$89,5,0)</f>
        <v>191.73960000000005</v>
      </c>
      <c r="EL38" s="14">
        <f t="shared" si="45"/>
        <v>47.924349465834943</v>
      </c>
      <c r="EM38" s="22">
        <f t="shared" si="19"/>
        <v>417.41471198632922</v>
      </c>
      <c r="EN38" s="60">
        <f t="shared" si="20"/>
        <v>710.74804531966254</v>
      </c>
      <c r="EO38" s="60">
        <f ca="1">AVERAGE(OFFSET($EN$3,0,0,'Données projet'!$E$15+1,1))-AVERAGE(OFFSET($H$3,0,0,'Données projet'!$E$15+1,1))</f>
        <v>323.92137573760789</v>
      </c>
      <c r="EP38" s="60">
        <f t="shared" si="46"/>
        <v>389.53897948144339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172</v>
      </c>
      <c r="FC38" s="13">
        <f>VLOOKUP(A38,'Données projet'!$A$217:$I$237,9,0)</f>
        <v>16.2</v>
      </c>
      <c r="FD38" s="13">
        <f t="array" ref="FD38">INDEX(FC:FC,MIN(IF(ISNUMBER(FC38:FC234),ROW(FC38:FC234),"")))</f>
        <v>16.2</v>
      </c>
      <c r="FE38" s="13">
        <f>IF('Données projet'!$A$218&gt;35,FE37+FD38-FM37,IF(A38&lt;'Données projet'!$A$218,$FB$205^A38,IF(A38='Données projet'!$A$218,'Données projet'!$B$218,FE37+FD38-FM37)))</f>
        <v>171.99999999999997</v>
      </c>
      <c r="FF38" s="18">
        <f>FE38*VLOOKUP('Données projet'!$B$16,Paramètres!$A$1:$I$89,3,0)*VLOOKUP('Données projet'!$B$16,Paramètres!$A$1:$I$89,5,0)</f>
        <v>136.84319999999997</v>
      </c>
      <c r="FG38" s="14">
        <f t="shared" si="47"/>
        <v>35.572869837729648</v>
      </c>
      <c r="FH38" s="22">
        <f t="shared" si="22"/>
        <v>300.2913216340458</v>
      </c>
      <c r="FI38" s="60">
        <f t="shared" si="23"/>
        <v>593.62465496737912</v>
      </c>
      <c r="FJ38" s="60">
        <f ca="1">AVERAGE(OFFSET($FI$3,0,0,'Données projet'!$E$16+1,1))-AVERAGE(OFFSET($H$3,0,0,'Données projet'!$E$16+1,1))</f>
        <v>219.61164494001008</v>
      </c>
      <c r="FK38" s="60">
        <f t="shared" si="48"/>
        <v>219.59799863414111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10.402930402930403</v>
      </c>
      <c r="FZ38" s="13">
        <f>IF('Données projet'!$A$244&gt;35,FZ37+FY38-GH37,IF(A38&lt;'Données projet'!$A$244,$FW$205^A38,IF(A38='Données projet'!$A$244,'Données projet'!$B$244,FZ37+FY38-GH37)))</f>
        <v>155.09157509157509</v>
      </c>
      <c r="GA38" s="18">
        <f>FZ38*VLOOKUP('Données projet'!$B$17,Paramètres!$A$1:$I$89,3,0)*VLOOKUP('Données projet'!$B$17,Paramètres!$A$1:$I$89,5,0)</f>
        <v>72.582857142857151</v>
      </c>
      <c r="GB38" s="14">
        <f t="shared" si="49"/>
        <v>20.31351317084026</v>
      </c>
      <c r="GC38" s="22">
        <f t="shared" si="25"/>
        <v>161.79451162968965</v>
      </c>
      <c r="GD38" s="60">
        <f t="shared" si="26"/>
        <v>455.12784496302299</v>
      </c>
      <c r="GE38" s="60">
        <f ca="1">AVERAGE(OFFSET($GD$3,0,0,'Données projet'!$E$17+1,1))-AVERAGE(OFFSET($H$3,0,0,'Données projet'!$E$17+1,1))</f>
        <v>147.5699668214238</v>
      </c>
      <c r="GF38" s="60">
        <f t="shared" si="50"/>
        <v>70.653739864908346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>
        <f>GU38*VLOOKUP('Données projet'!$B$18,Paramètres!$A$1:$I$89,3,0)*VLOOKUP('Données projet'!$B$18,Paramètres!$A$1:$I$89,5,0)</f>
        <v>0</v>
      </c>
      <c r="GW38" s="14" t="e">
        <f t="shared" si="51"/>
        <v>#NUM!</v>
      </c>
      <c r="GX38" s="22" t="e">
        <f t="shared" si="28"/>
        <v>#NUM!</v>
      </c>
      <c r="GY38" s="60" t="e">
        <f t="shared" si="29"/>
        <v>#NUM!</v>
      </c>
      <c r="GZ38" s="60">
        <f ca="1">AVERAGE(OFFSET($GY$3,0,0,'Données projet'!$E$18+1,1))-AVERAGE(OFFSET($H$3,0,0,'Données projet'!$E$18+1,1))</f>
        <v>136.03899433512379</v>
      </c>
      <c r="HA38" s="60">
        <f t="shared" si="52"/>
        <v>316.56646692826882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67.631337274977085</v>
      </c>
      <c r="HH38" s="23">
        <f>EXP(-LN(2)/25)*HH37+(1-EXP(-LN(2)/25))/(LN(2)/25)*Calculateur!HC38*Calculateur!HE38*VLOOKUP('Données projet'!$B$18,Paramètres!$A$1:$I$89,3,0)*0.475*44/12</f>
        <v>8.7766599305931994</v>
      </c>
      <c r="HI38" s="23">
        <f>EXP(-LN(2)/2)*HI37+(1-EXP(-LN(2)/2))/(LN(2)/2)*HC38*HF38*VLOOKUP('Données projet'!$B$18,Paramètres!$A$1:$I$89,3,0)*0.475*44/12</f>
        <v>0.51684531216970175</v>
      </c>
      <c r="HJ38" s="24">
        <f t="shared" si="30"/>
        <v>76.924842517739989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552.78498149130326</v>
      </c>
      <c r="S39" s="60">
        <f ca="1">AVERAGE(OFFSET($R$3,0,0,'Données projet'!$E$9+1,1))-AVERAGE(OFFSET($H$3,0,0,'Données projet'!$E$9+1,1))</f>
        <v>384.44848355636935</v>
      </c>
      <c r="T39" s="60">
        <f t="shared" si="34"/>
        <v>203.5274665601915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0">
        <f t="shared" si="5"/>
        <v>541.50302276112825</v>
      </c>
      <c r="AN39" s="60">
        <f ca="1">AVERAGE(OFFSET($AM$3,0,0,'Données projet'!$E$10+1,1))-AVERAGE(OFFSET($H$3,0,0,'Données projet'!$E$10+1,1))</f>
        <v>303.73499739059076</v>
      </c>
      <c r="AO39" s="60">
        <f t="shared" si="36"/>
        <v>172.32171001882188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130.20000000000007</v>
      </c>
      <c r="BE39" s="14">
        <f>BD39*VLOOKUP('Données projet'!$B$11,Paramètres!$A$1:$I$89,3,0)*VLOOKUP('Données projet'!$B$11,Paramètres!$A$1:$I$89,5,0)</f>
        <v>109.68048000000009</v>
      </c>
      <c r="BF39" s="14">
        <f t="shared" si="37"/>
        <v>29.255690427909659</v>
      </c>
      <c r="BG39" s="22">
        <f t="shared" si="7"/>
        <v>241.98049682860949</v>
      </c>
      <c r="BH39" s="60">
        <f t="shared" si="8"/>
        <v>535.31383016194286</v>
      </c>
      <c r="BI39" s="60">
        <f ca="1">AVERAGE(OFFSET($BH$3,0,0,'Données projet'!$E$11+1,1))-AVERAGE(OFFSET($H$3,0,0,'Données projet'!$E$11+1,1))</f>
        <v>352.29660374042186</v>
      </c>
      <c r="BJ39" s="60">
        <f t="shared" si="38"/>
        <v>187.26439695305618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104.79456</v>
      </c>
      <c r="CA39" s="14">
        <f t="shared" si="39"/>
        <v>28.101103481959861</v>
      </c>
      <c r="CB39" s="22">
        <f t="shared" si="10"/>
        <v>231.45994723108012</v>
      </c>
      <c r="CC39" s="60">
        <f t="shared" si="11"/>
        <v>524.79328056441341</v>
      </c>
      <c r="CD39" s="60">
        <f ca="1">AVERAGE(OFFSET($CC$3,0,0,'Données projet'!$E$12+1,1))-AVERAGE(OFFSET($H$3,0,0,'Données projet'!$E$12+1,1))</f>
        <v>277.03735509061545</v>
      </c>
      <c r="CE39" s="60">
        <f t="shared" si="40"/>
        <v>158.16416492761959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126.1416</v>
      </c>
      <c r="CV39" s="14">
        <f t="shared" si="41"/>
        <v>33.10323903126482</v>
      </c>
      <c r="CW39" s="22">
        <f t="shared" si="13"/>
        <v>277.35142797945286</v>
      </c>
      <c r="CX39" s="60">
        <f t="shared" si="14"/>
        <v>570.68476131278612</v>
      </c>
      <c r="CY39" s="60">
        <f ca="1">AVERAGE(OFFSET($CX$3,0,0,'Données projet'!$E$13+1,1))-AVERAGE(OFFSET($H$3,0,0,'Données projet'!$E$13+1,1))</f>
        <v>350.3652766444938</v>
      </c>
      <c r="CZ39" s="60">
        <f t="shared" si="42"/>
        <v>197.04549436738586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12.8</v>
      </c>
      <c r="DO39" s="13">
        <f>IF('Données projet'!$A$166&gt;35,DO38+DN39-DW38,IF(A39&lt;'Données projet'!$A$166,$DL$205^A39,IF(A39='Données projet'!$A$166,'Données projet'!$B$166,DO38+DN39-DW38)))</f>
        <v>251.8</v>
      </c>
      <c r="DP39" s="18">
        <f>DO39*VLOOKUP('Données projet'!$B$14,Paramètres!$A$1:$I$89,3,0)*VLOOKUP('Données projet'!$B$14,Paramètres!$A$1:$I$89,5,0)</f>
        <v>200.33208000000002</v>
      </c>
      <c r="DQ39" s="14">
        <f t="shared" si="43"/>
        <v>49.817141810123054</v>
      </c>
      <c r="DR39" s="22">
        <f t="shared" si="16"/>
        <v>435.67656131929766</v>
      </c>
      <c r="DS39" s="60">
        <f t="shared" si="17"/>
        <v>729.00989465263092</v>
      </c>
      <c r="DT39" s="60">
        <f ca="1">AVERAGE(OFFSET($DS$3,0,0,'Données projet'!$E$14+1,1))-AVERAGE(OFFSET($H$3,0,0,'Données projet'!$E$14+1,1))</f>
        <v>382.01991140382955</v>
      </c>
      <c r="DU39" s="60">
        <f t="shared" si="44"/>
        <v>389.53897948144339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11.4</v>
      </c>
      <c r="EJ39" s="13">
        <f>IF('Données projet'!$A$192&gt;35,EJ38+EI39-ER38,IF(A39&lt;'Données projet'!$A$192,$EG$205^A39,IF(A39='Données projet'!$A$192,'Données projet'!$B$192,EJ38+EI39-ER38)))</f>
        <v>252.40000000000006</v>
      </c>
      <c r="EK39" s="18">
        <f>EJ39*VLOOKUP('Données projet'!$B$15,Paramètres!$A$1:$I$89,3,0)*VLOOKUP('Données projet'!$B$15,Paramètres!$A$1:$I$89,5,0)</f>
        <v>200.80944000000008</v>
      </c>
      <c r="EL39" s="14">
        <f t="shared" si="45"/>
        <v>49.922016299484312</v>
      </c>
      <c r="EM39" s="22">
        <f t="shared" si="19"/>
        <v>436.69061972160199</v>
      </c>
      <c r="EN39" s="60">
        <f t="shared" si="20"/>
        <v>730.0239530549353</v>
      </c>
      <c r="EO39" s="60">
        <f ca="1">AVERAGE(OFFSET($EN$3,0,0,'Données projet'!$E$15+1,1))-AVERAGE(OFFSET($H$3,0,0,'Données projet'!$E$15+1,1))</f>
        <v>323.92137573760789</v>
      </c>
      <c r="EP39" s="60">
        <f t="shared" si="46"/>
        <v>389.53897948144339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4</v>
      </c>
      <c r="FE39" s="13">
        <f>IF('Données projet'!$A$218&gt;35,FE38+FD39-FM38,IF(A39&lt;'Données projet'!$A$218,$FB$205^A39,IF(A39='Données projet'!$A$218,'Données projet'!$B$218,FE38+FD39-FM38)))</f>
        <v>175.99999999999997</v>
      </c>
      <c r="FF39" s="18">
        <f>FE39*VLOOKUP('Données projet'!$B$16,Paramètres!$A$1:$I$89,3,0)*VLOOKUP('Données projet'!$B$16,Paramètres!$A$1:$I$89,5,0)</f>
        <v>140.0256</v>
      </c>
      <c r="FG39" s="14">
        <f t="shared" si="47"/>
        <v>36.302870033112463</v>
      </c>
      <c r="FH39" s="22">
        <f t="shared" si="22"/>
        <v>307.10541864100418</v>
      </c>
      <c r="FI39" s="60">
        <f t="shared" si="23"/>
        <v>600.43875197433749</v>
      </c>
      <c r="FJ39" s="60">
        <f ca="1">AVERAGE(OFFSET($FI$3,0,0,'Données projet'!$E$16+1,1))-AVERAGE(OFFSET($H$3,0,0,'Données projet'!$E$16+1,1))</f>
        <v>219.61164494001008</v>
      </c>
      <c r="FK39" s="60">
        <f t="shared" si="48"/>
        <v>219.59799863414111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10.402930402930403</v>
      </c>
      <c r="FZ39" s="13">
        <f>IF('Données projet'!$A$244&gt;35,FZ38+FY39-GH38,IF(A39&lt;'Données projet'!$A$244,$FW$205^A39,IF(A39='Données projet'!$A$244,'Données projet'!$B$244,FZ38+FY39-GH38)))</f>
        <v>165.49450549450549</v>
      </c>
      <c r="GA39" s="18">
        <f>FZ39*VLOOKUP('Données projet'!$B$17,Paramètres!$A$1:$I$89,3,0)*VLOOKUP('Données projet'!$B$17,Paramètres!$A$1:$I$89,5,0)</f>
        <v>77.451428571428565</v>
      </c>
      <c r="GB39" s="14">
        <f t="shared" si="49"/>
        <v>21.512875879677669</v>
      </c>
      <c r="GC39" s="22">
        <f t="shared" si="25"/>
        <v>172.36283025234334</v>
      </c>
      <c r="GD39" s="60">
        <f t="shared" si="26"/>
        <v>465.69616358567669</v>
      </c>
      <c r="GE39" s="60">
        <f ca="1">AVERAGE(OFFSET($GD$3,0,0,'Données projet'!$E$17+1,1))-AVERAGE(OFFSET($H$3,0,0,'Données projet'!$E$17+1,1))</f>
        <v>147.5699668214238</v>
      </c>
      <c r="GF39" s="60">
        <f t="shared" si="50"/>
        <v>70.653739864908346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>
        <f>GU39*VLOOKUP('Données projet'!$B$18,Paramètres!$A$1:$I$89,3,0)*VLOOKUP('Données projet'!$B$18,Paramètres!$A$1:$I$89,5,0)</f>
        <v>0</v>
      </c>
      <c r="GW39" s="14" t="e">
        <f t="shared" si="51"/>
        <v>#NUM!</v>
      </c>
      <c r="GX39" s="22" t="e">
        <f t="shared" si="28"/>
        <v>#NUM!</v>
      </c>
      <c r="GY39" s="60" t="e">
        <f t="shared" si="29"/>
        <v>#NUM!</v>
      </c>
      <c r="GZ39" s="60">
        <f ca="1">AVERAGE(OFFSET($GY$3,0,0,'Données projet'!$E$18+1,1))-AVERAGE(OFFSET($H$3,0,0,'Données projet'!$E$18+1,1))</f>
        <v>136.03899433512379</v>
      </c>
      <c r="HA39" s="60">
        <f t="shared" si="52"/>
        <v>316.56646692826882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66.305128002057316</v>
      </c>
      <c r="HH39" s="23">
        <f>EXP(-LN(2)/25)*HH38+(1-EXP(-LN(2)/25))/(LN(2)/25)*Calculateur!HC39*Calculateur!HE39*VLOOKUP('Données projet'!$B$18,Paramètres!$A$1:$I$89,3,0)*0.475*44/12</f>
        <v>8.5366617032466419</v>
      </c>
      <c r="HI39" s="23">
        <f>EXP(-LN(2)/2)*HI38+(1-EXP(-LN(2)/2))/(LN(2)/2)*HC39*HF39*VLOOKUP('Données projet'!$B$18,Paramètres!$A$1:$I$89,3,0)*0.475*44/12</f>
        <v>0.36546482505967415</v>
      </c>
      <c r="HJ39" s="24">
        <f t="shared" si="30"/>
        <v>75.207254530363628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574.53993500762533</v>
      </c>
      <c r="S40" s="60">
        <f ca="1">AVERAGE(OFFSET($R$3,0,0,'Données projet'!$E$9+1,1))-AVERAGE(OFFSET($H$3,0,0,'Données projet'!$E$9+1,1))</f>
        <v>384.44848355636935</v>
      </c>
      <c r="T40" s="60">
        <f t="shared" si="34"/>
        <v>203.5274665601915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0">
        <f t="shared" si="5"/>
        <v>557.83878140250943</v>
      </c>
      <c r="AN40" s="60">
        <f ca="1">AVERAGE(OFFSET($AM$3,0,0,'Données projet'!$E$10+1,1))-AVERAGE(OFFSET($H$3,0,0,'Données projet'!$E$10+1,1))</f>
        <v>303.73499739059076</v>
      </c>
      <c r="AO40" s="60">
        <f t="shared" si="36"/>
        <v>172.32171001882188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141.40000000000006</v>
      </c>
      <c r="BE40" s="14">
        <f>BD40*VLOOKUP('Données projet'!$B$11,Paramètres!$A$1:$I$89,3,0)*VLOOKUP('Données projet'!$B$11,Paramètres!$A$1:$I$89,5,0)</f>
        <v>119.11536000000007</v>
      </c>
      <c r="BF40" s="14">
        <f t="shared" si="37"/>
        <v>31.468582772748093</v>
      </c>
      <c r="BG40" s="22">
        <f t="shared" si="7"/>
        <v>262.26703366253639</v>
      </c>
      <c r="BH40" s="60">
        <f t="shared" si="8"/>
        <v>555.60036699586976</v>
      </c>
      <c r="BI40" s="60">
        <f ca="1">AVERAGE(OFFSET($BH$3,0,0,'Données projet'!$E$11+1,1))-AVERAGE(OFFSET($H$3,0,0,'Données projet'!$E$11+1,1))</f>
        <v>352.29660374042186</v>
      </c>
      <c r="BJ40" s="60">
        <f t="shared" si="38"/>
        <v>187.26439695305618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111.87072000000003</v>
      </c>
      <c r="CA40" s="14">
        <f t="shared" si="39"/>
        <v>29.771307279851975</v>
      </c>
      <c r="CB40" s="22">
        <f t="shared" si="10"/>
        <v>246.69319751240889</v>
      </c>
      <c r="CC40" s="60">
        <f t="shared" si="11"/>
        <v>540.02653084574217</v>
      </c>
      <c r="CD40" s="60">
        <f ca="1">AVERAGE(OFFSET($CC$3,0,0,'Données projet'!$E$12+1,1))-AVERAGE(OFFSET($H$3,0,0,'Données projet'!$E$12+1,1))</f>
        <v>277.03735509061545</v>
      </c>
      <c r="CE40" s="60">
        <f t="shared" si="40"/>
        <v>158.16416492761959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134.65920000000003</v>
      </c>
      <c r="CV40" s="14">
        <f t="shared" si="41"/>
        <v>35.07074737441733</v>
      </c>
      <c r="CW40" s="22">
        <f t="shared" si="13"/>
        <v>295.61299167711019</v>
      </c>
      <c r="CX40" s="60">
        <f t="shared" si="14"/>
        <v>588.9463250104435</v>
      </c>
      <c r="CY40" s="60">
        <f ca="1">AVERAGE(OFFSET($CX$3,0,0,'Données projet'!$E$13+1,1))-AVERAGE(OFFSET($H$3,0,0,'Données projet'!$E$13+1,1))</f>
        <v>350.3652766444938</v>
      </c>
      <c r="CZ40" s="60">
        <f t="shared" si="42"/>
        <v>197.04549436738586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12.8</v>
      </c>
      <c r="DO40" s="13">
        <f>IF('Données projet'!$A$166&gt;35,DO39+DN40-DW39,IF(A40&lt;'Données projet'!$A$166,$DL$205^A40,IF(A40='Données projet'!$A$166,'Données projet'!$B$166,DO39+DN40-DW39)))</f>
        <v>264.60000000000002</v>
      </c>
      <c r="DP40" s="18">
        <f>DO40*VLOOKUP('Données projet'!$B$14,Paramètres!$A$1:$I$89,3,0)*VLOOKUP('Données projet'!$B$14,Paramètres!$A$1:$I$89,5,0)</f>
        <v>210.51576000000006</v>
      </c>
      <c r="DQ40" s="14">
        <f t="shared" si="43"/>
        <v>52.048276139156307</v>
      </c>
      <c r="DR40" s="22">
        <f t="shared" si="16"/>
        <v>457.29902960903064</v>
      </c>
      <c r="DS40" s="60">
        <f t="shared" si="17"/>
        <v>750.6323629423639</v>
      </c>
      <c r="DT40" s="60">
        <f ca="1">AVERAGE(OFFSET($DS$3,0,0,'Données projet'!$E$14+1,1))-AVERAGE(OFFSET($H$3,0,0,'Données projet'!$E$14+1,1))</f>
        <v>382.01991140382955</v>
      </c>
      <c r="DU40" s="60">
        <f t="shared" si="44"/>
        <v>389.53897948144339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11.4</v>
      </c>
      <c r="EJ40" s="13">
        <f>IF('Données projet'!$A$192&gt;35,EJ39+EI40-ER39,IF(A40&lt;'Données projet'!$A$192,$EG$205^A40,IF(A40='Données projet'!$A$192,'Données projet'!$B$192,EJ39+EI40-ER39)))</f>
        <v>263.80000000000007</v>
      </c>
      <c r="EK40" s="18">
        <f>EJ40*VLOOKUP('Données projet'!$B$15,Paramètres!$A$1:$I$89,3,0)*VLOOKUP('Données projet'!$B$15,Paramètres!$A$1:$I$89,5,0)</f>
        <v>209.87928000000008</v>
      </c>
      <c r="EL40" s="14">
        <f t="shared" si="45"/>
        <v>51.90920445824181</v>
      </c>
      <c r="EM40" s="22">
        <f t="shared" si="19"/>
        <v>455.94827709810465</v>
      </c>
      <c r="EN40" s="60">
        <f t="shared" si="20"/>
        <v>749.28161043143791</v>
      </c>
      <c r="EO40" s="60">
        <f ca="1">AVERAGE(OFFSET($EN$3,0,0,'Données projet'!$E$15+1,1))-AVERAGE(OFFSET($H$3,0,0,'Données projet'!$E$15+1,1))</f>
        <v>323.92137573760789</v>
      </c>
      <c r="EP40" s="60">
        <f t="shared" si="46"/>
        <v>389.53897948144339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4</v>
      </c>
      <c r="FE40" s="13">
        <f>IF('Données projet'!$A$218&gt;35,FE39+FD40-FM39,IF(A40&lt;'Données projet'!$A$218,$FB$205^A40,IF(A40='Données projet'!$A$218,'Données projet'!$B$218,FE39+FD40-FM39)))</f>
        <v>179.99999999999997</v>
      </c>
      <c r="FF40" s="18">
        <f>FE40*VLOOKUP('Données projet'!$B$16,Paramètres!$A$1:$I$89,3,0)*VLOOKUP('Données projet'!$B$16,Paramètres!$A$1:$I$89,5,0)</f>
        <v>143.20799999999997</v>
      </c>
      <c r="FG40" s="14">
        <f t="shared" si="47"/>
        <v>37.030941422835802</v>
      </c>
      <c r="FH40" s="22">
        <f t="shared" si="22"/>
        <v>313.91615631143895</v>
      </c>
      <c r="FI40" s="60">
        <f t="shared" si="23"/>
        <v>607.24948964477221</v>
      </c>
      <c r="FJ40" s="60">
        <f ca="1">AVERAGE(OFFSET($FI$3,0,0,'Données projet'!$E$16+1,1))-AVERAGE(OFFSET($H$3,0,0,'Données projet'!$E$16+1,1))</f>
        <v>219.61164494001008</v>
      </c>
      <c r="FK40" s="60">
        <f t="shared" si="48"/>
        <v>219.59799863414111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10.402930402930403</v>
      </c>
      <c r="FZ40" s="13">
        <f>IF('Données projet'!$A$244&gt;35,FZ39+FY40-GH39,IF(A40&lt;'Données projet'!$A$244,$FW$205^A40,IF(A40='Données projet'!$A$244,'Données projet'!$B$244,FZ39+FY40-GH39)))</f>
        <v>175.89743589743588</v>
      </c>
      <c r="GA40" s="18">
        <f>FZ40*VLOOKUP('Données projet'!$B$17,Paramètres!$A$1:$I$89,3,0)*VLOOKUP('Données projet'!$B$17,Paramètres!$A$1:$I$89,5,0)</f>
        <v>82.32</v>
      </c>
      <c r="GB40" s="14">
        <f t="shared" si="49"/>
        <v>22.703488958112253</v>
      </c>
      <c r="GC40" s="22">
        <f t="shared" si="25"/>
        <v>182.91590993537883</v>
      </c>
      <c r="GD40" s="60">
        <f t="shared" si="26"/>
        <v>476.24924326871212</v>
      </c>
      <c r="GE40" s="60">
        <f ca="1">AVERAGE(OFFSET($GD$3,0,0,'Données projet'!$E$17+1,1))-AVERAGE(OFFSET($H$3,0,0,'Données projet'!$E$17+1,1))</f>
        <v>147.5699668214238</v>
      </c>
      <c r="GF40" s="60">
        <f t="shared" si="50"/>
        <v>70.653739864908346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>
        <f>GU40*VLOOKUP('Données projet'!$B$18,Paramètres!$A$1:$I$89,3,0)*VLOOKUP('Données projet'!$B$18,Paramètres!$A$1:$I$89,5,0)</f>
        <v>0</v>
      </c>
      <c r="GW40" s="14" t="e">
        <f t="shared" si="51"/>
        <v>#NUM!</v>
      </c>
      <c r="GX40" s="22" t="e">
        <f t="shared" si="28"/>
        <v>#NUM!</v>
      </c>
      <c r="GY40" s="60" t="e">
        <f t="shared" si="29"/>
        <v>#NUM!</v>
      </c>
      <c r="GZ40" s="60">
        <f ca="1">AVERAGE(OFFSET($GY$3,0,0,'Données projet'!$E$18+1,1))-AVERAGE(OFFSET($H$3,0,0,'Données projet'!$E$18+1,1))</f>
        <v>136.03899433512379</v>
      </c>
      <c r="HA40" s="60">
        <f t="shared" si="52"/>
        <v>316.56646692826882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65.004924884071727</v>
      </c>
      <c r="HH40" s="23">
        <f>EXP(-LN(2)/25)*HH39+(1-EXP(-LN(2)/25))/(LN(2)/25)*Calculateur!HC40*Calculateur!HE40*VLOOKUP('Données projet'!$B$18,Paramètres!$A$1:$I$89,3,0)*0.475*44/12</f>
        <v>8.3032262400478345</v>
      </c>
      <c r="HI40" s="23">
        <f>EXP(-LN(2)/2)*HI39+(1-EXP(-LN(2)/2))/(LN(2)/2)*HC40*HF40*VLOOKUP('Données projet'!$B$18,Paramètres!$A$1:$I$89,3,0)*0.475*44/12</f>
        <v>0.25842265608485088</v>
      </c>
      <c r="HJ40" s="24">
        <f t="shared" si="30"/>
        <v>73.566573780204408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596.25717061705507</v>
      </c>
      <c r="S41" s="60">
        <f ca="1">AVERAGE(OFFSET($R$3,0,0,'Données projet'!$E$9+1,1))-AVERAGE(OFFSET($H$3,0,0,'Données projet'!$E$9+1,1))</f>
        <v>384.44848355636935</v>
      </c>
      <c r="T41" s="60">
        <f t="shared" si="34"/>
        <v>203.5274665601915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0">
        <f t="shared" si="5"/>
        <v>574.15179438724942</v>
      </c>
      <c r="AN41" s="60">
        <f ca="1">AVERAGE(OFFSET($AM$3,0,0,'Données projet'!$E$10+1,1))-AVERAGE(OFFSET($H$3,0,0,'Données projet'!$E$10+1,1))</f>
        <v>303.73499739059076</v>
      </c>
      <c r="AO41" s="60">
        <f t="shared" si="36"/>
        <v>172.32171001882188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152.60000000000005</v>
      </c>
      <c r="BE41" s="14">
        <f>BD41*VLOOKUP('Données projet'!$B$11,Paramètres!$A$1:$I$89,3,0)*VLOOKUP('Données projet'!$B$11,Paramètres!$A$1:$I$89,5,0)</f>
        <v>128.55024000000006</v>
      </c>
      <c r="BF41" s="14">
        <f t="shared" si="37"/>
        <v>33.661144026076698</v>
      </c>
      <c r="BG41" s="22">
        <f t="shared" si="7"/>
        <v>282.51816051208368</v>
      </c>
      <c r="BH41" s="60">
        <f t="shared" si="8"/>
        <v>575.85149384541705</v>
      </c>
      <c r="BI41" s="60">
        <f ca="1">AVERAGE(OFFSET($BH$3,0,0,'Données projet'!$E$11+1,1))-AVERAGE(OFFSET($H$3,0,0,'Données projet'!$E$11+1,1))</f>
        <v>352.29660374042186</v>
      </c>
      <c r="BJ41" s="60">
        <f t="shared" si="38"/>
        <v>187.26439695305618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118.94688000000004</v>
      </c>
      <c r="CA41" s="14">
        <f t="shared" si="39"/>
        <v>31.429250481525276</v>
      </c>
      <c r="CB41" s="22">
        <f t="shared" si="10"/>
        <v>261.90509392198993</v>
      </c>
      <c r="CC41" s="60">
        <f t="shared" si="11"/>
        <v>555.23842725532324</v>
      </c>
      <c r="CD41" s="60">
        <f ca="1">AVERAGE(OFFSET($CC$3,0,0,'Données projet'!$E$12+1,1))-AVERAGE(OFFSET($H$3,0,0,'Données projet'!$E$12+1,1))</f>
        <v>277.03735509061545</v>
      </c>
      <c r="CE41" s="60">
        <f t="shared" si="40"/>
        <v>158.16416492761959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143.17680000000004</v>
      </c>
      <c r="CV41" s="14">
        <f t="shared" si="41"/>
        <v>37.023812674521515</v>
      </c>
      <c r="CW41" s="22">
        <f t="shared" si="13"/>
        <v>313.84940040812506</v>
      </c>
      <c r="CX41" s="60">
        <f t="shared" si="14"/>
        <v>607.18273374145838</v>
      </c>
      <c r="CY41" s="60">
        <f ca="1">AVERAGE(OFFSET($CX$3,0,0,'Données projet'!$E$13+1,1))-AVERAGE(OFFSET($H$3,0,0,'Données projet'!$E$13+1,1))</f>
        <v>350.3652766444938</v>
      </c>
      <c r="CZ41" s="60">
        <f t="shared" si="42"/>
        <v>197.04549436738586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12.8</v>
      </c>
      <c r="DO41" s="13">
        <f>IF('Données projet'!$A$166&gt;35,DO40+DN41-DW40,IF(A41&lt;'Données projet'!$A$166,$DL$205^A41,IF(A41='Données projet'!$A$166,'Données projet'!$B$166,DO40+DN41-DW40)))</f>
        <v>277.40000000000003</v>
      </c>
      <c r="DP41" s="18">
        <f>DO41*VLOOKUP('Données projet'!$B$14,Paramètres!$A$1:$I$89,3,0)*VLOOKUP('Données projet'!$B$14,Paramètres!$A$1:$I$89,5,0)</f>
        <v>220.69944000000004</v>
      </c>
      <c r="DQ41" s="14">
        <f t="shared" si="43"/>
        <v>54.266877453235324</v>
      </c>
      <c r="DR41" s="22">
        <f t="shared" si="16"/>
        <v>478.89966956438485</v>
      </c>
      <c r="DS41" s="60">
        <f t="shared" si="17"/>
        <v>772.23300289771817</v>
      </c>
      <c r="DT41" s="60">
        <f ca="1">AVERAGE(OFFSET($DS$3,0,0,'Données projet'!$E$14+1,1))-AVERAGE(OFFSET($H$3,0,0,'Données projet'!$E$14+1,1))</f>
        <v>382.01991140382955</v>
      </c>
      <c r="DU41" s="60">
        <f t="shared" si="44"/>
        <v>389.53897948144339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11.4</v>
      </c>
      <c r="EJ41" s="13">
        <f>IF('Données projet'!$A$192&gt;35,EJ40+EI41-ER40,IF(A41&lt;'Données projet'!$A$192,$EG$205^A41,IF(A41='Données projet'!$A$192,'Données projet'!$B$192,EJ40+EI41-ER40)))</f>
        <v>275.20000000000005</v>
      </c>
      <c r="EK41" s="18">
        <f>EJ41*VLOOKUP('Données projet'!$B$15,Paramètres!$A$1:$I$89,3,0)*VLOOKUP('Données projet'!$B$15,Paramètres!$A$1:$I$89,5,0)</f>
        <v>218.94912000000005</v>
      </c>
      <c r="EL41" s="14">
        <f t="shared" si="45"/>
        <v>53.886418534175625</v>
      </c>
      <c r="EM41" s="22">
        <f t="shared" si="19"/>
        <v>475.18856294702255</v>
      </c>
      <c r="EN41" s="60">
        <f t="shared" si="20"/>
        <v>768.5218962803558</v>
      </c>
      <c r="EO41" s="60">
        <f ca="1">AVERAGE(OFFSET($EN$3,0,0,'Données projet'!$E$15+1,1))-AVERAGE(OFFSET($H$3,0,0,'Données projet'!$E$15+1,1))</f>
        <v>323.92137573760789</v>
      </c>
      <c r="EP41" s="60">
        <f t="shared" si="46"/>
        <v>389.53897948144339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4</v>
      </c>
      <c r="FE41" s="13">
        <f>IF('Données projet'!$A$218&gt;35,FE40+FD41-FM40,IF(A41&lt;'Données projet'!$A$218,$FB$205^A41,IF(A41='Données projet'!$A$218,'Données projet'!$B$218,FE40+FD41-FM40)))</f>
        <v>183.99999999999997</v>
      </c>
      <c r="FF41" s="18">
        <f>FE41*VLOOKUP('Données projet'!$B$16,Paramètres!$A$1:$I$89,3,0)*VLOOKUP('Données projet'!$B$16,Paramètres!$A$1:$I$89,5,0)</f>
        <v>146.3904</v>
      </c>
      <c r="FG41" s="14">
        <f t="shared" si="47"/>
        <v>37.757131804538304</v>
      </c>
      <c r="FH41" s="22">
        <f t="shared" si="22"/>
        <v>320.7236178929042</v>
      </c>
      <c r="FI41" s="60">
        <f t="shared" si="23"/>
        <v>614.05695122623752</v>
      </c>
      <c r="FJ41" s="60">
        <f ca="1">AVERAGE(OFFSET($FI$3,0,0,'Données projet'!$E$16+1,1))-AVERAGE(OFFSET($H$3,0,0,'Données projet'!$E$16+1,1))</f>
        <v>219.61164494001008</v>
      </c>
      <c r="FK41" s="60">
        <f t="shared" si="48"/>
        <v>219.59799863414111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10.402930402930403</v>
      </c>
      <c r="FZ41" s="13">
        <f>IF('Données projet'!$A$244&gt;35,FZ40+FY41-GH40,IF(A41&lt;'Données projet'!$A$244,$FW$205^A41,IF(A41='Données projet'!$A$244,'Données projet'!$B$244,FZ40+FY41-GH40)))</f>
        <v>186.30036630036628</v>
      </c>
      <c r="GA41" s="18">
        <f>FZ41*VLOOKUP('Données projet'!$B$17,Paramètres!$A$1:$I$89,3,0)*VLOOKUP('Données projet'!$B$17,Paramètres!$A$1:$I$89,5,0)</f>
        <v>87.188571428571422</v>
      </c>
      <c r="GB41" s="14">
        <f t="shared" si="49"/>
        <v>23.885928818198035</v>
      </c>
      <c r="GC41" s="22">
        <f t="shared" si="25"/>
        <v>193.45475459645681</v>
      </c>
      <c r="GD41" s="60">
        <f t="shared" si="26"/>
        <v>486.78808792979009</v>
      </c>
      <c r="GE41" s="60">
        <f ca="1">AVERAGE(OFFSET($GD$3,0,0,'Données projet'!$E$17+1,1))-AVERAGE(OFFSET($H$3,0,0,'Données projet'!$E$17+1,1))</f>
        <v>147.5699668214238</v>
      </c>
      <c r="GF41" s="60">
        <f t="shared" si="50"/>
        <v>70.653739864908346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>
        <f>GU41*VLOOKUP('Données projet'!$B$18,Paramètres!$A$1:$I$89,3,0)*VLOOKUP('Données projet'!$B$18,Paramètres!$A$1:$I$89,5,0)</f>
        <v>0</v>
      </c>
      <c r="GW41" s="14" t="e">
        <f t="shared" si="51"/>
        <v>#NUM!</v>
      </c>
      <c r="GX41" s="22" t="e">
        <f t="shared" si="28"/>
        <v>#NUM!</v>
      </c>
      <c r="GY41" s="60" t="e">
        <f t="shared" si="29"/>
        <v>#NUM!</v>
      </c>
      <c r="GZ41" s="60">
        <f ca="1">AVERAGE(OFFSET($GY$3,0,0,'Données projet'!$E$18+1,1))-AVERAGE(OFFSET($H$3,0,0,'Données projet'!$E$18+1,1))</f>
        <v>136.03899433512379</v>
      </c>
      <c r="HA41" s="60">
        <f t="shared" si="52"/>
        <v>316.56646692826882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63.730217956184234</v>
      </c>
      <c r="HH41" s="23">
        <f>EXP(-LN(2)/25)*HH40+(1-EXP(-LN(2)/25))/(LN(2)/25)*Calculateur!HC41*Calculateur!HE41*VLOOKUP('Données projet'!$B$18,Paramètres!$A$1:$I$89,3,0)*0.475*44/12</f>
        <v>8.0761740818660357</v>
      </c>
      <c r="HI41" s="23">
        <f>EXP(-LN(2)/2)*HI40+(1-EXP(-LN(2)/2))/(LN(2)/2)*HC41*HF41*VLOOKUP('Données projet'!$B$18,Paramètres!$A$1:$I$89,3,0)*0.475*44/12</f>
        <v>0.18273241252983707</v>
      </c>
      <c r="HJ41" s="24">
        <f t="shared" si="30"/>
        <v>71.989124450580093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617.93977141159837</v>
      </c>
      <c r="S42" s="60">
        <f ca="1">AVERAGE(OFFSET($R$3,0,0,'Données projet'!$E$9+1,1))-AVERAGE(OFFSET($H$3,0,0,'Données projet'!$E$9+1,1))</f>
        <v>384.44848355636935</v>
      </c>
      <c r="T42" s="60">
        <f t="shared" si="34"/>
        <v>203.5274665601915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0">
        <f t="shared" si="5"/>
        <v>590.44356897369653</v>
      </c>
      <c r="AN42" s="60">
        <f ca="1">AVERAGE(OFFSET($AM$3,0,0,'Données projet'!$E$10+1,1))-AVERAGE(OFFSET($H$3,0,0,'Données projet'!$E$10+1,1))</f>
        <v>303.73499739059076</v>
      </c>
      <c r="AO42" s="60">
        <f t="shared" si="36"/>
        <v>172.32171001882188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163.80000000000004</v>
      </c>
      <c r="BE42" s="14">
        <f>BD42*VLOOKUP('Données projet'!$B$11,Paramètres!$A$1:$I$89,3,0)*VLOOKUP('Données projet'!$B$11,Paramètres!$A$1:$I$89,5,0)</f>
        <v>137.98512000000005</v>
      </c>
      <c r="BF42" s="14">
        <f t="shared" si="37"/>
        <v>35.835036067646342</v>
      </c>
      <c r="BG42" s="22">
        <f t="shared" si="7"/>
        <v>302.73677181781744</v>
      </c>
      <c r="BH42" s="60">
        <f t="shared" si="8"/>
        <v>596.07010515115076</v>
      </c>
      <c r="BI42" s="60">
        <f ca="1">AVERAGE(OFFSET($BH$3,0,0,'Données projet'!$E$11+1,1))-AVERAGE(OFFSET($H$3,0,0,'Données projet'!$E$11+1,1))</f>
        <v>352.29660374042186</v>
      </c>
      <c r="BJ42" s="60">
        <f t="shared" si="38"/>
        <v>187.26439695305618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126.02304000000004</v>
      </c>
      <c r="CA42" s="14">
        <f t="shared" si="39"/>
        <v>33.075745544773369</v>
      </c>
      <c r="CB42" s="22">
        <f t="shared" si="10"/>
        <v>277.0970514904804</v>
      </c>
      <c r="CC42" s="60">
        <f t="shared" si="11"/>
        <v>570.43038482381371</v>
      </c>
      <c r="CD42" s="60">
        <f ca="1">AVERAGE(OFFSET($CC$3,0,0,'Données projet'!$E$12+1,1))-AVERAGE(OFFSET($H$3,0,0,'Données projet'!$E$12+1,1))</f>
        <v>277.03735509061545</v>
      </c>
      <c r="CE42" s="60">
        <f t="shared" si="40"/>
        <v>158.16416492761959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151.69440000000003</v>
      </c>
      <c r="CV42" s="14">
        <f t="shared" si="41"/>
        <v>38.963392010880654</v>
      </c>
      <c r="CW42" s="22">
        <f t="shared" si="13"/>
        <v>332.06232108561716</v>
      </c>
      <c r="CX42" s="60">
        <f t="shared" si="14"/>
        <v>625.39565441895047</v>
      </c>
      <c r="CY42" s="60">
        <f ca="1">AVERAGE(OFFSET($CX$3,0,0,'Données projet'!$E$13+1,1))-AVERAGE(OFFSET($H$3,0,0,'Données projet'!$E$13+1,1))</f>
        <v>350.3652766444938</v>
      </c>
      <c r="CZ42" s="60">
        <f t="shared" si="42"/>
        <v>197.04549436738586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12.8</v>
      </c>
      <c r="DO42" s="13">
        <f>IF('Données projet'!$A$166&gt;35,DO41+DN42-DW41,IF(A42&lt;'Données projet'!$A$166,$DL$205^A42,IF(A42='Données projet'!$A$166,'Données projet'!$B$166,DO41+DN42-DW41)))</f>
        <v>290.20000000000005</v>
      </c>
      <c r="DP42" s="18">
        <f>DO42*VLOOKUP('Données projet'!$B$14,Paramètres!$A$1:$I$89,3,0)*VLOOKUP('Données projet'!$B$14,Paramètres!$A$1:$I$89,5,0)</f>
        <v>230.88312000000008</v>
      </c>
      <c r="DQ42" s="14">
        <f t="shared" si="43"/>
        <v>56.473590111903867</v>
      </c>
      <c r="DR42" s="22">
        <f t="shared" si="16"/>
        <v>500.47960344489934</v>
      </c>
      <c r="DS42" s="60">
        <f t="shared" si="17"/>
        <v>793.8129367782326</v>
      </c>
      <c r="DT42" s="60">
        <f ca="1">AVERAGE(OFFSET($DS$3,0,0,'Données projet'!$E$14+1,1))-AVERAGE(OFFSET($H$3,0,0,'Données projet'!$E$14+1,1))</f>
        <v>382.01991140382955</v>
      </c>
      <c r="DU42" s="60">
        <f t="shared" si="44"/>
        <v>389.53897948144339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11.4</v>
      </c>
      <c r="EJ42" s="13">
        <f>IF('Données projet'!$A$192&gt;35,EJ41+EI42-ER41,IF(A42&lt;'Données projet'!$A$192,$EG$205^A42,IF(A42='Données projet'!$A$192,'Données projet'!$B$192,EJ41+EI42-ER41)))</f>
        <v>286.60000000000002</v>
      </c>
      <c r="EK42" s="18">
        <f>EJ42*VLOOKUP('Données projet'!$B$15,Paramètres!$A$1:$I$89,3,0)*VLOOKUP('Données projet'!$B$15,Paramètres!$A$1:$I$89,5,0)</f>
        <v>228.01896000000005</v>
      </c>
      <c r="EL42" s="14">
        <f t="shared" si="45"/>
        <v>55.854118949181327</v>
      </c>
      <c r="EM42" s="22">
        <f t="shared" si="19"/>
        <v>494.41227916982416</v>
      </c>
      <c r="EN42" s="60">
        <f t="shared" si="20"/>
        <v>787.74561250315742</v>
      </c>
      <c r="EO42" s="60">
        <f ca="1">AVERAGE(OFFSET($EN$3,0,0,'Données projet'!$E$15+1,1))-AVERAGE(OFFSET($H$3,0,0,'Données projet'!$E$15+1,1))</f>
        <v>323.92137573760789</v>
      </c>
      <c r="EP42" s="60">
        <f t="shared" si="46"/>
        <v>389.53897948144339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4</v>
      </c>
      <c r="FE42" s="13">
        <f>IF('Données projet'!$A$218&gt;35,FE41+FD42-FM41,IF(A42&lt;'Données projet'!$A$218,$FB$205^A42,IF(A42='Données projet'!$A$218,'Données projet'!$B$218,FE41+FD42-FM41)))</f>
        <v>187.99999999999997</v>
      </c>
      <c r="FF42" s="18">
        <f>FE42*VLOOKUP('Données projet'!$B$16,Paramètres!$A$1:$I$89,3,0)*VLOOKUP('Données projet'!$B$16,Paramètres!$A$1:$I$89,5,0)</f>
        <v>149.57279999999997</v>
      </c>
      <c r="FG42" s="14">
        <f t="shared" si="47"/>
        <v>38.481486779011689</v>
      </c>
      <c r="FH42" s="22">
        <f t="shared" si="22"/>
        <v>327.52788280677856</v>
      </c>
      <c r="FI42" s="60">
        <f t="shared" si="23"/>
        <v>620.86121614011188</v>
      </c>
      <c r="FJ42" s="60">
        <f ca="1">AVERAGE(OFFSET($FI$3,0,0,'Données projet'!$E$16+1,1))-AVERAGE(OFFSET($H$3,0,0,'Données projet'!$E$16+1,1))</f>
        <v>219.61164494001008</v>
      </c>
      <c r="FK42" s="60">
        <f t="shared" si="48"/>
        <v>219.59799863414111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10.402930402930403</v>
      </c>
      <c r="FZ42" s="13">
        <f>IF('Données projet'!$A$244&gt;35,FZ41+FY42-GH41,IF(A42&lt;'Données projet'!$A$244,$FW$205^A42,IF(A42='Données projet'!$A$244,'Données projet'!$B$244,FZ41+FY42-GH41)))</f>
        <v>196.70329670329667</v>
      </c>
      <c r="GA42" s="18">
        <f>FZ42*VLOOKUP('Données projet'!$B$17,Paramètres!$A$1:$I$89,3,0)*VLOOKUP('Données projet'!$B$17,Paramètres!$A$1:$I$89,5,0)</f>
        <v>92.05714285714285</v>
      </c>
      <c r="GB42" s="14">
        <f t="shared" si="49"/>
        <v>25.060703863036977</v>
      </c>
      <c r="GC42" s="22">
        <f t="shared" si="25"/>
        <v>203.9802497043132</v>
      </c>
      <c r="GD42" s="60">
        <f t="shared" si="26"/>
        <v>497.31358303764648</v>
      </c>
      <c r="GE42" s="60">
        <f ca="1">AVERAGE(OFFSET($GD$3,0,0,'Données projet'!$E$17+1,1))-AVERAGE(OFFSET($H$3,0,0,'Données projet'!$E$17+1,1))</f>
        <v>147.5699668214238</v>
      </c>
      <c r="GF42" s="60">
        <f t="shared" si="50"/>
        <v>70.653739864908346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>
        <f>GU42*VLOOKUP('Données projet'!$B$18,Paramètres!$A$1:$I$89,3,0)*VLOOKUP('Données projet'!$B$18,Paramètres!$A$1:$I$89,5,0)</f>
        <v>0</v>
      </c>
      <c r="GW42" s="14" t="e">
        <f t="shared" si="51"/>
        <v>#NUM!</v>
      </c>
      <c r="GX42" s="22" t="e">
        <f t="shared" si="28"/>
        <v>#NUM!</v>
      </c>
      <c r="GY42" s="60" t="e">
        <f t="shared" si="29"/>
        <v>#NUM!</v>
      </c>
      <c r="GZ42" s="60">
        <f ca="1">AVERAGE(OFFSET($GY$3,0,0,'Données projet'!$E$18+1,1))-AVERAGE(OFFSET($H$3,0,0,'Données projet'!$E$18+1,1))</f>
        <v>136.03899433512379</v>
      </c>
      <c r="HA42" s="60">
        <f t="shared" si="52"/>
        <v>316.56646692826882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62.48050725365816</v>
      </c>
      <c r="HH42" s="23">
        <f>EXP(-LN(2)/25)*HH41+(1-EXP(-LN(2)/25))/(LN(2)/25)*Calculateur!HC42*Calculateur!HE42*VLOOKUP('Données projet'!$B$18,Paramètres!$A$1:$I$89,3,0)*0.475*44/12</f>
        <v>7.8553306768898725</v>
      </c>
      <c r="HI42" s="23">
        <f>EXP(-LN(2)/2)*HI41+(1-EXP(-LN(2)/2))/(LN(2)/2)*HC42*HF42*VLOOKUP('Données projet'!$B$18,Paramètres!$A$1:$I$89,3,0)*0.475*44/12</f>
        <v>0.12921132804242544</v>
      </c>
      <c r="HJ42" s="24">
        <f t="shared" si="30"/>
        <v>70.465049258590469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639.59037499870374</v>
      </c>
      <c r="S43" s="60">
        <f ca="1">AVERAGE(OFFSET($R$3,0,0,'Données projet'!$E$9+1,1))-AVERAGE(OFFSET($H$3,0,0,'Données projet'!$E$9+1,1))</f>
        <v>384.44848355636935</v>
      </c>
      <c r="T43" s="60">
        <f t="shared" si="34"/>
        <v>203.5274665601915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0">
        <f t="shared" si="5"/>
        <v>606.71543359582972</v>
      </c>
      <c r="AN43" s="60">
        <f ca="1">AVERAGE(OFFSET($AM$3,0,0,'Données projet'!$E$10+1,1))-AVERAGE(OFFSET($H$3,0,0,'Données projet'!$E$10+1,1))</f>
        <v>303.73499739059076</v>
      </c>
      <c r="AO43" s="60">
        <f t="shared" si="36"/>
        <v>172.32171001882188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175.00000000000003</v>
      </c>
      <c r="BE43" s="14">
        <f>BD43*VLOOKUP('Données projet'!$B$11,Paramètres!$A$1:$I$89,3,0)*VLOOKUP('Données projet'!$B$11,Paramètres!$A$1:$I$89,5,0)</f>
        <v>147.42000000000004</v>
      </c>
      <c r="BF43" s="14">
        <f t="shared" si="37"/>
        <v>37.991680647570327</v>
      </c>
      <c r="BG43" s="22">
        <f t="shared" si="7"/>
        <v>322.92534379451837</v>
      </c>
      <c r="BH43" s="60">
        <f t="shared" si="8"/>
        <v>616.25867712785168</v>
      </c>
      <c r="BI43" s="60">
        <f ca="1">AVERAGE(OFFSET($BH$3,0,0,'Données projet'!$E$11+1,1))-AVERAGE(OFFSET($H$3,0,0,'Données projet'!$E$11+1,1))</f>
        <v>352.29660374042186</v>
      </c>
      <c r="BJ43" s="60">
        <f t="shared" si="38"/>
        <v>187.26439695305618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133.09920000000002</v>
      </c>
      <c r="CA43" s="14">
        <f t="shared" si="39"/>
        <v>34.71150853565117</v>
      </c>
      <c r="CB43" s="22">
        <f t="shared" si="10"/>
        <v>292.27031736625912</v>
      </c>
      <c r="CC43" s="60">
        <f t="shared" si="11"/>
        <v>585.60365069959244</v>
      </c>
      <c r="CD43" s="60">
        <f ca="1">AVERAGE(OFFSET($CC$3,0,0,'Données projet'!$E$12+1,1))-AVERAGE(OFFSET($H$3,0,0,'Données projet'!$E$12+1,1))</f>
        <v>277.03735509061545</v>
      </c>
      <c r="CE43" s="60">
        <f t="shared" si="40"/>
        <v>158.16416492761959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160.21200000000005</v>
      </c>
      <c r="CV43" s="14">
        <f t="shared" si="41"/>
        <v>40.890328912852695</v>
      </c>
      <c r="CW43" s="22">
        <f t="shared" si="13"/>
        <v>350.25322285655176</v>
      </c>
      <c r="CX43" s="60">
        <f t="shared" si="14"/>
        <v>643.58655618988507</v>
      </c>
      <c r="CY43" s="60">
        <f ca="1">AVERAGE(OFFSET($CX$3,0,0,'Données projet'!$E$13+1,1))-AVERAGE(OFFSET($H$3,0,0,'Données projet'!$E$13+1,1))</f>
        <v>350.3652766444938</v>
      </c>
      <c r="CZ43" s="60">
        <f t="shared" si="42"/>
        <v>197.04549436738586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303</v>
      </c>
      <c r="DM43" s="13">
        <f>VLOOKUP(A43,'Données projet'!$A$165:$I$185,9,0)</f>
        <v>12.8</v>
      </c>
      <c r="DN43" s="13">
        <f t="array" ref="DN43">INDEX(DM:DM,MIN(IF(ISNUMBER(DM43:DM239),ROW(DM43:DM239),"")))</f>
        <v>12.8</v>
      </c>
      <c r="DO43" s="13">
        <f>IF('Données projet'!$A$166&gt;35,DO42+DN43-DW42,IF(A43&lt;'Données projet'!$A$166,$DL$205^A43,IF(A43='Données projet'!$A$166,'Données projet'!$B$166,DO42+DN43-DW42)))</f>
        <v>303.00000000000006</v>
      </c>
      <c r="DP43" s="18">
        <f>DO43*VLOOKUP('Données projet'!$B$14,Paramètres!$A$1:$I$89,3,0)*VLOOKUP('Données projet'!$B$14,Paramètres!$A$1:$I$89,5,0)</f>
        <v>241.06680000000006</v>
      </c>
      <c r="DQ43" s="14">
        <f t="shared" si="43"/>
        <v>58.668998418543559</v>
      </c>
      <c r="DR43" s="22">
        <f t="shared" si="16"/>
        <v>522.03984891229675</v>
      </c>
      <c r="DS43" s="60">
        <f t="shared" si="17"/>
        <v>815.37318224563001</v>
      </c>
      <c r="DT43" s="60">
        <f ca="1">AVERAGE(OFFSET($DS$3,0,0,'Données projet'!$E$14+1,1))-AVERAGE(OFFSET($H$3,0,0,'Données projet'!$E$14+1,1))</f>
        <v>382.01991140382955</v>
      </c>
      <c r="DU43" s="60">
        <f t="shared" si="44"/>
        <v>389.53897948144339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298</v>
      </c>
      <c r="EH43" s="13">
        <f>VLOOKUP(A43,'Données projet'!$A$191:$I$211,9,0)</f>
        <v>11.4</v>
      </c>
      <c r="EI43" s="13">
        <f t="array" ref="EI43">INDEX(EH:EH,MIN(IF(ISNUMBER(EH43:EH239),ROW(EH43:EH239),"")))</f>
        <v>11.4</v>
      </c>
      <c r="EJ43" s="13">
        <f>IF('Données projet'!$A$192&gt;35,EJ42+EI43-ER42,IF(A43&lt;'Données projet'!$A$192,$EG$205^A43,IF(A43='Données projet'!$A$192,'Données projet'!$B$192,EJ42+EI43-ER42)))</f>
        <v>298</v>
      </c>
      <c r="EK43" s="18">
        <f>EJ43*VLOOKUP('Données projet'!$B$15,Paramètres!$A$1:$I$89,3,0)*VLOOKUP('Données projet'!$B$15,Paramètres!$A$1:$I$89,5,0)</f>
        <v>237.08879999999999</v>
      </c>
      <c r="EL43" s="14">
        <f t="shared" si="45"/>
        <v>57.812727423622938</v>
      </c>
      <c r="EM43" s="22">
        <f t="shared" si="19"/>
        <v>513.62016026280992</v>
      </c>
      <c r="EN43" s="60">
        <f t="shared" si="20"/>
        <v>806.95349359614329</v>
      </c>
      <c r="EO43" s="60">
        <f ca="1">AVERAGE(OFFSET($EN$3,0,0,'Données projet'!$E$15+1,1))-AVERAGE(OFFSET($H$3,0,0,'Données projet'!$E$15+1,1))</f>
        <v>323.92137573760789</v>
      </c>
      <c r="EP43" s="60">
        <f t="shared" si="46"/>
        <v>389.53897948144339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70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192</v>
      </c>
      <c r="FC43" s="13">
        <f>VLOOKUP(A43,'Données projet'!$A$217:$I$237,9,0)</f>
        <v>4</v>
      </c>
      <c r="FD43" s="13">
        <f t="array" ref="FD43">INDEX(FC:FC,MIN(IF(ISNUMBER(FC43:FC239),ROW(FC43:FC239),"")))</f>
        <v>4</v>
      </c>
      <c r="FE43" s="13">
        <f>IF('Données projet'!$A$218&gt;35,FE42+FD43-FM42,IF(A43&lt;'Données projet'!$A$218,$FB$205^A43,IF(A43='Données projet'!$A$218,'Données projet'!$B$218,FE42+FD43-FM42)))</f>
        <v>191.99999999999997</v>
      </c>
      <c r="FF43" s="18">
        <f>FE43*VLOOKUP('Données projet'!$B$16,Paramètres!$A$1:$I$89,3,0)*VLOOKUP('Données projet'!$B$16,Paramètres!$A$1:$I$89,5,0)</f>
        <v>152.75519999999997</v>
      </c>
      <c r="FG43" s="14">
        <f t="shared" si="47"/>
        <v>39.204049895729561</v>
      </c>
      <c r="FH43" s="22">
        <f t="shared" si="22"/>
        <v>334.32902690172892</v>
      </c>
      <c r="FI43" s="60">
        <f t="shared" si="23"/>
        <v>627.66236023506224</v>
      </c>
      <c r="FJ43" s="60">
        <f ca="1">AVERAGE(OFFSET($FI$3,0,0,'Données projet'!$E$16+1,1))-AVERAGE(OFFSET($H$3,0,0,'Données projet'!$E$16+1,1))</f>
        <v>219.61164494001008</v>
      </c>
      <c r="FK43" s="60">
        <f t="shared" si="48"/>
        <v>219.59799863414111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10.402930402930403</v>
      </c>
      <c r="FZ43" s="13">
        <f>IF('Données projet'!$A$244&gt;35,FZ42+FY43-GH42,IF(A43&lt;'Données projet'!$A$244,$FW$205^A43,IF(A43='Données projet'!$A$244,'Données projet'!$B$244,FZ42+FY43-GH42)))</f>
        <v>207.10622710622707</v>
      </c>
      <c r="GA43" s="18">
        <f>FZ43*VLOOKUP('Données projet'!$B$17,Paramètres!$A$1:$I$89,3,0)*VLOOKUP('Données projet'!$B$17,Paramètres!$A$1:$I$89,5,0)</f>
        <v>96.925714285714264</v>
      </c>
      <c r="GB43" s="14">
        <f t="shared" si="49"/>
        <v>26.228265683321183</v>
      </c>
      <c r="GC43" s="22">
        <f t="shared" si="25"/>
        <v>214.49318177940339</v>
      </c>
      <c r="GD43" s="60">
        <f t="shared" si="26"/>
        <v>507.82651511273673</v>
      </c>
      <c r="GE43" s="60">
        <f ca="1">AVERAGE(OFFSET($GD$3,0,0,'Données projet'!$E$17+1,1))-AVERAGE(OFFSET($H$3,0,0,'Données projet'!$E$17+1,1))</f>
        <v>147.5699668214238</v>
      </c>
      <c r="GF43" s="60">
        <f t="shared" si="50"/>
        <v>70.653739864908346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>
        <f>GU43*VLOOKUP('Données projet'!$B$18,Paramètres!$A$1:$I$89,3,0)*VLOOKUP('Données projet'!$B$18,Paramètres!$A$1:$I$89,5,0)</f>
        <v>0</v>
      </c>
      <c r="GW43" s="14" t="e">
        <f t="shared" si="51"/>
        <v>#NUM!</v>
      </c>
      <c r="GX43" s="22" t="e">
        <f t="shared" si="28"/>
        <v>#NUM!</v>
      </c>
      <c r="GY43" s="60" t="e">
        <f t="shared" si="29"/>
        <v>#NUM!</v>
      </c>
      <c r="GZ43" s="60">
        <f ca="1">AVERAGE(OFFSET($GY$3,0,0,'Données projet'!$E$18+1,1))-AVERAGE(OFFSET($H$3,0,0,'Données projet'!$E$18+1,1))</f>
        <v>136.03899433512379</v>
      </c>
      <c r="HA43" s="60">
        <f t="shared" si="52"/>
        <v>316.56646692826882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61.255302615760364</v>
      </c>
      <c r="HH43" s="23">
        <f>EXP(-LN(2)/25)*HH42+(1-EXP(-LN(2)/25))/(LN(2)/25)*Calculateur!HC43*Calculateur!HE43*VLOOKUP('Données projet'!$B$18,Paramètres!$A$1:$I$89,3,0)*0.475*44/12</f>
        <v>7.6405262464364325</v>
      </c>
      <c r="HI43" s="23">
        <f>EXP(-LN(2)/2)*HI42+(1-EXP(-LN(2)/2))/(LN(2)/2)*HC43*HF43*VLOOKUP('Données projet'!$B$18,Paramètres!$A$1:$I$89,3,0)*0.475*44/12</f>
        <v>9.1366206264918537E-2</v>
      </c>
      <c r="HJ43" s="24">
        <f t="shared" si="30"/>
        <v>68.987195068461716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661.59709205070442</v>
      </c>
      <c r="S44" s="60">
        <f ca="1">AVERAGE(OFFSET($R$3,0,0,'Données projet'!$E$9+1,1))-AVERAGE(OFFSET($H$3,0,0,'Données projet'!$E$9+1,1))</f>
        <v>384.44848355636935</v>
      </c>
      <c r="T44" s="60">
        <f t="shared" si="34"/>
        <v>203.5274665601915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0">
        <f t="shared" si="5"/>
        <v>541.50302276112825</v>
      </c>
      <c r="AN44" s="60">
        <f ca="1">AVERAGE(OFFSET($AM$3,0,0,'Données projet'!$E$10+1,1))-AVERAGE(OFFSET($H$3,0,0,'Données projet'!$E$10+1,1))</f>
        <v>303.73499739059076</v>
      </c>
      <c r="AO44" s="60">
        <f t="shared" si="36"/>
        <v>172.32171001882188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186.40000000000003</v>
      </c>
      <c r="BE44" s="14">
        <f>BD44*VLOOKUP('Données projet'!$B$11,Paramètres!$A$1:$I$89,3,0)*VLOOKUP('Données projet'!$B$11,Paramètres!$A$1:$I$89,5,0)</f>
        <v>157.02336000000003</v>
      </c>
      <c r="BF44" s="14">
        <f t="shared" si="37"/>
        <v>40.170393914171662</v>
      </c>
      <c r="BG44" s="22">
        <f t="shared" si="7"/>
        <v>343.44578806718232</v>
      </c>
      <c r="BH44" s="60">
        <f t="shared" si="8"/>
        <v>636.77912140051558</v>
      </c>
      <c r="BI44" s="60">
        <f ca="1">AVERAGE(OFFSET($BH$3,0,0,'Données projet'!$E$11+1,1))-AVERAGE(OFFSET($H$3,0,0,'Données projet'!$E$11+1,1))</f>
        <v>352.29660374042186</v>
      </c>
      <c r="BJ44" s="60">
        <f t="shared" si="38"/>
        <v>187.26439695305618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104.79456000000003</v>
      </c>
      <c r="CA44" s="14">
        <f t="shared" si="39"/>
        <v>28.101103481959861</v>
      </c>
      <c r="CB44" s="22">
        <f t="shared" si="10"/>
        <v>231.45994723108015</v>
      </c>
      <c r="CC44" s="60">
        <f t="shared" si="11"/>
        <v>524.79328056441341</v>
      </c>
      <c r="CD44" s="60">
        <f ca="1">AVERAGE(OFFSET($CC$3,0,0,'Données projet'!$E$12+1,1))-AVERAGE(OFFSET($H$3,0,0,'Données projet'!$E$12+1,1))</f>
        <v>277.03735509061545</v>
      </c>
      <c r="CE44" s="60">
        <f t="shared" si="40"/>
        <v>158.16416492761959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126.14160000000005</v>
      </c>
      <c r="CV44" s="14">
        <f t="shared" si="41"/>
        <v>33.10323903126482</v>
      </c>
      <c r="CW44" s="22">
        <f t="shared" si="13"/>
        <v>277.35142797945298</v>
      </c>
      <c r="CX44" s="60">
        <f t="shared" si="14"/>
        <v>570.68476131278635</v>
      </c>
      <c r="CY44" s="60">
        <f ca="1">AVERAGE(OFFSET($CX$3,0,0,'Données projet'!$E$13+1,1))-AVERAGE(OFFSET($H$3,0,0,'Données projet'!$E$13+1,1))</f>
        <v>350.3652766444938</v>
      </c>
      <c r="CZ44" s="60">
        <f t="shared" si="42"/>
        <v>197.04549436738586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8.6</v>
      </c>
      <c r="DO44" s="13">
        <f>IF('Données projet'!$A$166&gt;35,DO43+DN44-DW43,IF(A44&lt;'Données projet'!$A$166,$DL$205^A44,IF(A44='Données projet'!$A$166,'Données projet'!$B$166,DO43+DN44-DW43)))</f>
        <v>311.60000000000008</v>
      </c>
      <c r="DP44" s="18">
        <f>DO44*VLOOKUP('Données projet'!$B$14,Paramètres!$A$1:$I$89,3,0)*VLOOKUP('Données projet'!$B$14,Paramètres!$A$1:$I$89,5,0)</f>
        <v>247.90896000000009</v>
      </c>
      <c r="DQ44" s="14">
        <f t="shared" si="43"/>
        <v>60.137957457152361</v>
      </c>
      <c r="DR44" s="22">
        <f t="shared" si="16"/>
        <v>536.51504790454055</v>
      </c>
      <c r="DS44" s="60">
        <f t="shared" si="17"/>
        <v>829.84838123787381</v>
      </c>
      <c r="DT44" s="60">
        <f ca="1">AVERAGE(OFFSET($DS$3,0,0,'Données projet'!$E$14+1,1))-AVERAGE(OFFSET($H$3,0,0,'Données projet'!$E$14+1,1))</f>
        <v>382.01991140382955</v>
      </c>
      <c r="DU44" s="60">
        <f t="shared" si="44"/>
        <v>389.53897948144339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7.6</v>
      </c>
      <c r="EJ44" s="13">
        <f>IF('Données projet'!$A$192&gt;35,EJ43+EI44-ER43,IF(A44&lt;'Données projet'!$A$192,$EG$205^A44,IF(A44='Données projet'!$A$192,'Données projet'!$B$192,EJ43+EI44-ER43)))</f>
        <v>235.60000000000002</v>
      </c>
      <c r="EK44" s="18">
        <f>EJ44*VLOOKUP('Données projet'!$B$15,Paramètres!$A$1:$I$89,3,0)*VLOOKUP('Données projet'!$B$15,Paramètres!$A$1:$I$89,5,0)</f>
        <v>187.44336000000004</v>
      </c>
      <c r="EL44" s="14">
        <f t="shared" si="45"/>
        <v>46.974271155353676</v>
      </c>
      <c r="EM44" s="22">
        <f t="shared" si="19"/>
        <v>408.27737426224104</v>
      </c>
      <c r="EN44" s="60">
        <f t="shared" si="20"/>
        <v>701.61070759557435</v>
      </c>
      <c r="EO44" s="60">
        <f ca="1">AVERAGE(OFFSET($EN$3,0,0,'Données projet'!$E$15+1,1))-AVERAGE(OFFSET($H$3,0,0,'Données projet'!$E$15+1,1))</f>
        <v>323.92137573760789</v>
      </c>
      <c r="EP44" s="60">
        <f t="shared" si="46"/>
        <v>389.53897948144339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13.8</v>
      </c>
      <c r="FE44" s="13">
        <f>IF('Données projet'!$A$218&gt;35,FE43+FD44-FM43,IF(A44&lt;'Données projet'!$A$218,$FB$205^A44,IF(A44='Données projet'!$A$218,'Données projet'!$B$218,FE43+FD44-FM43)))</f>
        <v>149.79999999999998</v>
      </c>
      <c r="FF44" s="18">
        <f>FE44*VLOOKUP('Données projet'!$B$16,Paramètres!$A$1:$I$89,3,0)*VLOOKUP('Données projet'!$B$16,Paramètres!$A$1:$I$89,5,0)</f>
        <v>119.18088</v>
      </c>
      <c r="FG44" s="14">
        <f t="shared" si="47"/>
        <v>31.483876914537184</v>
      </c>
      <c r="FH44" s="22">
        <f t="shared" si="22"/>
        <v>262.40778495948558</v>
      </c>
      <c r="FI44" s="60">
        <f t="shared" si="23"/>
        <v>555.7411182928189</v>
      </c>
      <c r="FJ44" s="60">
        <f ca="1">AVERAGE(OFFSET($FI$3,0,0,'Données projet'!$E$16+1,1))-AVERAGE(OFFSET($H$3,0,0,'Données projet'!$E$16+1,1))</f>
        <v>219.61164494001008</v>
      </c>
      <c r="FK44" s="60">
        <f t="shared" si="48"/>
        <v>219.59799863414111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10.402930402930403</v>
      </c>
      <c r="FZ44" s="13">
        <f>IF('Données projet'!$A$244&gt;35,FZ43+FY44-GH43,IF(A44&lt;'Données projet'!$A$244,$FW$205^A44,IF(A44='Données projet'!$A$244,'Données projet'!$B$244,FZ43+FY44-GH43)))</f>
        <v>217.50915750915746</v>
      </c>
      <c r="GA44" s="18">
        <f>FZ44*VLOOKUP('Données projet'!$B$17,Paramètres!$A$1:$I$89,3,0)*VLOOKUP('Données projet'!$B$17,Paramètres!$A$1:$I$89,5,0)</f>
        <v>101.79428571428569</v>
      </c>
      <c r="GB44" s="14">
        <f t="shared" si="49"/>
        <v>27.389017940319118</v>
      </c>
      <c r="GC44" s="22">
        <f t="shared" si="25"/>
        <v>224.99425386510336</v>
      </c>
      <c r="GD44" s="60">
        <f t="shared" si="26"/>
        <v>518.32758719843673</v>
      </c>
      <c r="GE44" s="60">
        <f ca="1">AVERAGE(OFFSET($GD$3,0,0,'Données projet'!$E$17+1,1))-AVERAGE(OFFSET($H$3,0,0,'Données projet'!$E$17+1,1))</f>
        <v>147.5699668214238</v>
      </c>
      <c r="GF44" s="60">
        <f t="shared" si="50"/>
        <v>70.653739864908346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>
        <f>GU44*VLOOKUP('Données projet'!$B$18,Paramètres!$A$1:$I$89,3,0)*VLOOKUP('Données projet'!$B$18,Paramètres!$A$1:$I$89,5,0)</f>
        <v>0</v>
      </c>
      <c r="GW44" s="14" t="e">
        <f t="shared" si="51"/>
        <v>#NUM!</v>
      </c>
      <c r="GX44" s="22" t="e">
        <f t="shared" si="28"/>
        <v>#NUM!</v>
      </c>
      <c r="GY44" s="60" t="e">
        <f t="shared" si="29"/>
        <v>#NUM!</v>
      </c>
      <c r="GZ44" s="60">
        <f ca="1">AVERAGE(OFFSET($GY$3,0,0,'Données projet'!$E$18+1,1))-AVERAGE(OFFSET($H$3,0,0,'Données projet'!$E$18+1,1))</f>
        <v>136.03899433512379</v>
      </c>
      <c r="HA44" s="60">
        <f t="shared" si="52"/>
        <v>316.56646692826882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60.054123493510701</v>
      </c>
      <c r="HH44" s="23">
        <f>EXP(-LN(2)/25)*HH43+(1-EXP(-LN(2)/25))/(LN(2)/25)*Calculateur!HC44*Calculateur!HE44*VLOOKUP('Données projet'!$B$18,Paramètres!$A$1:$I$89,3,0)*0.475*44/12</f>
        <v>7.4315956544298158</v>
      </c>
      <c r="HI44" s="23">
        <f>EXP(-LN(2)/2)*HI43+(1-EXP(-LN(2)/2))/(LN(2)/2)*HC44*HF44*VLOOKUP('Données projet'!$B$18,Paramètres!$A$1:$I$89,3,0)*0.475*44/12</f>
        <v>6.4605664021212719E-2</v>
      </c>
      <c r="HJ44" s="24">
        <f t="shared" si="30"/>
        <v>67.55032481196173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683.57511849201842</v>
      </c>
      <c r="S45" s="60">
        <f ca="1">AVERAGE(OFFSET($R$3,0,0,'Données projet'!$E$9+1,1))-AVERAGE(OFFSET($H$3,0,0,'Données projet'!$E$9+1,1))</f>
        <v>384.44848355636935</v>
      </c>
      <c r="T45" s="60">
        <f t="shared" si="34"/>
        <v>203.5274665601915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0">
        <f t="shared" si="5"/>
        <v>557.83878140250954</v>
      </c>
      <c r="AN45" s="60">
        <f ca="1">AVERAGE(OFFSET($AM$3,0,0,'Données projet'!$E$10+1,1))-AVERAGE(OFFSET($H$3,0,0,'Données projet'!$E$10+1,1))</f>
        <v>303.73499739059076</v>
      </c>
      <c r="AO45" s="60">
        <f t="shared" si="36"/>
        <v>172.32171001882188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197.80000000000004</v>
      </c>
      <c r="BE45" s="14">
        <f>BD45*VLOOKUP('Données projet'!$B$11,Paramètres!$A$1:$I$89,3,0)*VLOOKUP('Données projet'!$B$11,Paramètres!$A$1:$I$89,5,0)</f>
        <v>166.62672000000003</v>
      </c>
      <c r="BF45" s="14">
        <f t="shared" si="37"/>
        <v>42.333642074689422</v>
      </c>
      <c r="BG45" s="22">
        <f t="shared" si="7"/>
        <v>363.93929728008408</v>
      </c>
      <c r="BH45" s="60">
        <f t="shared" si="8"/>
        <v>657.27263061341739</v>
      </c>
      <c r="BI45" s="60">
        <f ca="1">AVERAGE(OFFSET($BH$3,0,0,'Données projet'!$E$11+1,1))-AVERAGE(OFFSET($H$3,0,0,'Données projet'!$E$11+1,1))</f>
        <v>352.29660374042186</v>
      </c>
      <c r="BJ45" s="60">
        <f t="shared" si="38"/>
        <v>187.26439695305618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111.87072000000005</v>
      </c>
      <c r="CA45" s="14">
        <f t="shared" si="39"/>
        <v>29.771307279851975</v>
      </c>
      <c r="CB45" s="22">
        <f t="shared" si="10"/>
        <v>246.69319751240889</v>
      </c>
      <c r="CC45" s="60">
        <f t="shared" si="11"/>
        <v>540.02653084574217</v>
      </c>
      <c r="CD45" s="60">
        <f ca="1">AVERAGE(OFFSET($CC$3,0,0,'Données projet'!$E$12+1,1))-AVERAGE(OFFSET($H$3,0,0,'Données projet'!$E$12+1,1))</f>
        <v>277.03735509061545</v>
      </c>
      <c r="CE45" s="60">
        <f t="shared" si="40"/>
        <v>158.16416492761959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134.65920000000006</v>
      </c>
      <c r="CV45" s="14">
        <f t="shared" si="41"/>
        <v>35.07074737441733</v>
      </c>
      <c r="CW45" s="22">
        <f t="shared" si="13"/>
        <v>295.61299167711024</v>
      </c>
      <c r="CX45" s="60">
        <f t="shared" si="14"/>
        <v>588.94632501044362</v>
      </c>
      <c r="CY45" s="60">
        <f ca="1">AVERAGE(OFFSET($CX$3,0,0,'Données projet'!$E$13+1,1))-AVERAGE(OFFSET($H$3,0,0,'Données projet'!$E$13+1,1))</f>
        <v>350.3652766444938</v>
      </c>
      <c r="CZ45" s="60">
        <f t="shared" si="42"/>
        <v>197.04549436738586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8.6</v>
      </c>
      <c r="DO45" s="13">
        <f>IF('Données projet'!$A$166&gt;35,DO44+DN45-DW44,IF(A45&lt;'Données projet'!$A$166,$DL$205^A45,IF(A45='Données projet'!$A$166,'Données projet'!$B$166,DO44+DN45-DW44)))</f>
        <v>320.2000000000001</v>
      </c>
      <c r="DP45" s="18">
        <f>DO45*VLOOKUP('Données projet'!$B$14,Paramètres!$A$1:$I$89,3,0)*VLOOKUP('Données projet'!$B$14,Paramètres!$A$1:$I$89,5,0)</f>
        <v>254.7511200000001</v>
      </c>
      <c r="DQ45" s="14">
        <f t="shared" si="43"/>
        <v>61.60220428704681</v>
      </c>
      <c r="DR45" s="22">
        <f t="shared" si="16"/>
        <v>550.98203979994003</v>
      </c>
      <c r="DS45" s="60">
        <f t="shared" si="17"/>
        <v>844.3153731332734</v>
      </c>
      <c r="DT45" s="60">
        <f ca="1">AVERAGE(OFFSET($DS$3,0,0,'Données projet'!$E$14+1,1))-AVERAGE(OFFSET($H$3,0,0,'Données projet'!$E$14+1,1))</f>
        <v>382.01991140382955</v>
      </c>
      <c r="DU45" s="60">
        <f t="shared" si="44"/>
        <v>389.53897948144339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7.6</v>
      </c>
      <c r="EJ45" s="13">
        <f>IF('Données projet'!$A$192&gt;35,EJ44+EI45-ER44,IF(A45&lt;'Données projet'!$A$192,$EG$205^A45,IF(A45='Données projet'!$A$192,'Données projet'!$B$192,EJ44+EI45-ER44)))</f>
        <v>243.20000000000002</v>
      </c>
      <c r="EK45" s="18">
        <f>EJ45*VLOOKUP('Données projet'!$B$15,Paramètres!$A$1:$I$89,3,0)*VLOOKUP('Données projet'!$B$15,Paramètres!$A$1:$I$89,5,0)</f>
        <v>193.48992000000001</v>
      </c>
      <c r="EL45" s="14">
        <f t="shared" si="45"/>
        <v>48.310705372586774</v>
      </c>
      <c r="EM45" s="22">
        <f t="shared" si="19"/>
        <v>421.13608919058862</v>
      </c>
      <c r="EN45" s="60">
        <f t="shared" si="20"/>
        <v>714.46942252392193</v>
      </c>
      <c r="EO45" s="60">
        <f ca="1">AVERAGE(OFFSET($EN$3,0,0,'Données projet'!$E$15+1,1))-AVERAGE(OFFSET($H$3,0,0,'Données projet'!$E$15+1,1))</f>
        <v>323.92137573760789</v>
      </c>
      <c r="EP45" s="60">
        <f t="shared" si="46"/>
        <v>389.53897948144339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13.8</v>
      </c>
      <c r="FE45" s="13">
        <f>IF('Données projet'!$A$218&gt;35,FE44+FD45-FM44,IF(A45&lt;'Données projet'!$A$218,$FB$205^A45,IF(A45='Données projet'!$A$218,'Données projet'!$B$218,FE44+FD45-FM44)))</f>
        <v>163.6</v>
      </c>
      <c r="FF45" s="18">
        <f>FE45*VLOOKUP('Données projet'!$B$16,Paramètres!$A$1:$I$89,3,0)*VLOOKUP('Données projet'!$B$16,Paramètres!$A$1:$I$89,5,0)</f>
        <v>130.16015999999999</v>
      </c>
      <c r="FG45" s="14">
        <f t="shared" si="47"/>
        <v>34.033364953570199</v>
      </c>
      <c r="FH45" s="22">
        <f t="shared" si="22"/>
        <v>285.97038929413475</v>
      </c>
      <c r="FI45" s="60">
        <f t="shared" si="23"/>
        <v>579.30372262746801</v>
      </c>
      <c r="FJ45" s="60">
        <f ca="1">AVERAGE(OFFSET($FI$3,0,0,'Données projet'!$E$16+1,1))-AVERAGE(OFFSET($H$3,0,0,'Données projet'!$E$16+1,1))</f>
        <v>219.61164494001008</v>
      </c>
      <c r="FK45" s="60">
        <f t="shared" si="48"/>
        <v>219.59799863414111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10.402930402930403</v>
      </c>
      <c r="FZ45" s="13">
        <f>IF('Données projet'!$A$244&gt;35,FZ44+FY45-GH44,IF(A45&lt;'Données projet'!$A$244,$FW$205^A45,IF(A45='Données projet'!$A$244,'Données projet'!$B$244,FZ44+FY45-GH44)))</f>
        <v>227.91208791208786</v>
      </c>
      <c r="GA45" s="18">
        <f>FZ45*VLOOKUP('Données projet'!$B$17,Paramètres!$A$1:$I$89,3,0)*VLOOKUP('Données projet'!$B$17,Paramètres!$A$1:$I$89,5,0)</f>
        <v>106.66285714285712</v>
      </c>
      <c r="GB45" s="14">
        <f t="shared" si="49"/>
        <v>28.543323501294243</v>
      </c>
      <c r="GC45" s="22">
        <f t="shared" si="25"/>
        <v>235.48409795523028</v>
      </c>
      <c r="GD45" s="60">
        <f t="shared" si="26"/>
        <v>528.81743128856363</v>
      </c>
      <c r="GE45" s="60">
        <f ca="1">AVERAGE(OFFSET($GD$3,0,0,'Données projet'!$E$17+1,1))-AVERAGE(OFFSET($H$3,0,0,'Données projet'!$E$17+1,1))</f>
        <v>147.5699668214238</v>
      </c>
      <c r="GF45" s="60">
        <f t="shared" si="50"/>
        <v>70.653739864908346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>
        <f>GU45*VLOOKUP('Données projet'!$B$18,Paramètres!$A$1:$I$89,3,0)*VLOOKUP('Données projet'!$B$18,Paramètres!$A$1:$I$89,5,0)</f>
        <v>0</v>
      </c>
      <c r="GW45" s="14" t="e">
        <f t="shared" si="51"/>
        <v>#NUM!</v>
      </c>
      <c r="GX45" s="22" t="e">
        <f t="shared" si="28"/>
        <v>#NUM!</v>
      </c>
      <c r="GY45" s="60" t="e">
        <f t="shared" si="29"/>
        <v>#NUM!</v>
      </c>
      <c r="GZ45" s="60">
        <f ca="1">AVERAGE(OFFSET($GY$3,0,0,'Données projet'!$E$18+1,1))-AVERAGE(OFFSET($H$3,0,0,'Données projet'!$E$18+1,1))</f>
        <v>136.03899433512379</v>
      </c>
      <c r="HA45" s="60">
        <f t="shared" si="52"/>
        <v>316.56646692826882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58.876498761201432</v>
      </c>
      <c r="HH45" s="23">
        <f>EXP(-LN(2)/25)*HH44+(1-EXP(-LN(2)/25))/(LN(2)/25)*Calculateur!HC45*Calculateur!HE45*VLOOKUP('Données projet'!$B$18,Paramètres!$A$1:$I$89,3,0)*0.475*44/12</f>
        <v>7.2283782804488022</v>
      </c>
      <c r="HI45" s="23">
        <f>EXP(-LN(2)/2)*HI44+(1-EXP(-LN(2)/2))/(LN(2)/2)*HC45*HF45*VLOOKUP('Données projet'!$B$18,Paramètres!$A$1:$I$89,3,0)*0.475*44/12</f>
        <v>4.5683103132459268E-2</v>
      </c>
      <c r="HJ45" s="24">
        <f t="shared" si="30"/>
        <v>66.150560144782702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705.52629626882026</v>
      </c>
      <c r="S46" s="60">
        <f ca="1">AVERAGE(OFFSET($R$3,0,0,'Données projet'!$E$9+1,1))-AVERAGE(OFFSET($H$3,0,0,'Données projet'!$E$9+1,1))</f>
        <v>384.44848355636935</v>
      </c>
      <c r="T46" s="60">
        <f t="shared" si="34"/>
        <v>203.5274665601915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0">
        <f t="shared" si="5"/>
        <v>574.15179438724942</v>
      </c>
      <c r="AN46" s="60">
        <f ca="1">AVERAGE(OFFSET($AM$3,0,0,'Données projet'!$E$10+1,1))-AVERAGE(OFFSET($H$3,0,0,'Données projet'!$E$10+1,1))</f>
        <v>303.73499739059076</v>
      </c>
      <c r="AO46" s="60">
        <f t="shared" si="36"/>
        <v>172.32171001882188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209.20000000000005</v>
      </c>
      <c r="BE46" s="14">
        <f>BD46*VLOOKUP('Données projet'!$B$11,Paramètres!$A$1:$I$89,3,0)*VLOOKUP('Données projet'!$B$11,Paramètres!$A$1:$I$89,5,0)</f>
        <v>176.23008000000004</v>
      </c>
      <c r="BF46" s="14">
        <f t="shared" si="37"/>
        <v>44.482417993768294</v>
      </c>
      <c r="BG46" s="22">
        <f t="shared" si="7"/>
        <v>384.40760067247987</v>
      </c>
      <c r="BH46" s="60">
        <f t="shared" si="8"/>
        <v>677.74093400581319</v>
      </c>
      <c r="BI46" s="60">
        <f ca="1">AVERAGE(OFFSET($BH$3,0,0,'Données projet'!$E$11+1,1))-AVERAGE(OFFSET($H$3,0,0,'Données projet'!$E$11+1,1))</f>
        <v>352.29660374042186</v>
      </c>
      <c r="BJ46" s="60">
        <f t="shared" si="38"/>
        <v>187.26439695305618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118.94688000000005</v>
      </c>
      <c r="CA46" s="14">
        <f t="shared" si="39"/>
        <v>31.429250481525276</v>
      </c>
      <c r="CB46" s="22">
        <f t="shared" si="10"/>
        <v>261.90509392198993</v>
      </c>
      <c r="CC46" s="60">
        <f t="shared" si="11"/>
        <v>555.23842725532324</v>
      </c>
      <c r="CD46" s="60">
        <f ca="1">AVERAGE(OFFSET($CC$3,0,0,'Données projet'!$E$12+1,1))-AVERAGE(OFFSET($H$3,0,0,'Données projet'!$E$12+1,1))</f>
        <v>277.03735509061545</v>
      </c>
      <c r="CE46" s="60">
        <f t="shared" si="40"/>
        <v>158.16416492761959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143.17680000000004</v>
      </c>
      <c r="CV46" s="14">
        <f t="shared" si="41"/>
        <v>37.023812674521515</v>
      </c>
      <c r="CW46" s="22">
        <f t="shared" si="13"/>
        <v>313.84940040812506</v>
      </c>
      <c r="CX46" s="60">
        <f t="shared" si="14"/>
        <v>607.18273374145838</v>
      </c>
      <c r="CY46" s="60">
        <f ca="1">AVERAGE(OFFSET($CX$3,0,0,'Données projet'!$E$13+1,1))-AVERAGE(OFFSET($H$3,0,0,'Données projet'!$E$13+1,1))</f>
        <v>350.3652766444938</v>
      </c>
      <c r="CZ46" s="60">
        <f t="shared" si="42"/>
        <v>197.04549436738586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8.6</v>
      </c>
      <c r="DO46" s="13">
        <f>IF('Données projet'!$A$166&gt;35,DO45+DN46-DW45,IF(A46&lt;'Données projet'!$A$166,$DL$205^A46,IF(A46='Données projet'!$A$166,'Données projet'!$B$166,DO45+DN46-DW45)))</f>
        <v>328.80000000000013</v>
      </c>
      <c r="DP46" s="18">
        <f>DO46*VLOOKUP('Données projet'!$B$14,Paramètres!$A$1:$I$89,3,0)*VLOOKUP('Données projet'!$B$14,Paramètres!$A$1:$I$89,5,0)</f>
        <v>261.59328000000011</v>
      </c>
      <c r="DQ46" s="14">
        <f t="shared" si="43"/>
        <v>63.06188001521317</v>
      </c>
      <c r="DR46" s="22">
        <f t="shared" si="16"/>
        <v>565.44107035982972</v>
      </c>
      <c r="DS46" s="60">
        <f t="shared" si="17"/>
        <v>858.77440369316309</v>
      </c>
      <c r="DT46" s="60">
        <f ca="1">AVERAGE(OFFSET($DS$3,0,0,'Données projet'!$E$14+1,1))-AVERAGE(OFFSET($H$3,0,0,'Données projet'!$E$14+1,1))</f>
        <v>382.01991140382955</v>
      </c>
      <c r="DU46" s="60">
        <f t="shared" si="44"/>
        <v>389.53897948144339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7.6</v>
      </c>
      <c r="EJ46" s="13">
        <f>IF('Données projet'!$A$192&gt;35,EJ45+EI46-ER45,IF(A46&lt;'Données projet'!$A$192,$EG$205^A46,IF(A46='Données projet'!$A$192,'Données projet'!$B$192,EJ45+EI46-ER45)))</f>
        <v>250.8</v>
      </c>
      <c r="EK46" s="18">
        <f>EJ46*VLOOKUP('Données projet'!$B$15,Paramètres!$A$1:$I$89,3,0)*VLOOKUP('Données projet'!$B$15,Paramètres!$A$1:$I$89,5,0)</f>
        <v>199.53648000000001</v>
      </c>
      <c r="EL46" s="14">
        <f t="shared" si="45"/>
        <v>49.64228630652206</v>
      </c>
      <c r="EM46" s="22">
        <f t="shared" si="19"/>
        <v>433.9863513171926</v>
      </c>
      <c r="EN46" s="60">
        <f t="shared" si="20"/>
        <v>727.31968465052591</v>
      </c>
      <c r="EO46" s="60">
        <f ca="1">AVERAGE(OFFSET($EN$3,0,0,'Données projet'!$E$15+1,1))-AVERAGE(OFFSET($H$3,0,0,'Données projet'!$E$15+1,1))</f>
        <v>323.92137573760789</v>
      </c>
      <c r="EP46" s="60">
        <f t="shared" si="46"/>
        <v>389.53897948144339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13.8</v>
      </c>
      <c r="FE46" s="13">
        <f>IF('Données projet'!$A$218&gt;35,FE45+FD46-FM45,IF(A46&lt;'Données projet'!$A$218,$FB$205^A46,IF(A46='Données projet'!$A$218,'Données projet'!$B$218,FE45+FD46-FM45)))</f>
        <v>177.4</v>
      </c>
      <c r="FF46" s="18">
        <f>FE46*VLOOKUP('Données projet'!$B$16,Paramètres!$A$1:$I$89,3,0)*VLOOKUP('Données projet'!$B$16,Paramètres!$A$1:$I$89,5,0)</f>
        <v>141.13944000000001</v>
      </c>
      <c r="FG46" s="14">
        <f t="shared" si="47"/>
        <v>36.557911926411755</v>
      </c>
      <c r="FH46" s="22">
        <f t="shared" si="22"/>
        <v>309.48955460516714</v>
      </c>
      <c r="FI46" s="60">
        <f t="shared" si="23"/>
        <v>602.82288793850046</v>
      </c>
      <c r="FJ46" s="60">
        <f ca="1">AVERAGE(OFFSET($FI$3,0,0,'Données projet'!$E$16+1,1))-AVERAGE(OFFSET($H$3,0,0,'Données projet'!$E$16+1,1))</f>
        <v>219.61164494001008</v>
      </c>
      <c r="FK46" s="60">
        <f t="shared" si="48"/>
        <v>219.59799863414111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10.402930402930403</v>
      </c>
      <c r="FZ46" s="13">
        <f>IF('Données projet'!$A$244&gt;35,FZ45+FY46-GH45,IF(A46&lt;'Données projet'!$A$244,$FW$205^A46,IF(A46='Données projet'!$A$244,'Données projet'!$B$244,FZ45+FY46-GH45)))</f>
        <v>238.31501831501825</v>
      </c>
      <c r="GA46" s="18">
        <f>FZ46*VLOOKUP('Données projet'!$B$17,Paramètres!$A$1:$I$89,3,0)*VLOOKUP('Données projet'!$B$17,Paramètres!$A$1:$I$89,5,0)</f>
        <v>111.53142857142855</v>
      </c>
      <c r="GB46" s="14">
        <f t="shared" si="49"/>
        <v>29.691510235320177</v>
      </c>
      <c r="GC46" s="22">
        <f t="shared" si="25"/>
        <v>245.96328508842066</v>
      </c>
      <c r="GD46" s="60">
        <f t="shared" si="26"/>
        <v>539.29661842175392</v>
      </c>
      <c r="GE46" s="60">
        <f ca="1">AVERAGE(OFFSET($GD$3,0,0,'Données projet'!$E$17+1,1))-AVERAGE(OFFSET($H$3,0,0,'Données projet'!$E$17+1,1))</f>
        <v>147.5699668214238</v>
      </c>
      <c r="GF46" s="60">
        <f t="shared" si="50"/>
        <v>70.653739864908346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>
        <f>GU46*VLOOKUP('Données projet'!$B$18,Paramètres!$A$1:$I$89,3,0)*VLOOKUP('Données projet'!$B$18,Paramètres!$A$1:$I$89,5,0)</f>
        <v>0</v>
      </c>
      <c r="GW46" s="14" t="e">
        <f t="shared" si="51"/>
        <v>#NUM!</v>
      </c>
      <c r="GX46" s="22" t="e">
        <f t="shared" si="28"/>
        <v>#NUM!</v>
      </c>
      <c r="GY46" s="60" t="e">
        <f t="shared" si="29"/>
        <v>#NUM!</v>
      </c>
      <c r="GZ46" s="60">
        <f ca="1">AVERAGE(OFFSET($GY$3,0,0,'Données projet'!$E$18+1,1))-AVERAGE(OFFSET($H$3,0,0,'Données projet'!$E$18+1,1))</f>
        <v>136.03899433512379</v>
      </c>
      <c r="HA46" s="60">
        <f t="shared" si="52"/>
        <v>316.56646692826882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57.721966531612587</v>
      </c>
      <c r="HH46" s="23">
        <f>EXP(-LN(2)/25)*HH45+(1-EXP(-LN(2)/25))/(LN(2)/25)*Calculateur!HC46*Calculateur!HE46*VLOOKUP('Données projet'!$B$18,Paramètres!$A$1:$I$89,3,0)*0.475*44/12</f>
        <v>7.0307178962460366</v>
      </c>
      <c r="HI46" s="23">
        <f>EXP(-LN(2)/2)*HI45+(1-EXP(-LN(2)/2))/(LN(2)/2)*HC46*HF46*VLOOKUP('Données projet'!$B$18,Paramètres!$A$1:$I$89,3,0)*0.475*44/12</f>
        <v>3.230283201060636E-2</v>
      </c>
      <c r="HJ46" s="24">
        <f t="shared" si="30"/>
        <v>64.784987259869226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727.45225524198804</v>
      </c>
      <c r="S47" s="60">
        <f ca="1">AVERAGE(OFFSET($R$3,0,0,'Données projet'!$E$9+1,1))-AVERAGE(OFFSET($H$3,0,0,'Données projet'!$E$9+1,1))</f>
        <v>384.44848355636935</v>
      </c>
      <c r="T47" s="60">
        <f t="shared" si="34"/>
        <v>203.5274665601915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0">
        <f t="shared" si="5"/>
        <v>590.44356897369653</v>
      </c>
      <c r="AN47" s="60">
        <f ca="1">AVERAGE(OFFSET($AM$3,0,0,'Données projet'!$E$10+1,1))-AVERAGE(OFFSET($H$3,0,0,'Données projet'!$E$10+1,1))</f>
        <v>303.73499739059076</v>
      </c>
      <c r="AO47" s="60">
        <f t="shared" si="36"/>
        <v>172.32171001882188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220.60000000000005</v>
      </c>
      <c r="BE47" s="14">
        <f>BD47*VLOOKUP('Données projet'!$B$11,Paramètres!$A$1:$I$89,3,0)*VLOOKUP('Données projet'!$B$11,Paramètres!$A$1:$I$89,5,0)</f>
        <v>185.83344000000005</v>
      </c>
      <c r="BF47" s="14">
        <f t="shared" si="37"/>
        <v>46.617600215670045</v>
      </c>
      <c r="BG47" s="22">
        <f t="shared" si="7"/>
        <v>404.85222837562537</v>
      </c>
      <c r="BH47" s="60">
        <f t="shared" si="8"/>
        <v>698.18556170895863</v>
      </c>
      <c r="BI47" s="60">
        <f ca="1">AVERAGE(OFFSET($BH$3,0,0,'Données projet'!$E$11+1,1))-AVERAGE(OFFSET($H$3,0,0,'Données projet'!$E$11+1,1))</f>
        <v>352.29660374042186</v>
      </c>
      <c r="BJ47" s="60">
        <f t="shared" si="38"/>
        <v>187.26439695305618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126.02304000000005</v>
      </c>
      <c r="CA47" s="14">
        <f t="shared" si="39"/>
        <v>33.075745544773369</v>
      </c>
      <c r="CB47" s="22">
        <f t="shared" si="10"/>
        <v>277.0970514904804</v>
      </c>
      <c r="CC47" s="60">
        <f t="shared" si="11"/>
        <v>570.43038482381371</v>
      </c>
      <c r="CD47" s="60">
        <f ca="1">AVERAGE(OFFSET($CC$3,0,0,'Données projet'!$E$12+1,1))-AVERAGE(OFFSET($H$3,0,0,'Données projet'!$E$12+1,1))</f>
        <v>277.03735509061545</v>
      </c>
      <c r="CE47" s="60">
        <f t="shared" si="40"/>
        <v>158.16416492761959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151.69440000000006</v>
      </c>
      <c r="CV47" s="14">
        <f t="shared" si="41"/>
        <v>38.963392010880654</v>
      </c>
      <c r="CW47" s="22">
        <f t="shared" si="13"/>
        <v>332.06232108561721</v>
      </c>
      <c r="CX47" s="60">
        <f t="shared" si="14"/>
        <v>625.39565441895047</v>
      </c>
      <c r="CY47" s="60">
        <f ca="1">AVERAGE(OFFSET($CX$3,0,0,'Données projet'!$E$13+1,1))-AVERAGE(OFFSET($H$3,0,0,'Données projet'!$E$13+1,1))</f>
        <v>350.3652766444938</v>
      </c>
      <c r="CZ47" s="60">
        <f t="shared" si="42"/>
        <v>197.04549436738586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8.6</v>
      </c>
      <c r="DO47" s="13">
        <f>IF('Données projet'!$A$166&gt;35,DO46+DN47-DW46,IF(A47&lt;'Données projet'!$A$166,$DL$205^A47,IF(A47='Données projet'!$A$166,'Données projet'!$B$166,DO46+DN47-DW46)))</f>
        <v>337.40000000000015</v>
      </c>
      <c r="DP47" s="18">
        <f>DO47*VLOOKUP('Données projet'!$B$14,Paramètres!$A$1:$I$89,3,0)*VLOOKUP('Données projet'!$B$14,Paramètres!$A$1:$I$89,5,0)</f>
        <v>268.43544000000014</v>
      </c>
      <c r="DQ47" s="14">
        <f t="shared" si="43"/>
        <v>64.517117946718471</v>
      </c>
      <c r="DR47" s="22">
        <f t="shared" si="16"/>
        <v>579.89237175720154</v>
      </c>
      <c r="DS47" s="60">
        <f t="shared" si="17"/>
        <v>873.2257050905348</v>
      </c>
      <c r="DT47" s="60">
        <f ca="1">AVERAGE(OFFSET($DS$3,0,0,'Données projet'!$E$14+1,1))-AVERAGE(OFFSET($H$3,0,0,'Données projet'!$E$14+1,1))</f>
        <v>382.01991140382955</v>
      </c>
      <c r="DU47" s="60">
        <f t="shared" si="44"/>
        <v>389.53897948144339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7.6</v>
      </c>
      <c r="EJ47" s="13">
        <f>IF('Données projet'!$A$192&gt;35,EJ46+EI47-ER46,IF(A47&lt;'Données projet'!$A$192,$EG$205^A47,IF(A47='Données projet'!$A$192,'Données projet'!$B$192,EJ46+EI47-ER46)))</f>
        <v>258.40000000000003</v>
      </c>
      <c r="EK47" s="18">
        <f>EJ47*VLOOKUP('Données projet'!$B$15,Paramètres!$A$1:$I$89,3,0)*VLOOKUP('Données projet'!$B$15,Paramètres!$A$1:$I$89,5,0)</f>
        <v>205.58304000000004</v>
      </c>
      <c r="EL47" s="14">
        <f t="shared" si="45"/>
        <v>50.96917790686684</v>
      </c>
      <c r="EM47" s="22">
        <f t="shared" si="19"/>
        <v>446.82844618779313</v>
      </c>
      <c r="EN47" s="60">
        <f t="shared" si="20"/>
        <v>740.16177952112639</v>
      </c>
      <c r="EO47" s="60">
        <f ca="1">AVERAGE(OFFSET($EN$3,0,0,'Données projet'!$E$15+1,1))-AVERAGE(OFFSET($H$3,0,0,'Données projet'!$E$15+1,1))</f>
        <v>323.92137573760789</v>
      </c>
      <c r="EP47" s="60">
        <f t="shared" si="46"/>
        <v>389.53897948144339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13.8</v>
      </c>
      <c r="FE47" s="13">
        <f>IF('Données projet'!$A$218&gt;35,FE46+FD47-FM46,IF(A47&lt;'Données projet'!$A$218,$FB$205^A47,IF(A47='Données projet'!$A$218,'Données projet'!$B$218,FE46+FD47-FM46)))</f>
        <v>191.20000000000002</v>
      </c>
      <c r="FF47" s="18">
        <f>FE47*VLOOKUP('Données projet'!$B$16,Paramètres!$A$1:$I$89,3,0)*VLOOKUP('Données projet'!$B$16,Paramètres!$A$1:$I$89,5,0)</f>
        <v>152.11872000000002</v>
      </c>
      <c r="FG47" s="14">
        <f t="shared" si="47"/>
        <v>39.059678596099225</v>
      </c>
      <c r="FH47" s="22">
        <f t="shared" si="22"/>
        <v>332.96904422153949</v>
      </c>
      <c r="FI47" s="60">
        <f t="shared" si="23"/>
        <v>626.30237755487281</v>
      </c>
      <c r="FJ47" s="60">
        <f ca="1">AVERAGE(OFFSET($FI$3,0,0,'Données projet'!$E$16+1,1))-AVERAGE(OFFSET($H$3,0,0,'Données projet'!$E$16+1,1))</f>
        <v>219.61164494001008</v>
      </c>
      <c r="FK47" s="60">
        <f t="shared" si="48"/>
        <v>219.59799863414111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10.402930402930403</v>
      </c>
      <c r="FZ47" s="13">
        <f>IF('Données projet'!$A$244&gt;35,FZ46+FY47-GH46,IF(A47&lt;'Données projet'!$A$244,$FW$205^A47,IF(A47='Données projet'!$A$244,'Données projet'!$B$244,FZ46+FY47-GH46)))</f>
        <v>248.71794871794864</v>
      </c>
      <c r="GA47" s="18">
        <f>FZ47*VLOOKUP('Données projet'!$B$17,Paramètres!$A$1:$I$89,3,0)*VLOOKUP('Données projet'!$B$17,Paramètres!$A$1:$I$89,5,0)</f>
        <v>116.39999999999996</v>
      </c>
      <c r="GB47" s="14">
        <f t="shared" si="49"/>
        <v>30.833875768540434</v>
      </c>
      <c r="GC47" s="22">
        <f t="shared" si="25"/>
        <v>256.43233363020784</v>
      </c>
      <c r="GD47" s="60">
        <f t="shared" si="26"/>
        <v>549.76566696354121</v>
      </c>
      <c r="GE47" s="60">
        <f ca="1">AVERAGE(OFFSET($GD$3,0,0,'Données projet'!$E$17+1,1))-AVERAGE(OFFSET($H$3,0,0,'Données projet'!$E$17+1,1))</f>
        <v>147.5699668214238</v>
      </c>
      <c r="GF47" s="60">
        <f t="shared" si="50"/>
        <v>70.653739864908346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>
        <f>GU47*VLOOKUP('Données projet'!$B$18,Paramètres!$A$1:$I$89,3,0)*VLOOKUP('Données projet'!$B$18,Paramètres!$A$1:$I$89,5,0)</f>
        <v>0</v>
      </c>
      <c r="GW47" s="14" t="e">
        <f t="shared" si="51"/>
        <v>#NUM!</v>
      </c>
      <c r="GX47" s="22" t="e">
        <f t="shared" si="28"/>
        <v>#NUM!</v>
      </c>
      <c r="GY47" s="60" t="e">
        <f t="shared" si="29"/>
        <v>#NUM!</v>
      </c>
      <c r="GZ47" s="60">
        <f ca="1">AVERAGE(OFFSET($GY$3,0,0,'Données projet'!$E$18+1,1))-AVERAGE(OFFSET($H$3,0,0,'Données projet'!$E$18+1,1))</f>
        <v>136.03899433512379</v>
      </c>
      <c r="HA47" s="60">
        <f t="shared" si="52"/>
        <v>316.56646692826882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56.590073974850853</v>
      </c>
      <c r="HH47" s="23">
        <f>EXP(-LN(2)/25)*HH46+(1-EXP(-LN(2)/25))/(LN(2)/25)*Calculateur!HC47*Calculateur!HE47*VLOOKUP('Données projet'!$B$18,Paramètres!$A$1:$I$89,3,0)*0.475*44/12</f>
        <v>6.8384625456438037</v>
      </c>
      <c r="HI47" s="23">
        <f>EXP(-LN(2)/2)*HI46+(1-EXP(-LN(2)/2))/(LN(2)/2)*HC47*HF47*VLOOKUP('Données projet'!$B$18,Paramètres!$A$1:$I$89,3,0)*0.475*44/12</f>
        <v>2.2841551566229634E-2</v>
      </c>
      <c r="HJ47" s="24">
        <f t="shared" si="30"/>
        <v>63.451378072060891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749.35444730432789</v>
      </c>
      <c r="S48" s="60">
        <f ca="1">AVERAGE(OFFSET($R$3,0,0,'Données projet'!$E$9+1,1))-AVERAGE(OFFSET($H$3,0,0,'Données projet'!$E$9+1,1))</f>
        <v>384.44848355636935</v>
      </c>
      <c r="T48" s="60">
        <f t="shared" si="34"/>
        <v>203.5274665601915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0">
        <f t="shared" si="5"/>
        <v>606.71543359582972</v>
      </c>
      <c r="AN48" s="60">
        <f ca="1">AVERAGE(OFFSET($AM$3,0,0,'Données projet'!$E$10+1,1))-AVERAGE(OFFSET($H$3,0,0,'Données projet'!$E$10+1,1))</f>
        <v>303.73499739059076</v>
      </c>
      <c r="AO48" s="60">
        <f t="shared" si="36"/>
        <v>172.32171001882188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232.00000000000006</v>
      </c>
      <c r="BE48" s="14">
        <f>BD48*VLOOKUP('Données projet'!$B$11,Paramètres!$A$1:$I$89,3,0)*VLOOKUP('Données projet'!$B$11,Paramètres!$A$1:$I$89,5,0)</f>
        <v>195.43680000000006</v>
      </c>
      <c r="BF48" s="14">
        <f t="shared" si="37"/>
        <v>48.739971354487849</v>
      </c>
      <c r="BG48" s="22">
        <f t="shared" si="7"/>
        <v>425.27454344239982</v>
      </c>
      <c r="BH48" s="60">
        <f t="shared" si="8"/>
        <v>718.60787677573308</v>
      </c>
      <c r="BI48" s="60">
        <f ca="1">AVERAGE(OFFSET($BH$3,0,0,'Données projet'!$E$11+1,1))-AVERAGE(OFFSET($H$3,0,0,'Données projet'!$E$11+1,1))</f>
        <v>352.29660374042186</v>
      </c>
      <c r="BJ48" s="60">
        <f t="shared" si="38"/>
        <v>187.26439695305618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133.09920000000005</v>
      </c>
      <c r="CA48" s="14">
        <f t="shared" si="39"/>
        <v>34.71150853565117</v>
      </c>
      <c r="CB48" s="22">
        <f t="shared" si="10"/>
        <v>292.27031736625918</v>
      </c>
      <c r="CC48" s="60">
        <f t="shared" si="11"/>
        <v>585.60365069959244</v>
      </c>
      <c r="CD48" s="60">
        <f ca="1">AVERAGE(OFFSET($CC$3,0,0,'Données projet'!$E$12+1,1))-AVERAGE(OFFSET($H$3,0,0,'Données projet'!$E$12+1,1))</f>
        <v>277.03735509061545</v>
      </c>
      <c r="CE48" s="60">
        <f t="shared" si="40"/>
        <v>158.16416492761959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160.21200000000007</v>
      </c>
      <c r="CV48" s="14">
        <f t="shared" si="41"/>
        <v>40.890328912852731</v>
      </c>
      <c r="CW48" s="22">
        <f t="shared" si="13"/>
        <v>350.25322285655193</v>
      </c>
      <c r="CX48" s="60">
        <f t="shared" si="14"/>
        <v>643.58655618988519</v>
      </c>
      <c r="CY48" s="60">
        <f ca="1">AVERAGE(OFFSET($CX$3,0,0,'Données projet'!$E$13+1,1))-AVERAGE(OFFSET($H$3,0,0,'Données projet'!$E$13+1,1))</f>
        <v>350.3652766444938</v>
      </c>
      <c r="CZ48" s="60">
        <f t="shared" si="42"/>
        <v>197.04549436738586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346</v>
      </c>
      <c r="DM48" s="13">
        <f>VLOOKUP(A48,'Données projet'!$A$165:$I$185,9,0)</f>
        <v>8.6</v>
      </c>
      <c r="DN48" s="13">
        <f t="array" ref="DN48">INDEX(DM:DM,MIN(IF(ISNUMBER(DM48:DM244),ROW(DM48:DM244),"")))</f>
        <v>8.6</v>
      </c>
      <c r="DO48" s="13">
        <f>IF('Données projet'!$A$166&gt;35,DO47+DN48-DW47,IF(A48&lt;'Données projet'!$A$166,$DL$205^A48,IF(A48='Données projet'!$A$166,'Données projet'!$B$166,DO47+DN48-DW47)))</f>
        <v>346.00000000000017</v>
      </c>
      <c r="DP48" s="18">
        <f>DO48*VLOOKUP('Données projet'!$B$14,Paramètres!$A$1:$I$89,3,0)*VLOOKUP('Données projet'!$B$14,Paramètres!$A$1:$I$89,5,0)</f>
        <v>275.27760000000018</v>
      </c>
      <c r="DQ48" s="14">
        <f t="shared" si="43"/>
        <v>65.968044203800289</v>
      </c>
      <c r="DR48" s="22">
        <f t="shared" si="16"/>
        <v>594.33616365495243</v>
      </c>
      <c r="DS48" s="60">
        <f t="shared" si="17"/>
        <v>887.6694969882858</v>
      </c>
      <c r="DT48" s="60">
        <f ca="1">AVERAGE(OFFSET($DS$3,0,0,'Données projet'!$E$14+1,1))-AVERAGE(OFFSET($H$3,0,0,'Données projet'!$E$14+1,1))</f>
        <v>382.01991140382955</v>
      </c>
      <c r="DU48" s="60">
        <f t="shared" si="44"/>
        <v>389.53897948144339</v>
      </c>
      <c r="DV48" s="16">
        <f>IF(ISNA(VLOOKUP(A48,'Données projet'!$A$165:$I$185,3,0)),0,VLOOKUP(A48,'Données projet'!$A$165:$I$185,3,0))</f>
        <v>4</v>
      </c>
      <c r="DW48" s="16">
        <f>IF(ISNA(VLOOKUP(A48,'Données projet'!$A$165:$I$185,4,0)),0,VLOOKUP(A48,'Données projet'!$A$165:$I$185,4,0))</f>
        <v>66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266</v>
      </c>
      <c r="EH48" s="13">
        <f>VLOOKUP(A48,'Données projet'!$A$191:$I$211,9,0)</f>
        <v>7.6</v>
      </c>
      <c r="EI48" s="13">
        <f t="array" ref="EI48">INDEX(EH:EH,MIN(IF(ISNUMBER(EH48:EH244),ROW(EH48:EH244),"")))</f>
        <v>7.6</v>
      </c>
      <c r="EJ48" s="13">
        <f>IF('Données projet'!$A$192&gt;35,EJ47+EI48-ER47,IF(A48&lt;'Données projet'!$A$192,$EG$205^A48,IF(A48='Données projet'!$A$192,'Données projet'!$B$192,EJ47+EI48-ER47)))</f>
        <v>266.00000000000006</v>
      </c>
      <c r="EK48" s="18">
        <f>EJ48*VLOOKUP('Données projet'!$B$15,Paramètres!$A$1:$I$89,3,0)*VLOOKUP('Données projet'!$B$15,Paramètres!$A$1:$I$89,5,0)</f>
        <v>211.62960000000004</v>
      </c>
      <c r="EL48" s="14">
        <f t="shared" si="45"/>
        <v>52.291533930940275</v>
      </c>
      <c r="EM48" s="22">
        <f t="shared" si="19"/>
        <v>459.66264159638763</v>
      </c>
      <c r="EN48" s="60">
        <f t="shared" si="20"/>
        <v>752.99597492972089</v>
      </c>
      <c r="EO48" s="60">
        <f ca="1">AVERAGE(OFFSET($EN$3,0,0,'Données projet'!$E$15+1,1))-AVERAGE(OFFSET($H$3,0,0,'Données projet'!$E$15+1,1))</f>
        <v>323.92137573760789</v>
      </c>
      <c r="EP48" s="60">
        <f t="shared" si="46"/>
        <v>389.53897948144339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205</v>
      </c>
      <c r="FC48" s="13">
        <f>VLOOKUP(A48,'Données projet'!$A$217:$I$237,9,0)</f>
        <v>13.8</v>
      </c>
      <c r="FD48" s="13">
        <f t="array" ref="FD48">INDEX(FC:FC,MIN(IF(ISNUMBER(FC48:FC244),ROW(FC48:FC244),"")))</f>
        <v>13.8</v>
      </c>
      <c r="FE48" s="13">
        <f>IF('Données projet'!$A$218&gt;35,FE47+FD48-FM47,IF(A48&lt;'Données projet'!$A$218,$FB$205^A48,IF(A48='Données projet'!$A$218,'Données projet'!$B$218,FE47+FD48-FM47)))</f>
        <v>205.00000000000003</v>
      </c>
      <c r="FF48" s="18">
        <f>FE48*VLOOKUP('Données projet'!$B$16,Paramètres!$A$1:$I$89,3,0)*VLOOKUP('Données projet'!$B$16,Paramètres!$A$1:$I$89,5,0)</f>
        <v>163.09800000000001</v>
      </c>
      <c r="FG48" s="14">
        <f t="shared" si="47"/>
        <v>41.540496136845142</v>
      </c>
      <c r="FH48" s="22">
        <f t="shared" si="22"/>
        <v>356.41204743833867</v>
      </c>
      <c r="FI48" s="60">
        <f t="shared" si="23"/>
        <v>649.74538077167199</v>
      </c>
      <c r="FJ48" s="60">
        <f ca="1">AVERAGE(OFFSET($FI$3,0,0,'Données projet'!$E$16+1,1))-AVERAGE(OFFSET($H$3,0,0,'Données projet'!$E$16+1,1))</f>
        <v>219.61164494001008</v>
      </c>
      <c r="FK48" s="60">
        <f t="shared" si="48"/>
        <v>219.59799863414111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10.402930402930403</v>
      </c>
      <c r="FZ48" s="13">
        <f>IF('Données projet'!$A$244&gt;35,FZ47+FY48-GH47,IF(A48&lt;'Données projet'!$A$244,$FW$205^A48,IF(A48='Données projet'!$A$244,'Données projet'!$B$244,FZ47+FY48-GH47)))</f>
        <v>259.12087912087907</v>
      </c>
      <c r="GA48" s="18">
        <f>FZ48*VLOOKUP('Données projet'!$B$17,Paramètres!$A$1:$I$89,3,0)*VLOOKUP('Données projet'!$B$17,Paramètres!$A$1:$I$89,5,0)</f>
        <v>121.26857142857141</v>
      </c>
      <c r="GB48" s="14">
        <f t="shared" si="49"/>
        <v>31.970691421429557</v>
      </c>
      <c r="GC48" s="22">
        <f t="shared" si="25"/>
        <v>266.89171613041833</v>
      </c>
      <c r="GD48" s="60">
        <f t="shared" si="26"/>
        <v>560.2250494637517</v>
      </c>
      <c r="GE48" s="60">
        <f ca="1">AVERAGE(OFFSET($GD$3,0,0,'Données projet'!$E$17+1,1))-AVERAGE(OFFSET($H$3,0,0,'Données projet'!$E$17+1,1))</f>
        <v>147.5699668214238</v>
      </c>
      <c r="GF48" s="60">
        <f t="shared" si="50"/>
        <v>70.653739864908346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>
        <f>GU48*VLOOKUP('Données projet'!$B$18,Paramètres!$A$1:$I$89,3,0)*VLOOKUP('Données projet'!$B$18,Paramètres!$A$1:$I$89,5,0)</f>
        <v>0</v>
      </c>
      <c r="GW48" s="14" t="e">
        <f t="shared" si="51"/>
        <v>#NUM!</v>
      </c>
      <c r="GX48" s="22" t="e">
        <f t="shared" si="28"/>
        <v>#NUM!</v>
      </c>
      <c r="GY48" s="60" t="e">
        <f t="shared" si="29"/>
        <v>#NUM!</v>
      </c>
      <c r="GZ48" s="60">
        <f ca="1">AVERAGE(OFFSET($GY$3,0,0,'Données projet'!$E$18+1,1))-AVERAGE(OFFSET($H$3,0,0,'Données projet'!$E$18+1,1))</f>
        <v>136.03899433512379</v>
      </c>
      <c r="HA48" s="60">
        <f t="shared" si="52"/>
        <v>316.56646692826882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55.480377140740927</v>
      </c>
      <c r="HH48" s="23">
        <f>EXP(-LN(2)/25)*HH47+(1-EXP(-LN(2)/25))/(LN(2)/25)*Calculateur!HC48*Calculateur!HE48*VLOOKUP('Données projet'!$B$18,Paramètres!$A$1:$I$89,3,0)*0.475*44/12</f>
        <v>6.6514644277140578</v>
      </c>
      <c r="HI48" s="23">
        <f>EXP(-LN(2)/2)*HI47+(1-EXP(-LN(2)/2))/(LN(2)/2)*HC48*HF48*VLOOKUP('Données projet'!$B$18,Paramètres!$A$1:$I$89,3,0)*0.475*44/12</f>
        <v>1.615141600530318E-2</v>
      </c>
      <c r="HJ48" s="24">
        <f t="shared" si="30"/>
        <v>62.147992984460288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662.75452844747895</v>
      </c>
      <c r="S49" s="60">
        <f ca="1">AVERAGE(OFFSET($R$3,0,0,'Données projet'!$E$9+1,1))-AVERAGE(OFFSET($H$3,0,0,'Données projet'!$E$9+1,1))</f>
        <v>384.44848355636935</v>
      </c>
      <c r="T49" s="60">
        <f t="shared" si="34"/>
        <v>203.5274665601915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0">
        <f t="shared" si="5"/>
        <v>622.58179746983251</v>
      </c>
      <c r="AN49" s="60">
        <f ca="1">AVERAGE(OFFSET($AM$3,0,0,'Données projet'!$E$10+1,1))-AVERAGE(OFFSET($H$3,0,0,'Données projet'!$E$10+1,1))</f>
        <v>303.73499739059076</v>
      </c>
      <c r="AO49" s="60">
        <f t="shared" si="36"/>
        <v>172.32171001882188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187.00000000000006</v>
      </c>
      <c r="BE49" s="14">
        <f>BD49*VLOOKUP('Données projet'!$B$11,Paramètres!$A$1:$I$89,3,0)*VLOOKUP('Données projet'!$B$11,Paramètres!$A$1:$I$89,5,0)</f>
        <v>157.52880000000005</v>
      </c>
      <c r="BF49" s="14">
        <f t="shared" si="37"/>
        <v>40.284625411479013</v>
      </c>
      <c r="BG49" s="22">
        <f t="shared" si="7"/>
        <v>344.52504925832596</v>
      </c>
      <c r="BH49" s="60">
        <f t="shared" si="8"/>
        <v>637.85838259165928</v>
      </c>
      <c r="BI49" s="60">
        <f ca="1">AVERAGE(OFFSET($BH$3,0,0,'Données projet'!$E$11+1,1))-AVERAGE(OFFSET($H$3,0,0,'Données projet'!$E$11+1,1))</f>
        <v>352.29660374042186</v>
      </c>
      <c r="BJ49" s="60">
        <f t="shared" si="38"/>
        <v>187.26439695305618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140.00688000000005</v>
      </c>
      <c r="CA49" s="14">
        <f t="shared" si="39"/>
        <v>36.29858160188811</v>
      </c>
      <c r="CB49" s="22">
        <f t="shared" si="10"/>
        <v>307.06534562328858</v>
      </c>
      <c r="CC49" s="60">
        <f t="shared" si="11"/>
        <v>600.39867895662189</v>
      </c>
      <c r="CD49" s="60">
        <f ca="1">AVERAGE(OFFSET($CC$3,0,0,'Données projet'!$E$12+1,1))-AVERAGE(OFFSET($H$3,0,0,'Données projet'!$E$12+1,1))</f>
        <v>277.03735509061545</v>
      </c>
      <c r="CE49" s="60">
        <f t="shared" si="40"/>
        <v>158.16416492761959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168.52680000000007</v>
      </c>
      <c r="CV49" s="14">
        <f t="shared" si="41"/>
        <v>42.759908842532369</v>
      </c>
      <c r="CW49" s="22">
        <f t="shared" si="13"/>
        <v>367.991017900744</v>
      </c>
      <c r="CX49" s="60">
        <f t="shared" si="14"/>
        <v>661.32435123407731</v>
      </c>
      <c r="CY49" s="60">
        <f ca="1">AVERAGE(OFFSET($CX$3,0,0,'Données projet'!$E$13+1,1))-AVERAGE(OFFSET($H$3,0,0,'Données projet'!$E$13+1,1))</f>
        <v>350.3652766444938</v>
      </c>
      <c r="CZ49" s="60">
        <f t="shared" si="42"/>
        <v>197.04549436738586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8.8000000000000007</v>
      </c>
      <c r="DO49" s="13">
        <f>IF('Données projet'!$A$166&gt;35,DO48+DN49-DW48,IF(A49&lt;'Données projet'!$A$166,$DL$205^A49,IF(A49='Données projet'!$A$166,'Données projet'!$B$166,DO48+DN49-DW48)))</f>
        <v>288.80000000000018</v>
      </c>
      <c r="DP49" s="18">
        <f>DO49*VLOOKUP('Données projet'!$B$14,Paramètres!$A$1:$I$89,3,0)*VLOOKUP('Données projet'!$B$14,Paramètres!$A$1:$I$89,5,0)</f>
        <v>229.76928000000015</v>
      </c>
      <c r="DQ49" s="14">
        <f t="shared" si="43"/>
        <v>56.232791559302932</v>
      </c>
      <c r="DR49" s="22">
        <f t="shared" si="16"/>
        <v>498.12027463245289</v>
      </c>
      <c r="DS49" s="60">
        <f t="shared" si="17"/>
        <v>791.4536079657862</v>
      </c>
      <c r="DT49" s="60">
        <f ca="1">AVERAGE(OFFSET($DS$3,0,0,'Données projet'!$E$14+1,1))-AVERAGE(OFFSET($H$3,0,0,'Données projet'!$E$14+1,1))</f>
        <v>382.01991140382955</v>
      </c>
      <c r="DU49" s="60">
        <f t="shared" si="44"/>
        <v>389.53897948144339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7.6</v>
      </c>
      <c r="EJ49" s="13">
        <f>IF('Données projet'!$A$192&gt;35,EJ48+EI49-ER48,IF(A49&lt;'Données projet'!$A$192,$EG$205^A49,IF(A49='Données projet'!$A$192,'Données projet'!$B$192,EJ48+EI49-ER48)))</f>
        <v>273.60000000000008</v>
      </c>
      <c r="EK49" s="18">
        <f>EJ49*VLOOKUP('Données projet'!$B$15,Paramètres!$A$1:$I$89,3,0)*VLOOKUP('Données projet'!$B$15,Paramètres!$A$1:$I$89,5,0)</f>
        <v>217.67616000000007</v>
      </c>
      <c r="EL49" s="14">
        <f t="shared" si="45"/>
        <v>53.609498850196708</v>
      </c>
      <c r="EM49" s="22">
        <f t="shared" si="19"/>
        <v>472.48918916409275</v>
      </c>
      <c r="EN49" s="60">
        <f t="shared" si="20"/>
        <v>765.82252249742601</v>
      </c>
      <c r="EO49" s="60">
        <f ca="1">AVERAGE(OFFSET($EN$3,0,0,'Données projet'!$E$15+1,1))-AVERAGE(OFFSET($H$3,0,0,'Données projet'!$E$15+1,1))</f>
        <v>323.92137573760789</v>
      </c>
      <c r="EP49" s="60">
        <f t="shared" si="46"/>
        <v>389.53897948144339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2.6</v>
      </c>
      <c r="FE49" s="13">
        <f>IF('Données projet'!$A$218&gt;35,FE48+FD49-FM48,IF(A49&lt;'Données projet'!$A$218,$FB$205^A49,IF(A49='Données projet'!$A$218,'Données projet'!$B$218,FE48+FD49-FM48)))</f>
        <v>207.60000000000002</v>
      </c>
      <c r="FF49" s="18">
        <f>FE49*VLOOKUP('Données projet'!$B$16,Paramètres!$A$1:$I$89,3,0)*VLOOKUP('Données projet'!$B$16,Paramètres!$A$1:$I$89,5,0)</f>
        <v>165.16656000000003</v>
      </c>
      <c r="FG49" s="14">
        <f t="shared" si="47"/>
        <v>42.00568326171458</v>
      </c>
      <c r="FH49" s="22">
        <f t="shared" si="22"/>
        <v>360.82499034748622</v>
      </c>
      <c r="FI49" s="60">
        <f t="shared" si="23"/>
        <v>654.15832368081954</v>
      </c>
      <c r="FJ49" s="60">
        <f ca="1">AVERAGE(OFFSET($FI$3,0,0,'Données projet'!$E$16+1,1))-AVERAGE(OFFSET($H$3,0,0,'Données projet'!$E$16+1,1))</f>
        <v>219.61164494001008</v>
      </c>
      <c r="FK49" s="60">
        <f t="shared" si="48"/>
        <v>219.59799863414111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10.402930402930403</v>
      </c>
      <c r="FZ49" s="13">
        <f>IF('Données projet'!$A$244&gt;35,FZ48+FY49-GH48,IF(A49&lt;'Données projet'!$A$244,$FW$205^A49,IF(A49='Données projet'!$A$244,'Données projet'!$B$244,FZ48+FY49-GH48)))</f>
        <v>269.52380952380946</v>
      </c>
      <c r="GA49" s="18">
        <f>FZ49*VLOOKUP('Données projet'!$B$17,Paramètres!$A$1:$I$89,3,0)*VLOOKUP('Données projet'!$B$17,Paramètres!$A$1:$I$89,5,0)</f>
        <v>126.13714285714282</v>
      </c>
      <c r="GB49" s="14">
        <f t="shared" si="49"/>
        <v>33.102205495977692</v>
      </c>
      <c r="GC49" s="22">
        <f t="shared" si="25"/>
        <v>277.34186504835151</v>
      </c>
      <c r="GD49" s="60">
        <f t="shared" si="26"/>
        <v>570.67519838168482</v>
      </c>
      <c r="GE49" s="60">
        <f ca="1">AVERAGE(OFFSET($GD$3,0,0,'Données projet'!$E$17+1,1))-AVERAGE(OFFSET($H$3,0,0,'Données projet'!$E$17+1,1))</f>
        <v>147.5699668214238</v>
      </c>
      <c r="GF49" s="60">
        <f t="shared" si="50"/>
        <v>70.653739864908346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>
        <f>GU49*VLOOKUP('Données projet'!$B$18,Paramètres!$A$1:$I$89,3,0)*VLOOKUP('Données projet'!$B$18,Paramètres!$A$1:$I$89,5,0)</f>
        <v>0</v>
      </c>
      <c r="GW49" s="14" t="e">
        <f t="shared" si="51"/>
        <v>#NUM!</v>
      </c>
      <c r="GX49" s="22" t="e">
        <f t="shared" si="28"/>
        <v>#NUM!</v>
      </c>
      <c r="GY49" s="60" t="e">
        <f t="shared" si="29"/>
        <v>#NUM!</v>
      </c>
      <c r="GZ49" s="60">
        <f ca="1">AVERAGE(OFFSET($GY$3,0,0,'Données projet'!$E$18+1,1))-AVERAGE(OFFSET($H$3,0,0,'Données projet'!$E$18+1,1))</f>
        <v>136.03899433512379</v>
      </c>
      <c r="HA49" s="60">
        <f t="shared" si="52"/>
        <v>316.56646692826882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54.392440784699659</v>
      </c>
      <c r="HH49" s="23">
        <f>EXP(-LN(2)/25)*HH48+(1-EXP(-LN(2)/25))/(LN(2)/25)*Calculateur!HC49*Calculateur!HE49*VLOOKUP('Données projet'!$B$18,Paramètres!$A$1:$I$89,3,0)*0.475*44/12</f>
        <v>6.4695797831529047</v>
      </c>
      <c r="HI49" s="23">
        <f>EXP(-LN(2)/2)*HI48+(1-EXP(-LN(2)/2))/(LN(2)/2)*HC49*HF49*VLOOKUP('Données projet'!$B$18,Paramètres!$A$1:$I$89,3,0)*0.475*44/12</f>
        <v>1.1420775783114817E-2</v>
      </c>
      <c r="HJ49" s="24">
        <f t="shared" si="30"/>
        <v>60.873441343635676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683.96045320765336</v>
      </c>
      <c r="S50" s="60">
        <f ca="1">AVERAGE(OFFSET($R$3,0,0,'Données projet'!$E$9+1,1))-AVERAGE(OFFSET($H$3,0,0,'Données projet'!$E$9+1,1))</f>
        <v>384.44848355636935</v>
      </c>
      <c r="T50" s="60">
        <f t="shared" si="34"/>
        <v>203.5274665601915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0">
        <f t="shared" si="5"/>
        <v>638.43129351369294</v>
      </c>
      <c r="AN50" s="60">
        <f ca="1">AVERAGE(OFFSET($AM$3,0,0,'Données projet'!$E$10+1,1))-AVERAGE(OFFSET($H$3,0,0,'Données projet'!$E$10+1,1))</f>
        <v>303.73499739059076</v>
      </c>
      <c r="AO50" s="60">
        <f t="shared" si="36"/>
        <v>172.32171001882188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198.00000000000006</v>
      </c>
      <c r="BE50" s="14">
        <f>BD50*VLOOKUP('Données projet'!$B$11,Paramètres!$A$1:$I$89,3,0)*VLOOKUP('Données projet'!$B$11,Paramètres!$A$1:$I$89,5,0)</f>
        <v>166.79520000000008</v>
      </c>
      <c r="BF50" s="14">
        <f t="shared" si="37"/>
        <v>42.371461898472788</v>
      </c>
      <c r="BG50" s="22">
        <f t="shared" si="7"/>
        <v>364.29860280650684</v>
      </c>
      <c r="BH50" s="60">
        <f t="shared" si="8"/>
        <v>657.63193613984015</v>
      </c>
      <c r="BI50" s="60">
        <f ca="1">AVERAGE(OFFSET($BH$3,0,0,'Données projet'!$E$11+1,1))-AVERAGE(OFFSET($H$3,0,0,'Données projet'!$E$11+1,1))</f>
        <v>352.29660374042186</v>
      </c>
      <c r="BJ50" s="60">
        <f t="shared" si="38"/>
        <v>187.26439695305618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146.91456000000005</v>
      </c>
      <c r="CA50" s="14">
        <f t="shared" si="39"/>
        <v>37.87656239799518</v>
      </c>
      <c r="CB50" s="22">
        <f t="shared" si="10"/>
        <v>321.84453817650837</v>
      </c>
      <c r="CC50" s="60">
        <f t="shared" si="11"/>
        <v>615.17787150984168</v>
      </c>
      <c r="CD50" s="60">
        <f ca="1">AVERAGE(OFFSET($CC$3,0,0,'Données projet'!$E$12+1,1))-AVERAGE(OFFSET($H$3,0,0,'Données projet'!$E$12+1,1))</f>
        <v>277.03735509061545</v>
      </c>
      <c r="CE50" s="60">
        <f t="shared" si="40"/>
        <v>158.16416492761959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176.84160000000006</v>
      </c>
      <c r="CV50" s="14">
        <f t="shared" si="41"/>
        <v>44.618778032982952</v>
      </c>
      <c r="CW50" s="22">
        <f t="shared" si="13"/>
        <v>385.71015840744536</v>
      </c>
      <c r="CX50" s="60">
        <f t="shared" si="14"/>
        <v>679.04349174077868</v>
      </c>
      <c r="CY50" s="60">
        <f ca="1">AVERAGE(OFFSET($CX$3,0,0,'Données projet'!$E$13+1,1))-AVERAGE(OFFSET($H$3,0,0,'Données projet'!$E$13+1,1))</f>
        <v>350.3652766444938</v>
      </c>
      <c r="CZ50" s="60">
        <f t="shared" si="42"/>
        <v>197.04549436738586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8.8000000000000007</v>
      </c>
      <c r="DO50" s="13">
        <f>IF('Données projet'!$A$166&gt;35,DO49+DN50-DW49,IF(A50&lt;'Données projet'!$A$166,$DL$205^A50,IF(A50='Données projet'!$A$166,'Données projet'!$B$166,DO49+DN50-DW49)))</f>
        <v>297.60000000000019</v>
      </c>
      <c r="DP50" s="18">
        <f>DO50*VLOOKUP('Données projet'!$B$14,Paramètres!$A$1:$I$89,3,0)*VLOOKUP('Données projet'!$B$14,Paramètres!$A$1:$I$89,5,0)</f>
        <v>236.77056000000016</v>
      </c>
      <c r="DQ50" s="14">
        <f t="shared" si="43"/>
        <v>57.744153841586986</v>
      </c>
      <c r="DR50" s="22">
        <f t="shared" si="16"/>
        <v>512.94645994076427</v>
      </c>
      <c r="DS50" s="60">
        <f t="shared" si="17"/>
        <v>806.27979327409753</v>
      </c>
      <c r="DT50" s="60">
        <f ca="1">AVERAGE(OFFSET($DS$3,0,0,'Données projet'!$E$14+1,1))-AVERAGE(OFFSET($H$3,0,0,'Données projet'!$E$14+1,1))</f>
        <v>382.01991140382955</v>
      </c>
      <c r="DU50" s="60">
        <f t="shared" si="44"/>
        <v>389.53897948144339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7.6</v>
      </c>
      <c r="EJ50" s="13">
        <f>IF('Données projet'!$A$192&gt;35,EJ49+EI50-ER49,IF(A50&lt;'Données projet'!$A$192,$EG$205^A50,IF(A50='Données projet'!$A$192,'Données projet'!$B$192,EJ49+EI50-ER49)))</f>
        <v>281.2000000000001</v>
      </c>
      <c r="EK50" s="18">
        <f>EJ50*VLOOKUP('Données projet'!$B$15,Paramètres!$A$1:$I$89,3,0)*VLOOKUP('Données projet'!$B$15,Paramètres!$A$1:$I$89,5,0)</f>
        <v>223.72272000000009</v>
      </c>
      <c r="EL50" s="14">
        <f t="shared" si="45"/>
        <v>54.923208653192326</v>
      </c>
      <c r="EM50" s="22">
        <f t="shared" si="19"/>
        <v>485.30832573764337</v>
      </c>
      <c r="EN50" s="60">
        <f t="shared" si="20"/>
        <v>778.64165907097663</v>
      </c>
      <c r="EO50" s="60">
        <f ca="1">AVERAGE(OFFSET($EN$3,0,0,'Données projet'!$E$15+1,1))-AVERAGE(OFFSET($H$3,0,0,'Données projet'!$E$15+1,1))</f>
        <v>323.92137573760789</v>
      </c>
      <c r="EP50" s="60">
        <f t="shared" si="46"/>
        <v>389.53897948144339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2.6</v>
      </c>
      <c r="FE50" s="13">
        <f>IF('Données projet'!$A$218&gt;35,FE49+FD50-FM49,IF(A50&lt;'Données projet'!$A$218,$FB$205^A50,IF(A50='Données projet'!$A$218,'Données projet'!$B$218,FE49+FD50-FM49)))</f>
        <v>210.20000000000002</v>
      </c>
      <c r="FF50" s="18">
        <f>FE50*VLOOKUP('Données projet'!$B$16,Paramètres!$A$1:$I$89,3,0)*VLOOKUP('Données projet'!$B$16,Paramètres!$A$1:$I$89,5,0)</f>
        <v>167.23512000000002</v>
      </c>
      <c r="FG50" s="14">
        <f t="shared" si="47"/>
        <v>42.470192710511604</v>
      </c>
      <c r="FH50" s="22">
        <f t="shared" si="22"/>
        <v>365.2367529708078</v>
      </c>
      <c r="FI50" s="60">
        <f t="shared" si="23"/>
        <v>658.57008630414111</v>
      </c>
      <c r="FJ50" s="60">
        <f ca="1">AVERAGE(OFFSET($FI$3,0,0,'Données projet'!$E$16+1,1))-AVERAGE(OFFSET($H$3,0,0,'Données projet'!$E$16+1,1))</f>
        <v>219.61164494001008</v>
      </c>
      <c r="FK50" s="60">
        <f t="shared" si="48"/>
        <v>219.59799863414111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10.402930402930403</v>
      </c>
      <c r="FZ50" s="13">
        <f>IF('Données projet'!$A$244&gt;35,FZ49+FY50-GH49,IF(A50&lt;'Données projet'!$A$244,$FW$205^A50,IF(A50='Données projet'!$A$244,'Données projet'!$B$244,FZ49+FY50-GH49)))</f>
        <v>279.92673992673986</v>
      </c>
      <c r="GA50" s="18">
        <f>FZ50*VLOOKUP('Données projet'!$B$17,Paramètres!$A$1:$I$89,3,0)*VLOOKUP('Données projet'!$B$17,Paramètres!$A$1:$I$89,5,0)</f>
        <v>131.00571428571425</v>
      </c>
      <c r="GB50" s="14">
        <f t="shared" si="49"/>
        <v>34.228646041091935</v>
      </c>
      <c r="GC50" s="22">
        <f t="shared" si="25"/>
        <v>287.78317756918744</v>
      </c>
      <c r="GD50" s="60">
        <f t="shared" si="26"/>
        <v>581.11651090252076</v>
      </c>
      <c r="GE50" s="60">
        <f ca="1">AVERAGE(OFFSET($GD$3,0,0,'Données projet'!$E$17+1,1))-AVERAGE(OFFSET($H$3,0,0,'Données projet'!$E$17+1,1))</f>
        <v>147.5699668214238</v>
      </c>
      <c r="GF50" s="60">
        <f t="shared" si="50"/>
        <v>70.653739864908346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>
        <f>GU50*VLOOKUP('Données projet'!$B$18,Paramètres!$A$1:$I$89,3,0)*VLOOKUP('Données projet'!$B$18,Paramètres!$A$1:$I$89,5,0)</f>
        <v>0</v>
      </c>
      <c r="GW50" s="14" t="e">
        <f t="shared" si="51"/>
        <v>#NUM!</v>
      </c>
      <c r="GX50" s="22" t="e">
        <f t="shared" si="28"/>
        <v>#NUM!</v>
      </c>
      <c r="GY50" s="60" t="e">
        <f t="shared" si="29"/>
        <v>#NUM!</v>
      </c>
      <c r="GZ50" s="60">
        <f ca="1">AVERAGE(OFFSET($GY$3,0,0,'Données projet'!$E$18+1,1))-AVERAGE(OFFSET($H$3,0,0,'Données projet'!$E$18+1,1))</f>
        <v>136.03899433512379</v>
      </c>
      <c r="HA50" s="60">
        <f t="shared" si="52"/>
        <v>316.56646692826882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53.325838197024709</v>
      </c>
      <c r="HH50" s="23">
        <f>EXP(-LN(2)/25)*HH49+(1-EXP(-LN(2)/25))/(LN(2)/25)*Calculateur!HC50*Calculateur!HE50*VLOOKUP('Données projet'!$B$18,Paramètres!$A$1:$I$89,3,0)*0.475*44/12</f>
        <v>6.2926687837621742</v>
      </c>
      <c r="HI50" s="23">
        <f>EXP(-LN(2)/2)*HI49+(1-EXP(-LN(2)/2))/(LN(2)/2)*HC50*HF50*VLOOKUP('Données projet'!$B$18,Paramètres!$A$1:$I$89,3,0)*0.475*44/12</f>
        <v>8.0757080026515899E-3</v>
      </c>
      <c r="HJ50" s="24">
        <f t="shared" si="30"/>
        <v>59.626582688789533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705.14140971202096</v>
      </c>
      <c r="S51" s="60">
        <f ca="1">AVERAGE(OFFSET($R$3,0,0,'Données projet'!$E$9+1,1))-AVERAGE(OFFSET($H$3,0,0,'Données projet'!$E$9+1,1))</f>
        <v>384.44848355636935</v>
      </c>
      <c r="T51" s="60">
        <f t="shared" si="34"/>
        <v>203.5274665601915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0">
        <f t="shared" si="5"/>
        <v>654.26480538883823</v>
      </c>
      <c r="AN51" s="60">
        <f ca="1">AVERAGE(OFFSET($AM$3,0,0,'Données projet'!$E$10+1,1))-AVERAGE(OFFSET($H$3,0,0,'Données projet'!$E$10+1,1))</f>
        <v>303.73499739059076</v>
      </c>
      <c r="AO51" s="60">
        <f t="shared" si="36"/>
        <v>172.32171001882188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209.00000000000006</v>
      </c>
      <c r="BE51" s="14">
        <f>BD51*VLOOKUP('Données projet'!$B$11,Paramètres!$A$1:$I$89,3,0)*VLOOKUP('Données projet'!$B$11,Paramètres!$A$1:$I$89,5,0)</f>
        <v>176.06160000000008</v>
      </c>
      <c r="BF51" s="14">
        <f t="shared" si="37"/>
        <v>44.444839741138928</v>
      </c>
      <c r="BG51" s="22">
        <f t="shared" si="7"/>
        <v>384.04871588248375</v>
      </c>
      <c r="BH51" s="60">
        <f t="shared" si="8"/>
        <v>677.38204921581701</v>
      </c>
      <c r="BI51" s="60">
        <f ca="1">AVERAGE(OFFSET($BH$3,0,0,'Données projet'!$E$11+1,1))-AVERAGE(OFFSET($H$3,0,0,'Données projet'!$E$11+1,1))</f>
        <v>352.29660374042186</v>
      </c>
      <c r="BJ51" s="60">
        <f t="shared" si="38"/>
        <v>187.26439695305618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153.82224000000002</v>
      </c>
      <c r="CA51" s="14">
        <f t="shared" si="39"/>
        <v>39.445927244182762</v>
      </c>
      <c r="CB51" s="22">
        <f t="shared" si="10"/>
        <v>336.60872461695169</v>
      </c>
      <c r="CC51" s="60">
        <f t="shared" si="11"/>
        <v>629.94205795028506</v>
      </c>
      <c r="CD51" s="60">
        <f ca="1">AVERAGE(OFFSET($CC$3,0,0,'Données projet'!$E$12+1,1))-AVERAGE(OFFSET($H$3,0,0,'Données projet'!$E$12+1,1))</f>
        <v>277.03735509061545</v>
      </c>
      <c r="CE51" s="60">
        <f t="shared" si="40"/>
        <v>158.16416492761959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185.15640000000002</v>
      </c>
      <c r="CV51" s="14">
        <f t="shared" si="41"/>
        <v>46.467497591770453</v>
      </c>
      <c r="CW51" s="22">
        <f t="shared" si="13"/>
        <v>403.4116216390002</v>
      </c>
      <c r="CX51" s="60">
        <f t="shared" si="14"/>
        <v>696.74495497233352</v>
      </c>
      <c r="CY51" s="60">
        <f ca="1">AVERAGE(OFFSET($CX$3,0,0,'Données projet'!$E$13+1,1))-AVERAGE(OFFSET($H$3,0,0,'Données projet'!$E$13+1,1))</f>
        <v>350.3652766444938</v>
      </c>
      <c r="CZ51" s="60">
        <f t="shared" si="42"/>
        <v>197.04549436738586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8.8000000000000007</v>
      </c>
      <c r="DO51" s="13">
        <f>IF('Données projet'!$A$166&gt;35,DO50+DN51-DW50,IF(A51&lt;'Données projet'!$A$166,$DL$205^A51,IF(A51='Données projet'!$A$166,'Données projet'!$B$166,DO50+DN51-DW50)))</f>
        <v>306.4000000000002</v>
      </c>
      <c r="DP51" s="18">
        <f>DO51*VLOOKUP('Données projet'!$B$14,Paramètres!$A$1:$I$89,3,0)*VLOOKUP('Données projet'!$B$14,Paramètres!$A$1:$I$89,5,0)</f>
        <v>243.77184000000017</v>
      </c>
      <c r="DQ51" s="14">
        <f t="shared" si="43"/>
        <v>59.250322254889241</v>
      </c>
      <c r="DR51" s="22">
        <f t="shared" si="16"/>
        <v>527.76359926059888</v>
      </c>
      <c r="DS51" s="60">
        <f t="shared" si="17"/>
        <v>821.09693259393225</v>
      </c>
      <c r="DT51" s="60">
        <f ca="1">AVERAGE(OFFSET($DS$3,0,0,'Données projet'!$E$14+1,1))-AVERAGE(OFFSET($H$3,0,0,'Données projet'!$E$14+1,1))</f>
        <v>382.01991140382955</v>
      </c>
      <c r="DU51" s="60">
        <f t="shared" si="44"/>
        <v>389.53897948144339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7.6</v>
      </c>
      <c r="EJ51" s="13">
        <f>IF('Données projet'!$A$192&gt;35,EJ50+EI51-ER50,IF(A51&lt;'Données projet'!$A$192,$EG$205^A51,IF(A51='Données projet'!$A$192,'Données projet'!$B$192,EJ50+EI51-ER50)))</f>
        <v>288.80000000000013</v>
      </c>
      <c r="EK51" s="18">
        <f>EJ51*VLOOKUP('Données projet'!$B$15,Paramètres!$A$1:$I$89,3,0)*VLOOKUP('Données projet'!$B$15,Paramètres!$A$1:$I$89,5,0)</f>
        <v>229.76928000000012</v>
      </c>
      <c r="EL51" s="14">
        <f t="shared" si="45"/>
        <v>56.232791559302882</v>
      </c>
      <c r="EM51" s="22">
        <f t="shared" si="19"/>
        <v>498.12027463245266</v>
      </c>
      <c r="EN51" s="60">
        <f t="shared" si="20"/>
        <v>791.45360796578598</v>
      </c>
      <c r="EO51" s="60">
        <f ca="1">AVERAGE(OFFSET($EN$3,0,0,'Données projet'!$E$15+1,1))-AVERAGE(OFFSET($H$3,0,0,'Données projet'!$E$15+1,1))</f>
        <v>323.92137573760789</v>
      </c>
      <c r="EP51" s="60">
        <f t="shared" si="46"/>
        <v>389.53897948144339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2.6</v>
      </c>
      <c r="FE51" s="13">
        <f>IF('Données projet'!$A$218&gt;35,FE50+FD51-FM50,IF(A51&lt;'Données projet'!$A$218,$FB$205^A51,IF(A51='Données projet'!$A$218,'Données projet'!$B$218,FE50+FD51-FM50)))</f>
        <v>212.8</v>
      </c>
      <c r="FF51" s="18">
        <f>FE51*VLOOKUP('Données projet'!$B$16,Paramètres!$A$1:$I$89,3,0)*VLOOKUP('Données projet'!$B$16,Paramètres!$A$1:$I$89,5,0)</f>
        <v>169.30368000000001</v>
      </c>
      <c r="FG51" s="14">
        <f t="shared" si="47"/>
        <v>42.934033834973214</v>
      </c>
      <c r="FH51" s="22">
        <f t="shared" si="22"/>
        <v>369.64735159591169</v>
      </c>
      <c r="FI51" s="60">
        <f t="shared" si="23"/>
        <v>662.98068492924494</v>
      </c>
      <c r="FJ51" s="60">
        <f ca="1">AVERAGE(OFFSET($FI$3,0,0,'Données projet'!$E$16+1,1))-AVERAGE(OFFSET($H$3,0,0,'Données projet'!$E$16+1,1))</f>
        <v>219.61164494001008</v>
      </c>
      <c r="FK51" s="60">
        <f t="shared" si="48"/>
        <v>219.59799863414111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10.402930402930403</v>
      </c>
      <c r="FZ51" s="13">
        <f>IF('Données projet'!$A$244&gt;35,FZ50+FY51-GH50,IF(A51&lt;'Données projet'!$A$244,$FW$205^A51,IF(A51='Données projet'!$A$244,'Données projet'!$B$244,FZ50+FY51-GH50)))</f>
        <v>290.32967032967025</v>
      </c>
      <c r="GA51" s="18">
        <f>FZ51*VLOOKUP('Données projet'!$B$17,Paramètres!$A$1:$I$89,3,0)*VLOOKUP('Données projet'!$B$17,Paramètres!$A$1:$I$89,5,0)</f>
        <v>135.87428571428569</v>
      </c>
      <c r="GB51" s="14">
        <f t="shared" si="49"/>
        <v>35.350223195357941</v>
      </c>
      <c r="GC51" s="22">
        <f t="shared" si="25"/>
        <v>298.21601968429599</v>
      </c>
      <c r="GD51" s="60">
        <f t="shared" si="26"/>
        <v>591.5493530176293</v>
      </c>
      <c r="GE51" s="60">
        <f ca="1">AVERAGE(OFFSET($GD$3,0,0,'Données projet'!$E$17+1,1))-AVERAGE(OFFSET($H$3,0,0,'Données projet'!$E$17+1,1))</f>
        <v>147.5699668214238</v>
      </c>
      <c r="GF51" s="60">
        <f t="shared" si="50"/>
        <v>70.653739864908346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>
        <f>GU51*VLOOKUP('Données projet'!$B$18,Paramètres!$A$1:$I$89,3,0)*VLOOKUP('Données projet'!$B$18,Paramètres!$A$1:$I$89,5,0)</f>
        <v>0</v>
      </c>
      <c r="GW51" s="14" t="e">
        <f t="shared" si="51"/>
        <v>#NUM!</v>
      </c>
      <c r="GX51" s="22" t="e">
        <f t="shared" si="28"/>
        <v>#NUM!</v>
      </c>
      <c r="GY51" s="60" t="e">
        <f t="shared" si="29"/>
        <v>#NUM!</v>
      </c>
      <c r="GZ51" s="60">
        <f ca="1">AVERAGE(OFFSET($GY$3,0,0,'Données projet'!$E$18+1,1))-AVERAGE(OFFSET($H$3,0,0,'Données projet'!$E$18+1,1))</f>
        <v>136.03899433512379</v>
      </c>
      <c r="HA51" s="60">
        <f t="shared" si="52"/>
        <v>316.56646692826882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52.280151035530722</v>
      </c>
      <c r="HH51" s="23">
        <f>EXP(-LN(2)/25)*HH50+(1-EXP(-LN(2)/25))/(LN(2)/25)*Calculateur!HC51*Calculateur!HE51*VLOOKUP('Données projet'!$B$18,Paramètres!$A$1:$I$89,3,0)*0.475*44/12</f>
        <v>6.1205954249531285</v>
      </c>
      <c r="HI51" s="23">
        <f>EXP(-LN(2)/2)*HI50+(1-EXP(-LN(2)/2))/(LN(2)/2)*HC51*HF51*VLOOKUP('Données projet'!$B$18,Paramètres!$A$1:$I$89,3,0)*0.475*44/12</f>
        <v>5.7103878915574086E-3</v>
      </c>
      <c r="HJ51" s="24">
        <f t="shared" si="30"/>
        <v>58.406456848375406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726.29886194422556</v>
      </c>
      <c r="S52" s="60">
        <f ca="1">AVERAGE(OFFSET($R$3,0,0,'Données projet'!$E$9+1,1))-AVERAGE(OFFSET($H$3,0,0,'Données projet'!$E$9+1,1))</f>
        <v>384.44848355636935</v>
      </c>
      <c r="T52" s="60">
        <f t="shared" si="34"/>
        <v>203.5274665601915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0">
        <f t="shared" si="5"/>
        <v>670.08313290501178</v>
      </c>
      <c r="AN52" s="60">
        <f ca="1">AVERAGE(OFFSET($AM$3,0,0,'Données projet'!$E$10+1,1))-AVERAGE(OFFSET($H$3,0,0,'Données projet'!$E$10+1,1))</f>
        <v>303.73499739059076</v>
      </c>
      <c r="AO52" s="60">
        <f t="shared" si="36"/>
        <v>172.32171001882188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220.00000000000006</v>
      </c>
      <c r="BE52" s="14">
        <f>BD52*VLOOKUP('Données projet'!$B$11,Paramètres!$A$1:$I$89,3,0)*VLOOKUP('Données projet'!$B$11,Paramètres!$A$1:$I$89,5,0)</f>
        <v>185.32800000000006</v>
      </c>
      <c r="BF52" s="14">
        <f t="shared" si="37"/>
        <v>46.505548070897625</v>
      </c>
      <c r="BG52" s="22">
        <f t="shared" si="7"/>
        <v>403.77676289014676</v>
      </c>
      <c r="BH52" s="60">
        <f t="shared" si="8"/>
        <v>697.11009622348001</v>
      </c>
      <c r="BI52" s="60">
        <f ca="1">AVERAGE(OFFSET($BH$3,0,0,'Données projet'!$E$11+1,1))-AVERAGE(OFFSET($H$3,0,0,'Données projet'!$E$11+1,1))</f>
        <v>352.29660374042186</v>
      </c>
      <c r="BJ52" s="60">
        <f t="shared" si="38"/>
        <v>187.26439695305618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160.72992000000002</v>
      </c>
      <c r="CA52" s="14">
        <f t="shared" si="39"/>
        <v>41.007107262069759</v>
      </c>
      <c r="CB52" s="22">
        <f t="shared" si="10"/>
        <v>351.35865581477151</v>
      </c>
      <c r="CC52" s="60">
        <f t="shared" si="11"/>
        <v>644.69198914810477</v>
      </c>
      <c r="CD52" s="60">
        <f ca="1">AVERAGE(OFFSET($CC$3,0,0,'Données projet'!$E$12+1,1))-AVERAGE(OFFSET($H$3,0,0,'Données projet'!$E$12+1,1))</f>
        <v>277.03735509061545</v>
      </c>
      <c r="CE52" s="60">
        <f t="shared" si="40"/>
        <v>158.16416492761959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193.47120000000001</v>
      </c>
      <c r="CV52" s="14">
        <f t="shared" si="41"/>
        <v>48.306575382296536</v>
      </c>
      <c r="CW52" s="22">
        <f t="shared" si="13"/>
        <v>421.09629212416644</v>
      </c>
      <c r="CX52" s="60">
        <f t="shared" si="14"/>
        <v>714.4296254574997</v>
      </c>
      <c r="CY52" s="60">
        <f ca="1">AVERAGE(OFFSET($CX$3,0,0,'Données projet'!$E$13+1,1))-AVERAGE(OFFSET($H$3,0,0,'Données projet'!$E$13+1,1))</f>
        <v>350.3652766444938</v>
      </c>
      <c r="CZ52" s="60">
        <f t="shared" si="42"/>
        <v>197.04549436738586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8.8000000000000007</v>
      </c>
      <c r="DO52" s="13">
        <f>IF('Données projet'!$A$166&gt;35,DO51+DN52-DW51,IF(A52&lt;'Données projet'!$A$166,$DL$205^A52,IF(A52='Données projet'!$A$166,'Données projet'!$B$166,DO51+DN52-DW51)))</f>
        <v>315.20000000000022</v>
      </c>
      <c r="DP52" s="18">
        <f>DO52*VLOOKUP('Données projet'!$B$14,Paramètres!$A$1:$I$89,3,0)*VLOOKUP('Données projet'!$B$14,Paramètres!$A$1:$I$89,5,0)</f>
        <v>250.7731200000002</v>
      </c>
      <c r="DQ52" s="14">
        <f t="shared" si="43"/>
        <v>60.751463102181447</v>
      </c>
      <c r="DR52" s="22">
        <f t="shared" si="16"/>
        <v>542.57198223629962</v>
      </c>
      <c r="DS52" s="60">
        <f t="shared" si="17"/>
        <v>835.90531556963288</v>
      </c>
      <c r="DT52" s="60">
        <f ca="1">AVERAGE(OFFSET($DS$3,0,0,'Données projet'!$E$14+1,1))-AVERAGE(OFFSET($H$3,0,0,'Données projet'!$E$14+1,1))</f>
        <v>382.01991140382955</v>
      </c>
      <c r="DU52" s="60">
        <f t="shared" si="44"/>
        <v>389.53897948144339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7.6</v>
      </c>
      <c r="EJ52" s="13">
        <f>IF('Données projet'!$A$192&gt;35,EJ51+EI52-ER51,IF(A52&lt;'Données projet'!$A$192,$EG$205^A52,IF(A52='Données projet'!$A$192,'Données projet'!$B$192,EJ51+EI52-ER51)))</f>
        <v>296.40000000000015</v>
      </c>
      <c r="EK52" s="18">
        <f>EJ52*VLOOKUP('Données projet'!$B$15,Paramètres!$A$1:$I$89,3,0)*VLOOKUP('Données projet'!$B$15,Paramètres!$A$1:$I$89,5,0)</f>
        <v>235.81584000000012</v>
      </c>
      <c r="EL52" s="14">
        <f t="shared" si="45"/>
        <v>57.538368655200898</v>
      </c>
      <c r="EM52" s="22">
        <f t="shared" si="19"/>
        <v>510.92524674114173</v>
      </c>
      <c r="EN52" s="60">
        <f t="shared" si="20"/>
        <v>804.25858007447505</v>
      </c>
      <c r="EO52" s="60">
        <f ca="1">AVERAGE(OFFSET($EN$3,0,0,'Données projet'!$E$15+1,1))-AVERAGE(OFFSET($H$3,0,0,'Données projet'!$E$15+1,1))</f>
        <v>323.92137573760789</v>
      </c>
      <c r="EP52" s="60">
        <f t="shared" si="46"/>
        <v>389.53897948144339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2.6</v>
      </c>
      <c r="FE52" s="13">
        <f>IF('Données projet'!$A$218&gt;35,FE51+FD52-FM51,IF(A52&lt;'Données projet'!$A$218,$FB$205^A52,IF(A52='Données projet'!$A$218,'Données projet'!$B$218,FE51+FD52-FM51)))</f>
        <v>215.4</v>
      </c>
      <c r="FF52" s="18">
        <f>FE52*VLOOKUP('Données projet'!$B$16,Paramètres!$A$1:$I$89,3,0)*VLOOKUP('Données projet'!$B$16,Paramètres!$A$1:$I$89,5,0)</f>
        <v>171.37224000000001</v>
      </c>
      <c r="FG52" s="14">
        <f t="shared" si="47"/>
        <v>43.397215745170669</v>
      </c>
      <c r="FH52" s="22">
        <f t="shared" si="22"/>
        <v>374.05680208950554</v>
      </c>
      <c r="FI52" s="60">
        <f t="shared" si="23"/>
        <v>667.39013542283885</v>
      </c>
      <c r="FJ52" s="60">
        <f ca="1">AVERAGE(OFFSET($FI$3,0,0,'Données projet'!$E$16+1,1))-AVERAGE(OFFSET($H$3,0,0,'Données projet'!$E$16+1,1))</f>
        <v>219.61164494001008</v>
      </c>
      <c r="FK52" s="60">
        <f t="shared" si="48"/>
        <v>219.59799863414111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10.402930402930403</v>
      </c>
      <c r="FZ52" s="13">
        <f>IF('Données projet'!$A$244&gt;35,FZ51+FY52-GH51,IF(A52&lt;'Données projet'!$A$244,$FW$205^A52,IF(A52='Données projet'!$A$244,'Données projet'!$B$244,FZ51+FY52-GH51)))</f>
        <v>300.73260073260064</v>
      </c>
      <c r="GA52" s="18">
        <f>FZ52*VLOOKUP('Données projet'!$B$17,Paramètres!$A$1:$I$89,3,0)*VLOOKUP('Données projet'!$B$17,Paramètres!$A$1:$I$89,5,0)</f>
        <v>140.7428571428571</v>
      </c>
      <c r="GB52" s="14">
        <f t="shared" si="49"/>
        <v>36.467131184587252</v>
      </c>
      <c r="GC52" s="22">
        <f t="shared" si="25"/>
        <v>308.64072967029892</v>
      </c>
      <c r="GD52" s="60">
        <f t="shared" si="26"/>
        <v>601.97406300363218</v>
      </c>
      <c r="GE52" s="60">
        <f ca="1">AVERAGE(OFFSET($GD$3,0,0,'Données projet'!$E$17+1,1))-AVERAGE(OFFSET($H$3,0,0,'Données projet'!$E$17+1,1))</f>
        <v>147.5699668214238</v>
      </c>
      <c r="GF52" s="60">
        <f t="shared" si="50"/>
        <v>70.653739864908346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>
        <f>GU52*VLOOKUP('Données projet'!$B$18,Paramètres!$A$1:$I$89,3,0)*VLOOKUP('Données projet'!$B$18,Paramètres!$A$1:$I$89,5,0)</f>
        <v>0</v>
      </c>
      <c r="GW52" s="14" t="e">
        <f t="shared" si="51"/>
        <v>#NUM!</v>
      </c>
      <c r="GX52" s="22" t="e">
        <f t="shared" si="28"/>
        <v>#NUM!</v>
      </c>
      <c r="GY52" s="60" t="e">
        <f t="shared" si="29"/>
        <v>#NUM!</v>
      </c>
      <c r="GZ52" s="60">
        <f ca="1">AVERAGE(OFFSET($GY$3,0,0,'Données projet'!$E$18+1,1))-AVERAGE(OFFSET($H$3,0,0,'Données projet'!$E$18+1,1))</f>
        <v>136.03899433512379</v>
      </c>
      <c r="HA52" s="60">
        <f t="shared" si="52"/>
        <v>316.56646692826882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51.254969161467443</v>
      </c>
      <c r="HH52" s="23">
        <f>EXP(-LN(2)/25)*HH51+(1-EXP(-LN(2)/25))/(LN(2)/25)*Calculateur!HC52*Calculateur!HE52*VLOOKUP('Données projet'!$B$18,Paramètres!$A$1:$I$89,3,0)*0.475*44/12</f>
        <v>5.953227421189661</v>
      </c>
      <c r="HI52" s="23">
        <f>EXP(-LN(2)/2)*HI51+(1-EXP(-LN(2)/2))/(LN(2)/2)*HC52*HF52*VLOOKUP('Données projet'!$B$18,Paramètres!$A$1:$I$89,3,0)*0.475*44/12</f>
        <v>4.037854001325795E-3</v>
      </c>
      <c r="HJ52" s="24">
        <f t="shared" si="30"/>
        <v>57.212234436658427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747.43411921957727</v>
      </c>
      <c r="S53" s="60">
        <f ca="1">AVERAGE(OFFSET($R$3,0,0,'Données projet'!$E$9+1,1))-AVERAGE(OFFSET($H$3,0,0,'Données projet'!$E$9+1,1))</f>
        <v>384.44848355636935</v>
      </c>
      <c r="T53" s="60">
        <f t="shared" si="34"/>
        <v>203.5274665601915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0">
        <f t="shared" si="5"/>
        <v>685.88700323711032</v>
      </c>
      <c r="AN53" s="60">
        <f ca="1">AVERAGE(OFFSET($AM$3,0,0,'Données projet'!$E$10+1,1))-AVERAGE(OFFSET($H$3,0,0,'Données projet'!$E$10+1,1))</f>
        <v>303.73499739059076</v>
      </c>
      <c r="AO53" s="60">
        <f t="shared" si="36"/>
        <v>172.32171001882188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231.00000000000006</v>
      </c>
      <c r="BE53" s="14">
        <f>BD53*VLOOKUP('Données projet'!$B$11,Paramètres!$A$1:$I$89,3,0)*VLOOKUP('Données projet'!$B$11,Paramètres!$A$1:$I$89,5,0)</f>
        <v>194.59440000000006</v>
      </c>
      <c r="BF53" s="14">
        <f t="shared" si="37"/>
        <v>48.554292648263456</v>
      </c>
      <c r="BG53" s="22">
        <f t="shared" si="7"/>
        <v>423.48397302905897</v>
      </c>
      <c r="BH53" s="60">
        <f t="shared" si="8"/>
        <v>716.81730636239229</v>
      </c>
      <c r="BI53" s="60">
        <f ca="1">AVERAGE(OFFSET($BH$3,0,0,'Données projet'!$E$11+1,1))-AVERAGE(OFFSET($H$3,0,0,'Données projet'!$E$11+1,1))</f>
        <v>352.29660374042186</v>
      </c>
      <c r="BJ53" s="60">
        <f t="shared" si="38"/>
        <v>187.26439695305618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167.63760000000002</v>
      </c>
      <c r="CA53" s="14">
        <f t="shared" si="39"/>
        <v>42.560494420898017</v>
      </c>
      <c r="CB53" s="22">
        <f t="shared" si="10"/>
        <v>366.09501444973074</v>
      </c>
      <c r="CC53" s="60">
        <f t="shared" si="11"/>
        <v>659.42834778306405</v>
      </c>
      <c r="CD53" s="60">
        <f ca="1">AVERAGE(OFFSET($CC$3,0,0,'Données projet'!$E$12+1,1))-AVERAGE(OFFSET($H$3,0,0,'Données projet'!$E$12+1,1))</f>
        <v>277.03735509061545</v>
      </c>
      <c r="CE53" s="60">
        <f t="shared" si="40"/>
        <v>158.16416492761959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201.786</v>
      </c>
      <c r="CV53" s="14">
        <f t="shared" si="41"/>
        <v>50.136473146268756</v>
      </c>
      <c r="CW53" s="22">
        <f t="shared" si="13"/>
        <v>438.76497406308476</v>
      </c>
      <c r="CX53" s="60">
        <f t="shared" si="14"/>
        <v>732.09830739641802</v>
      </c>
      <c r="CY53" s="60">
        <f ca="1">AVERAGE(OFFSET($CX$3,0,0,'Données projet'!$E$13+1,1))-AVERAGE(OFFSET($H$3,0,0,'Données projet'!$E$13+1,1))</f>
        <v>350.3652766444938</v>
      </c>
      <c r="CZ53" s="60">
        <f t="shared" si="42"/>
        <v>197.04549436738586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324</v>
      </c>
      <c r="DM53" s="13">
        <f>VLOOKUP(A53,'Données projet'!$A$165:$I$185,9,0)</f>
        <v>8.8000000000000007</v>
      </c>
      <c r="DN53" s="13">
        <f t="array" ref="DN53">INDEX(DM:DM,MIN(IF(ISNUMBER(DM53:DM249),ROW(DM53:DM249),"")))</f>
        <v>8.8000000000000007</v>
      </c>
      <c r="DO53" s="13">
        <f>IF('Données projet'!$A$166&gt;35,DO52+DN53-DW52,IF(A53&lt;'Données projet'!$A$166,$DL$205^A53,IF(A53='Données projet'!$A$166,'Données projet'!$B$166,DO52+DN53-DW52)))</f>
        <v>324.00000000000023</v>
      </c>
      <c r="DP53" s="18">
        <f>DO53*VLOOKUP('Données projet'!$B$14,Paramètres!$A$1:$I$89,3,0)*VLOOKUP('Données projet'!$B$14,Paramètres!$A$1:$I$89,5,0)</f>
        <v>257.77440000000018</v>
      </c>
      <c r="DQ53" s="14">
        <f t="shared" si="43"/>
        <v>62.24773287213435</v>
      </c>
      <c r="DR53" s="22">
        <f t="shared" si="16"/>
        <v>557.37188141896752</v>
      </c>
      <c r="DS53" s="60">
        <f t="shared" si="17"/>
        <v>850.70521475230089</v>
      </c>
      <c r="DT53" s="60">
        <f ca="1">AVERAGE(OFFSET($DS$3,0,0,'Données projet'!$E$14+1,1))-AVERAGE(OFFSET($H$3,0,0,'Données projet'!$E$14+1,1))</f>
        <v>382.01991140382955</v>
      </c>
      <c r="DU53" s="60">
        <f t="shared" si="44"/>
        <v>389.53897948144339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304</v>
      </c>
      <c r="EH53" s="13">
        <f>VLOOKUP(A53,'Données projet'!$A$191:$I$211,9,0)</f>
        <v>7.6</v>
      </c>
      <c r="EI53" s="13">
        <f t="array" ref="EI53">INDEX(EH:EH,MIN(IF(ISNUMBER(EH53:EH249),ROW(EH53:EH249),"")))</f>
        <v>7.6</v>
      </c>
      <c r="EJ53" s="13">
        <f>IF('Données projet'!$A$192&gt;35,EJ52+EI53-ER52,IF(A53&lt;'Données projet'!$A$192,$EG$205^A53,IF(A53='Données projet'!$A$192,'Données projet'!$B$192,EJ52+EI53-ER52)))</f>
        <v>304.00000000000017</v>
      </c>
      <c r="EK53" s="18">
        <f>EJ53*VLOOKUP('Données projet'!$B$15,Paramètres!$A$1:$I$89,3,0)*VLOOKUP('Données projet'!$B$15,Paramètres!$A$1:$I$89,5,0)</f>
        <v>241.86240000000012</v>
      </c>
      <c r="EL53" s="14">
        <f t="shared" si="45"/>
        <v>58.8400544642151</v>
      </c>
      <c r="EM53" s="22">
        <f t="shared" si="19"/>
        <v>523.72344152517496</v>
      </c>
      <c r="EN53" s="60">
        <f t="shared" si="20"/>
        <v>817.05677485850833</v>
      </c>
      <c r="EO53" s="60">
        <f ca="1">AVERAGE(OFFSET($EN$3,0,0,'Données projet'!$E$15+1,1))-AVERAGE(OFFSET($H$3,0,0,'Données projet'!$E$15+1,1))</f>
        <v>323.92137573760789</v>
      </c>
      <c r="EP53" s="60">
        <f t="shared" si="46"/>
        <v>389.53897948144339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43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218</v>
      </c>
      <c r="FC53" s="13">
        <f>VLOOKUP(A53,'Données projet'!$A$217:$I$237,9,0)</f>
        <v>2.6</v>
      </c>
      <c r="FD53" s="13">
        <f t="array" ref="FD53">INDEX(FC:FC,MIN(IF(ISNUMBER(FC53:FC249),ROW(FC53:FC249),"")))</f>
        <v>2.6</v>
      </c>
      <c r="FE53" s="13">
        <f>IF('Données projet'!$A$218&gt;35,FE52+FD53-FM52,IF(A53&lt;'Données projet'!$A$218,$FB$205^A53,IF(A53='Données projet'!$A$218,'Données projet'!$B$218,FE52+FD53-FM52)))</f>
        <v>218</v>
      </c>
      <c r="FF53" s="18">
        <f>FE53*VLOOKUP('Données projet'!$B$16,Paramètres!$A$1:$I$89,3,0)*VLOOKUP('Données projet'!$B$16,Paramètres!$A$1:$I$89,5,0)</f>
        <v>173.44080000000002</v>
      </c>
      <c r="FG53" s="14">
        <f t="shared" si="47"/>
        <v>43.859747318594479</v>
      </c>
      <c r="FH53" s="22">
        <f t="shared" si="22"/>
        <v>378.46511991321876</v>
      </c>
      <c r="FI53" s="60">
        <f t="shared" si="23"/>
        <v>671.79845324655207</v>
      </c>
      <c r="FJ53" s="60">
        <f ca="1">AVERAGE(OFFSET($FI$3,0,0,'Données projet'!$E$16+1,1))-AVERAGE(OFFSET($H$3,0,0,'Données projet'!$E$16+1,1))</f>
        <v>219.61164494001008</v>
      </c>
      <c r="FK53" s="60">
        <f t="shared" si="48"/>
        <v>219.59799863414111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39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10.402930402930403</v>
      </c>
      <c r="FZ53" s="13">
        <f>IF('Données projet'!$A$244&gt;35,FZ52+FY53-GH52,IF(A53&lt;'Données projet'!$A$244,$FW$205^A53,IF(A53='Données projet'!$A$244,'Données projet'!$B$244,FZ52+FY53-GH52)))</f>
        <v>311.13553113553104</v>
      </c>
      <c r="GA53" s="18">
        <f>FZ53*VLOOKUP('Données projet'!$B$17,Paramètres!$A$1:$I$89,3,0)*VLOOKUP('Données projet'!$B$17,Paramètres!$A$1:$I$89,5,0)</f>
        <v>145.61142857142852</v>
      </c>
      <c r="GB53" s="14">
        <f t="shared" si="49"/>
        <v>37.579550035203404</v>
      </c>
      <c r="GC53" s="22">
        <f t="shared" si="25"/>
        <v>319.05762107321726</v>
      </c>
      <c r="GD53" s="60">
        <f t="shared" si="26"/>
        <v>612.39095440655058</v>
      </c>
      <c r="GE53" s="60">
        <f ca="1">AVERAGE(OFFSET($GD$3,0,0,'Données projet'!$E$17+1,1))-AVERAGE(OFFSET($H$3,0,0,'Données projet'!$E$17+1,1))</f>
        <v>147.5699668214238</v>
      </c>
      <c r="GF53" s="60">
        <f t="shared" si="50"/>
        <v>70.653739864908346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>
        <f>GU53*VLOOKUP('Données projet'!$B$18,Paramètres!$A$1:$I$89,3,0)*VLOOKUP('Données projet'!$B$18,Paramètres!$A$1:$I$89,5,0)</f>
        <v>0</v>
      </c>
      <c r="GW53" s="14" t="e">
        <f t="shared" si="51"/>
        <v>#NUM!</v>
      </c>
      <c r="GX53" s="22" t="e">
        <f t="shared" si="28"/>
        <v>#NUM!</v>
      </c>
      <c r="GY53" s="60" t="e">
        <f t="shared" si="29"/>
        <v>#NUM!</v>
      </c>
      <c r="GZ53" s="60">
        <f ca="1">AVERAGE(OFFSET($GY$3,0,0,'Données projet'!$E$18+1,1))-AVERAGE(OFFSET($H$3,0,0,'Données projet'!$E$18+1,1))</f>
        <v>136.03899433512379</v>
      </c>
      <c r="HA53" s="60">
        <f t="shared" si="52"/>
        <v>316.56646692826882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50.249890478655345</v>
      </c>
      <c r="HH53" s="23">
        <f>EXP(-LN(2)/25)*HH52+(1-EXP(-LN(2)/25))/(LN(2)/25)*Calculateur!HC53*Calculateur!HE53*VLOOKUP('Données projet'!$B$18,Paramètres!$A$1:$I$89,3,0)*0.475*44/12</f>
        <v>5.7904361042906061</v>
      </c>
      <c r="HI53" s="23">
        <f>EXP(-LN(2)/2)*HI52+(1-EXP(-LN(2)/2))/(LN(2)/2)*HC53*HF53*VLOOKUP('Données projet'!$B$18,Paramètres!$A$1:$I$89,3,0)*0.475*44/12</f>
        <v>2.8551939457787043E-3</v>
      </c>
      <c r="HJ53" s="24">
        <f t="shared" si="30"/>
        <v>56.043181776891728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767.01346305295999</v>
      </c>
      <c r="S54" s="60">
        <f ca="1">AVERAGE(OFFSET($R$3,0,0,'Données projet'!$E$9+1,1))-AVERAGE(OFFSET($H$3,0,0,'Données projet'!$E$9+1,1))</f>
        <v>384.44848355636935</v>
      </c>
      <c r="T54" s="60">
        <f t="shared" si="34"/>
        <v>203.5274665601915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0">
        <f t="shared" si="5"/>
        <v>620.26096644164511</v>
      </c>
      <c r="AN54" s="60">
        <f ca="1">AVERAGE(OFFSET($AM$3,0,0,'Données projet'!$E$10+1,1))-AVERAGE(OFFSET($H$3,0,0,'Données projet'!$E$10+1,1))</f>
        <v>303.73499739059076</v>
      </c>
      <c r="AO54" s="60">
        <f t="shared" si="36"/>
        <v>172.32171001882188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241.20000000000005</v>
      </c>
      <c r="BE54" s="14">
        <f>BD54*VLOOKUP('Données projet'!$B$11,Paramètres!$A$1:$I$89,3,0)*VLOOKUP('Données projet'!$B$11,Paramètres!$A$1:$I$89,5,0)</f>
        <v>203.18688000000009</v>
      </c>
      <c r="BF54" s="14">
        <f t="shared" si="37"/>
        <v>50.443901791793827</v>
      </c>
      <c r="BG54" s="22">
        <f t="shared" si="7"/>
        <v>441.74027828737439</v>
      </c>
      <c r="BH54" s="60">
        <f t="shared" si="8"/>
        <v>735.07361162070765</v>
      </c>
      <c r="BI54" s="60">
        <f ca="1">AVERAGE(OFFSET($BH$3,0,0,'Données projet'!$E$11+1,1))-AVERAGE(OFFSET($H$3,0,0,'Données projet'!$E$11+1,1))</f>
        <v>352.29660374042186</v>
      </c>
      <c r="BJ54" s="60">
        <f t="shared" si="38"/>
        <v>187.26439695305618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138.99600000000001</v>
      </c>
      <c r="CA54" s="14">
        <f t="shared" si="39"/>
        <v>36.066906938767758</v>
      </c>
      <c r="CB54" s="22">
        <f t="shared" si="10"/>
        <v>304.90122958502047</v>
      </c>
      <c r="CC54" s="60">
        <f t="shared" si="11"/>
        <v>598.23456291835373</v>
      </c>
      <c r="CD54" s="60">
        <f ca="1">AVERAGE(OFFSET($CC$3,0,0,'Données projet'!$E$12+1,1))-AVERAGE(OFFSET($H$3,0,0,'Données projet'!$E$12+1,1))</f>
        <v>277.03735509061545</v>
      </c>
      <c r="CE54" s="60">
        <f t="shared" si="40"/>
        <v>158.16416492761959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167.31</v>
      </c>
      <c r="CV54" s="14">
        <f t="shared" si="41"/>
        <v>42.486994942347515</v>
      </c>
      <c r="CW54" s="22">
        <f t="shared" si="13"/>
        <v>365.39643285792187</v>
      </c>
      <c r="CX54" s="60">
        <f t="shared" si="14"/>
        <v>658.72976619125518</v>
      </c>
      <c r="CY54" s="60">
        <f ca="1">AVERAGE(OFFSET($CX$3,0,0,'Données projet'!$E$13+1,1))-AVERAGE(OFFSET($H$3,0,0,'Données projet'!$E$13+1,1))</f>
        <v>350.3652766444938</v>
      </c>
      <c r="CZ54" s="60">
        <f t="shared" si="42"/>
        <v>197.04549436738586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7.8</v>
      </c>
      <c r="DO54" s="13">
        <f>IF('Données projet'!$A$166&gt;35,DO53+DN54-DW53,IF(A54&lt;'Données projet'!$A$166,$DL$205^A54,IF(A54='Données projet'!$A$166,'Données projet'!$B$166,DO53+DN54-DW53)))</f>
        <v>331.80000000000024</v>
      </c>
      <c r="DP54" s="18">
        <f>DO54*VLOOKUP('Données projet'!$B$14,Paramètres!$A$1:$I$89,3,0)*VLOOKUP('Données projet'!$B$14,Paramètres!$A$1:$I$89,5,0)</f>
        <v>263.98008000000021</v>
      </c>
      <c r="DQ54" s="14">
        <f t="shared" si="43"/>
        <v>63.57001859040966</v>
      </c>
      <c r="DR54" s="22">
        <f t="shared" si="16"/>
        <v>570.48308837829723</v>
      </c>
      <c r="DS54" s="60">
        <f t="shared" si="17"/>
        <v>863.81642171163048</v>
      </c>
      <c r="DT54" s="60">
        <f ca="1">AVERAGE(OFFSET($DS$3,0,0,'Données projet'!$E$14+1,1))-AVERAGE(OFFSET($H$3,0,0,'Données projet'!$E$14+1,1))</f>
        <v>382.01991140382955</v>
      </c>
      <c r="DU54" s="60">
        <f t="shared" si="44"/>
        <v>389.53897948144339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6.8</v>
      </c>
      <c r="EJ54" s="13">
        <f>IF('Données projet'!$A$192&gt;35,EJ53+EI54-ER53,IF(A54&lt;'Données projet'!$A$192,$EG$205^A54,IF(A54='Données projet'!$A$192,'Données projet'!$B$192,EJ53+EI54-ER53)))</f>
        <v>267.80000000000018</v>
      </c>
      <c r="EK54" s="18">
        <f>EJ54*VLOOKUP('Données projet'!$B$15,Paramètres!$A$1:$I$89,3,0)*VLOOKUP('Données projet'!$B$15,Paramètres!$A$1:$I$89,5,0)</f>
        <v>213.06168000000014</v>
      </c>
      <c r="EL54" s="14">
        <f t="shared" si="45"/>
        <v>52.604075157965127</v>
      </c>
      <c r="EM54" s="22">
        <f t="shared" si="19"/>
        <v>462.70119023345609</v>
      </c>
      <c r="EN54" s="60">
        <f t="shared" si="20"/>
        <v>756.0345235667894</v>
      </c>
      <c r="EO54" s="60">
        <f ca="1">AVERAGE(OFFSET($EN$3,0,0,'Données projet'!$E$15+1,1))-AVERAGE(OFFSET($H$3,0,0,'Données projet'!$E$15+1,1))</f>
        <v>323.92137573760789</v>
      </c>
      <c r="EP54" s="60">
        <f t="shared" si="46"/>
        <v>389.53897948144339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10.8</v>
      </c>
      <c r="FE54" s="13">
        <f>IF('Données projet'!$A$218&gt;35,FE53+FD54-FM53,IF(A54&lt;'Données projet'!$A$218,$FB$205^A54,IF(A54='Données projet'!$A$218,'Données projet'!$B$218,FE53+FD54-FM53)))</f>
        <v>189.8</v>
      </c>
      <c r="FF54" s="18">
        <f>FE54*VLOOKUP('Données projet'!$B$16,Paramètres!$A$1:$I$89,3,0)*VLOOKUP('Données projet'!$B$16,Paramètres!$A$1:$I$89,5,0)</f>
        <v>151.00488000000001</v>
      </c>
      <c r="FG54" s="14">
        <f t="shared" si="47"/>
        <v>38.80685939084016</v>
      </c>
      <c r="FH54" s="22">
        <f t="shared" si="22"/>
        <v>330.58877943904662</v>
      </c>
      <c r="FI54" s="60">
        <f t="shared" si="23"/>
        <v>623.92211277237993</v>
      </c>
      <c r="FJ54" s="60">
        <f ca="1">AVERAGE(OFFSET($FI$3,0,0,'Données projet'!$E$16+1,1))-AVERAGE(OFFSET($H$3,0,0,'Données projet'!$E$16+1,1))</f>
        <v>219.61164494001008</v>
      </c>
      <c r="FK54" s="60">
        <f t="shared" si="48"/>
        <v>219.59799863414111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>
        <f>VLOOKUP(A54,'Données projet'!$A$243:$I$263,2,0)</f>
        <v>321.53846153846155</v>
      </c>
      <c r="FX54" s="13">
        <f>VLOOKUP(A54,'Données projet'!$A$243:$I$263,9,0)</f>
        <v>10.402930402930403</v>
      </c>
      <c r="FY54" s="13">
        <f t="array" ref="FY54">INDEX(FX:FX,MIN(IF(ISNUMBER(FX54:FX250),ROW(FX54:FX250),"")))</f>
        <v>10.402930402930403</v>
      </c>
      <c r="FZ54" s="13">
        <f>IF('Données projet'!$A$244&gt;35,FZ53+FY54-GH53,IF(A54&lt;'Données projet'!$A$244,$FW$205^A54,IF(A54='Données projet'!$A$244,'Données projet'!$B$244,FZ53+FY54-GH53)))</f>
        <v>321.53846153846143</v>
      </c>
      <c r="GA54" s="18">
        <f>FZ54*VLOOKUP('Données projet'!$B$17,Paramètres!$A$1:$I$89,3,0)*VLOOKUP('Données projet'!$B$17,Paramètres!$A$1:$I$89,5,0)</f>
        <v>150.47999999999996</v>
      </c>
      <c r="GB54" s="14">
        <f t="shared" si="49"/>
        <v>38.687647052039566</v>
      </c>
      <c r="GC54" s="22">
        <f t="shared" si="25"/>
        <v>329.46698528230218</v>
      </c>
      <c r="GD54" s="60">
        <f t="shared" si="26"/>
        <v>622.80031861563543</v>
      </c>
      <c r="GE54" s="60">
        <f ca="1">AVERAGE(OFFSET($GD$3,0,0,'Données projet'!$E$17+1,1))-AVERAGE(OFFSET($H$3,0,0,'Données projet'!$E$17+1,1))</f>
        <v>147.5699668214238</v>
      </c>
      <c r="GF54" s="60">
        <f t="shared" si="50"/>
        <v>70.653739864908346</v>
      </c>
      <c r="GG54" s="16">
        <f>IF(ISNA(VLOOKUP(A54,'Données projet'!$A$243:$I$263,3,0)),0,VLOOKUP(A54,'Données projet'!$A$243:$I$263,3,0))</f>
        <v>1</v>
      </c>
      <c r="GH54" s="16">
        <f>IF(ISNA(VLOOKUP(A54,'Données projet'!$A$243:$I$263,4,0)),0,VLOOKUP(A54,'Données projet'!$A$243:$I$263,4,0))</f>
        <v>100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>
        <f>GU54*VLOOKUP('Données projet'!$B$18,Paramètres!$A$1:$I$89,3,0)*VLOOKUP('Données projet'!$B$18,Paramètres!$A$1:$I$89,5,0)</f>
        <v>0</v>
      </c>
      <c r="GW54" s="14" t="e">
        <f t="shared" si="51"/>
        <v>#NUM!</v>
      </c>
      <c r="GX54" s="22" t="e">
        <f t="shared" si="28"/>
        <v>#NUM!</v>
      </c>
      <c r="GY54" s="60" t="e">
        <f t="shared" si="29"/>
        <v>#NUM!</v>
      </c>
      <c r="GZ54" s="60">
        <f ca="1">AVERAGE(OFFSET($GY$3,0,0,'Données projet'!$E$18+1,1))-AVERAGE(OFFSET($H$3,0,0,'Données projet'!$E$18+1,1))</f>
        <v>136.03899433512379</v>
      </c>
      <c r="HA54" s="60">
        <f t="shared" si="52"/>
        <v>316.56646692826882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49.264520775775729</v>
      </c>
      <c r="HH54" s="23">
        <f>EXP(-LN(2)/25)*HH53+(1-EXP(-LN(2)/25))/(LN(2)/25)*Calculateur!HC54*Calculateur!HE54*VLOOKUP('Données projet'!$B$18,Paramètres!$A$1:$I$89,3,0)*0.475*44/12</f>
        <v>5.6320963245129789</v>
      </c>
      <c r="HI54" s="23">
        <f>EXP(-LN(2)/2)*HI53+(1-EXP(-LN(2)/2))/(LN(2)/2)*HC54*HF54*VLOOKUP('Données projet'!$B$18,Paramètres!$A$1:$I$89,3,0)*0.475*44/12</f>
        <v>2.0189270006628975E-3</v>
      </c>
      <c r="HJ54" s="24">
        <f t="shared" si="30"/>
        <v>54.898636027289371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786.57558808183126</v>
      </c>
      <c r="S55" s="60">
        <f ca="1">AVERAGE(OFFSET($R$3,0,0,'Données projet'!$E$9+1,1))-AVERAGE(OFFSET($H$3,0,0,'Données projet'!$E$9+1,1))</f>
        <v>384.44848355636935</v>
      </c>
      <c r="T55" s="60">
        <f t="shared" si="34"/>
        <v>203.5274665601915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0">
        <f t="shared" si="5"/>
        <v>635.72643681712532</v>
      </c>
      <c r="AN55" s="60">
        <f ca="1">AVERAGE(OFFSET($AM$3,0,0,'Données projet'!$E$10+1,1))-AVERAGE(OFFSET($H$3,0,0,'Données projet'!$E$10+1,1))</f>
        <v>303.73499739059076</v>
      </c>
      <c r="AO55" s="60">
        <f t="shared" si="36"/>
        <v>172.32171001882188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251.40000000000003</v>
      </c>
      <c r="BE55" s="14">
        <f>BD55*VLOOKUP('Données projet'!$B$11,Paramètres!$A$1:$I$89,3,0)*VLOOKUP('Données projet'!$B$11,Paramètres!$A$1:$I$89,5,0)</f>
        <v>211.77936000000005</v>
      </c>
      <c r="BF55" s="14">
        <f t="shared" si="37"/>
        <v>52.324229479404138</v>
      </c>
      <c r="BG55" s="22">
        <f t="shared" si="7"/>
        <v>459.98041834329564</v>
      </c>
      <c r="BH55" s="60">
        <f t="shared" si="8"/>
        <v>753.31375167662895</v>
      </c>
      <c r="BI55" s="60">
        <f ca="1">AVERAGE(OFFSET($BH$3,0,0,'Données projet'!$E$11+1,1))-AVERAGE(OFFSET($H$3,0,0,'Données projet'!$E$11+1,1))</f>
        <v>352.29660374042186</v>
      </c>
      <c r="BJ55" s="60">
        <f t="shared" si="38"/>
        <v>187.26439695305618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145.73520000000002</v>
      </c>
      <c r="CA55" s="14">
        <f t="shared" si="39"/>
        <v>37.607773527116258</v>
      </c>
      <c r="CB55" s="22">
        <f t="shared" si="10"/>
        <v>319.32234555972747</v>
      </c>
      <c r="CC55" s="60">
        <f t="shared" si="11"/>
        <v>612.65567889306078</v>
      </c>
      <c r="CD55" s="60">
        <f ca="1">AVERAGE(OFFSET($CC$3,0,0,'Données projet'!$E$12+1,1))-AVERAGE(OFFSET($H$3,0,0,'Données projet'!$E$12+1,1))</f>
        <v>277.03735509061545</v>
      </c>
      <c r="CE55" s="60">
        <f t="shared" si="40"/>
        <v>158.16416492761959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175.422</v>
      </c>
      <c r="CV55" s="14">
        <f t="shared" si="41"/>
        <v>44.302143412304737</v>
      </c>
      <c r="CW55" s="22">
        <f t="shared" si="13"/>
        <v>382.68621644309741</v>
      </c>
      <c r="CX55" s="60">
        <f t="shared" si="14"/>
        <v>676.01954977643072</v>
      </c>
      <c r="CY55" s="60">
        <f ca="1">AVERAGE(OFFSET($CX$3,0,0,'Données projet'!$E$13+1,1))-AVERAGE(OFFSET($H$3,0,0,'Données projet'!$E$13+1,1))</f>
        <v>350.3652766444938</v>
      </c>
      <c r="CZ55" s="60">
        <f t="shared" si="42"/>
        <v>197.04549436738586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7.8</v>
      </c>
      <c r="DO55" s="13">
        <f>IF('Données projet'!$A$166&gt;35,DO54+DN55-DW54,IF(A55&lt;'Données projet'!$A$166,$DL$205^A55,IF(A55='Données projet'!$A$166,'Données projet'!$B$166,DO54+DN55-DW54)))</f>
        <v>339.60000000000025</v>
      </c>
      <c r="DP55" s="18">
        <f>DO55*VLOOKUP('Données projet'!$B$14,Paramètres!$A$1:$I$89,3,0)*VLOOKUP('Données projet'!$B$14,Paramètres!$A$1:$I$89,5,0)</f>
        <v>270.18576000000024</v>
      </c>
      <c r="DQ55" s="14">
        <f t="shared" si="43"/>
        <v>64.888690669952183</v>
      </c>
      <c r="DR55" s="22">
        <f t="shared" si="16"/>
        <v>583.58800158350039</v>
      </c>
      <c r="DS55" s="60">
        <f t="shared" si="17"/>
        <v>876.92133491683376</v>
      </c>
      <c r="DT55" s="60">
        <f ca="1">AVERAGE(OFFSET($DS$3,0,0,'Données projet'!$E$14+1,1))-AVERAGE(OFFSET($H$3,0,0,'Données projet'!$E$14+1,1))</f>
        <v>382.01991140382955</v>
      </c>
      <c r="DU55" s="60">
        <f t="shared" si="44"/>
        <v>389.53897948144339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6.8</v>
      </c>
      <c r="EJ55" s="13">
        <f>IF('Données projet'!$A$192&gt;35,EJ54+EI55-ER54,IF(A55&lt;'Données projet'!$A$192,$EG$205^A55,IF(A55='Données projet'!$A$192,'Données projet'!$B$192,EJ54+EI55-ER54)))</f>
        <v>274.60000000000019</v>
      </c>
      <c r="EK55" s="18">
        <f>EJ55*VLOOKUP('Données projet'!$B$15,Paramètres!$A$1:$I$89,3,0)*VLOOKUP('Données projet'!$B$15,Paramètres!$A$1:$I$89,5,0)</f>
        <v>218.47176000000016</v>
      </c>
      <c r="EL55" s="14">
        <f t="shared" si="45"/>
        <v>53.782595672153164</v>
      </c>
      <c r="EM55" s="22">
        <f t="shared" si="19"/>
        <v>474.17633612900028</v>
      </c>
      <c r="EN55" s="60">
        <f t="shared" si="20"/>
        <v>767.50966946233359</v>
      </c>
      <c r="EO55" s="60">
        <f ca="1">AVERAGE(OFFSET($EN$3,0,0,'Données projet'!$E$15+1,1))-AVERAGE(OFFSET($H$3,0,0,'Données projet'!$E$15+1,1))</f>
        <v>323.92137573760789</v>
      </c>
      <c r="EP55" s="60">
        <f t="shared" si="46"/>
        <v>389.53897948144339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10.8</v>
      </c>
      <c r="FE55" s="13">
        <f>IF('Données projet'!$A$218&gt;35,FE54+FD55-FM54,IF(A55&lt;'Données projet'!$A$218,$FB$205^A55,IF(A55='Données projet'!$A$218,'Données projet'!$B$218,FE54+FD55-FM54)))</f>
        <v>200.60000000000002</v>
      </c>
      <c r="FF55" s="18">
        <f>FE55*VLOOKUP('Données projet'!$B$16,Paramètres!$A$1:$I$89,3,0)*VLOOKUP('Données projet'!$B$16,Paramètres!$A$1:$I$89,5,0)</f>
        <v>159.59736000000004</v>
      </c>
      <c r="FG55" s="14">
        <f t="shared" si="47"/>
        <v>40.751685517297737</v>
      </c>
      <c r="FH55" s="22">
        <f t="shared" si="22"/>
        <v>348.94125427596026</v>
      </c>
      <c r="FI55" s="60">
        <f t="shared" si="23"/>
        <v>642.27458760929358</v>
      </c>
      <c r="FJ55" s="60">
        <f ca="1">AVERAGE(OFFSET($FI$3,0,0,'Données projet'!$E$16+1,1))-AVERAGE(OFFSET($H$3,0,0,'Données projet'!$E$16+1,1))</f>
        <v>219.61164494001008</v>
      </c>
      <c r="FK55" s="60">
        <f t="shared" si="48"/>
        <v>219.59799863414111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10.769230769230768</v>
      </c>
      <c r="FZ55" s="13">
        <f>IF('Données projet'!$A$244&gt;35,FZ54+FY55-GH54,IF(A55&lt;'Données projet'!$A$244,$FW$205^A55,IF(A55='Données projet'!$A$244,'Données projet'!$B$244,FZ54+FY55-GH54)))</f>
        <v>232.30769230769221</v>
      </c>
      <c r="GA55" s="18">
        <f>FZ55*VLOOKUP('Données projet'!$B$17,Paramètres!$A$1:$I$89,3,0)*VLOOKUP('Données projet'!$B$17,Paramètres!$A$1:$I$89,5,0)</f>
        <v>108.71999999999996</v>
      </c>
      <c r="GB55" s="14">
        <f t="shared" si="49"/>
        <v>29.029201459451464</v>
      </c>
      <c r="GC55" s="22">
        <f t="shared" si="25"/>
        <v>239.91319254187792</v>
      </c>
      <c r="GD55" s="60">
        <f t="shared" si="26"/>
        <v>533.2465258752112</v>
      </c>
      <c r="GE55" s="60">
        <f ca="1">AVERAGE(OFFSET($GD$3,0,0,'Données projet'!$E$17+1,1))-AVERAGE(OFFSET($H$3,0,0,'Données projet'!$E$17+1,1))</f>
        <v>147.5699668214238</v>
      </c>
      <c r="GF55" s="60">
        <f t="shared" si="50"/>
        <v>70.653739864908346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>
        <f>GU55*VLOOKUP('Données projet'!$B$18,Paramètres!$A$1:$I$89,3,0)*VLOOKUP('Données projet'!$B$18,Paramètres!$A$1:$I$89,5,0)</f>
        <v>0</v>
      </c>
      <c r="GW55" s="14" t="e">
        <f t="shared" si="51"/>
        <v>#NUM!</v>
      </c>
      <c r="GX55" s="22" t="e">
        <f t="shared" si="28"/>
        <v>#NUM!</v>
      </c>
      <c r="GY55" s="60" t="e">
        <f t="shared" si="29"/>
        <v>#NUM!</v>
      </c>
      <c r="GZ55" s="60">
        <f ca="1">AVERAGE(OFFSET($GY$3,0,0,'Données projet'!$E$18+1,1))-AVERAGE(OFFSET($H$3,0,0,'Données projet'!$E$18+1,1))</f>
        <v>136.03899433512379</v>
      </c>
      <c r="HA55" s="60">
        <f t="shared" si="52"/>
        <v>316.56646692826882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48.298473571753405</v>
      </c>
      <c r="HH55" s="23">
        <f>EXP(-LN(2)/25)*HH54+(1-EXP(-LN(2)/25))/(LN(2)/25)*Calculateur!HC55*Calculateur!HE55*VLOOKUP('Données projet'!$B$18,Paramètres!$A$1:$I$89,3,0)*0.475*44/12</f>
        <v>5.4780863543400979</v>
      </c>
      <c r="HI55" s="23">
        <f>EXP(-LN(2)/2)*HI54+(1-EXP(-LN(2)/2))/(LN(2)/2)*HC55*HF55*VLOOKUP('Données projet'!$B$18,Paramètres!$A$1:$I$89,3,0)*0.475*44/12</f>
        <v>1.4275969728893521E-3</v>
      </c>
      <c r="HJ55" s="24">
        <f t="shared" si="30"/>
        <v>53.777987523066393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806.12127283656628</v>
      </c>
      <c r="S56" s="60">
        <f ca="1">AVERAGE(OFFSET($R$3,0,0,'Données projet'!$E$9+1,1))-AVERAGE(OFFSET($H$3,0,0,'Données projet'!$E$9+1,1))</f>
        <v>384.44848355636935</v>
      </c>
      <c r="T56" s="60">
        <f t="shared" si="34"/>
        <v>203.5274665601915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0">
        <f t="shared" si="5"/>
        <v>651.17655593527957</v>
      </c>
      <c r="AN56" s="60">
        <f ca="1">AVERAGE(OFFSET($AM$3,0,0,'Données projet'!$E$10+1,1))-AVERAGE(OFFSET($H$3,0,0,'Données projet'!$E$10+1,1))</f>
        <v>303.73499739059076</v>
      </c>
      <c r="AO56" s="60">
        <f t="shared" si="36"/>
        <v>172.32171001882188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261.60000000000002</v>
      </c>
      <c r="BE56" s="14">
        <f>BD56*VLOOKUP('Données projet'!$B$11,Paramètres!$A$1:$I$89,3,0)*VLOOKUP('Données projet'!$B$11,Paramètres!$A$1:$I$89,5,0)</f>
        <v>220.37184000000002</v>
      </c>
      <c r="BF56" s="14">
        <f t="shared" si="37"/>
        <v>54.195695362491193</v>
      </c>
      <c r="BG56" s="22">
        <f t="shared" si="7"/>
        <v>478.20512408967215</v>
      </c>
      <c r="BH56" s="60">
        <f t="shared" si="8"/>
        <v>771.53845742300541</v>
      </c>
      <c r="BI56" s="60">
        <f ca="1">AVERAGE(OFFSET($BH$3,0,0,'Données projet'!$E$11+1,1))-AVERAGE(OFFSET($H$3,0,0,'Données projet'!$E$11+1,1))</f>
        <v>352.29660374042186</v>
      </c>
      <c r="BJ56" s="60">
        <f t="shared" si="38"/>
        <v>187.26439695305618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152.47440000000003</v>
      </c>
      <c r="CA56" s="14">
        <f t="shared" si="39"/>
        <v>39.140365323908171</v>
      </c>
      <c r="CB56" s="22">
        <f t="shared" si="10"/>
        <v>333.72904960580678</v>
      </c>
      <c r="CC56" s="60">
        <f t="shared" si="11"/>
        <v>627.06238293914009</v>
      </c>
      <c r="CD56" s="60">
        <f ca="1">AVERAGE(OFFSET($CC$3,0,0,'Données projet'!$E$12+1,1))-AVERAGE(OFFSET($H$3,0,0,'Données projet'!$E$12+1,1))</f>
        <v>277.03735509061545</v>
      </c>
      <c r="CE56" s="60">
        <f t="shared" si="40"/>
        <v>158.16416492761959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183.53400000000002</v>
      </c>
      <c r="CV56" s="14">
        <f t="shared" si="41"/>
        <v>46.107544136839593</v>
      </c>
      <c r="CW56" s="22">
        <f t="shared" si="13"/>
        <v>399.95902270499568</v>
      </c>
      <c r="CX56" s="60">
        <f t="shared" si="14"/>
        <v>693.29235603832899</v>
      </c>
      <c r="CY56" s="60">
        <f ca="1">AVERAGE(OFFSET($CX$3,0,0,'Données projet'!$E$13+1,1))-AVERAGE(OFFSET($H$3,0,0,'Données projet'!$E$13+1,1))</f>
        <v>350.3652766444938</v>
      </c>
      <c r="CZ56" s="60">
        <f t="shared" si="42"/>
        <v>197.04549436738586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7.8</v>
      </c>
      <c r="DO56" s="13">
        <f>IF('Données projet'!$A$166&gt;35,DO55+DN56-DW55,IF(A56&lt;'Données projet'!$A$166,$DL$205^A56,IF(A56='Données projet'!$A$166,'Données projet'!$B$166,DO55+DN56-DW55)))</f>
        <v>347.40000000000026</v>
      </c>
      <c r="DP56" s="18">
        <f>DO56*VLOOKUP('Données projet'!$B$14,Paramètres!$A$1:$I$89,3,0)*VLOOKUP('Données projet'!$B$14,Paramètres!$A$1:$I$89,5,0)</f>
        <v>276.39144000000022</v>
      </c>
      <c r="DQ56" s="14">
        <f t="shared" si="43"/>
        <v>66.203841663281963</v>
      </c>
      <c r="DR56" s="22">
        <f t="shared" si="16"/>
        <v>596.68678223021652</v>
      </c>
      <c r="DS56" s="60">
        <f t="shared" si="17"/>
        <v>890.02011556354978</v>
      </c>
      <c r="DT56" s="60">
        <f ca="1">AVERAGE(OFFSET($DS$3,0,0,'Données projet'!$E$14+1,1))-AVERAGE(OFFSET($H$3,0,0,'Données projet'!$E$14+1,1))</f>
        <v>382.01991140382955</v>
      </c>
      <c r="DU56" s="60">
        <f t="shared" si="44"/>
        <v>389.53897948144339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6.8</v>
      </c>
      <c r="EJ56" s="13">
        <f>IF('Données projet'!$A$192&gt;35,EJ55+EI56-ER55,IF(A56&lt;'Données projet'!$A$192,$EG$205^A56,IF(A56='Données projet'!$A$192,'Données projet'!$B$192,EJ55+EI56-ER55)))</f>
        <v>281.4000000000002</v>
      </c>
      <c r="EK56" s="18">
        <f>EJ56*VLOOKUP('Données projet'!$B$15,Paramètres!$A$1:$I$89,3,0)*VLOOKUP('Données projet'!$B$15,Paramètres!$A$1:$I$89,5,0)</f>
        <v>223.88184000000015</v>
      </c>
      <c r="EL56" s="14">
        <f t="shared" si="45"/>
        <v>54.95772368792867</v>
      </c>
      <c r="EM56" s="22">
        <f t="shared" si="19"/>
        <v>485.64557342314265</v>
      </c>
      <c r="EN56" s="60">
        <f t="shared" si="20"/>
        <v>778.97890675647591</v>
      </c>
      <c r="EO56" s="60">
        <f ca="1">AVERAGE(OFFSET($EN$3,0,0,'Données projet'!$E$15+1,1))-AVERAGE(OFFSET($H$3,0,0,'Données projet'!$E$15+1,1))</f>
        <v>323.92137573760789</v>
      </c>
      <c r="EP56" s="60">
        <f t="shared" si="46"/>
        <v>389.53897948144339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10.8</v>
      </c>
      <c r="FE56" s="13">
        <f>IF('Données projet'!$A$218&gt;35,FE55+FD56-FM55,IF(A56&lt;'Données projet'!$A$218,$FB$205^A56,IF(A56='Données projet'!$A$218,'Données projet'!$B$218,FE55+FD56-FM55)))</f>
        <v>211.40000000000003</v>
      </c>
      <c r="FF56" s="18">
        <f>FE56*VLOOKUP('Données projet'!$B$16,Paramètres!$A$1:$I$89,3,0)*VLOOKUP('Données projet'!$B$16,Paramètres!$A$1:$I$89,5,0)</f>
        <v>168.18984000000003</v>
      </c>
      <c r="FG56" s="14">
        <f t="shared" si="47"/>
        <v>42.684355718695393</v>
      </c>
      <c r="FH56" s="22">
        <f t="shared" si="22"/>
        <v>367.2725575433945</v>
      </c>
      <c r="FI56" s="60">
        <f t="shared" si="23"/>
        <v>660.60589087672781</v>
      </c>
      <c r="FJ56" s="60">
        <f ca="1">AVERAGE(OFFSET($FI$3,0,0,'Données projet'!$E$16+1,1))-AVERAGE(OFFSET($H$3,0,0,'Données projet'!$E$16+1,1))</f>
        <v>219.61164494001008</v>
      </c>
      <c r="FK56" s="60">
        <f t="shared" si="48"/>
        <v>219.59799863414111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10.769230769230768</v>
      </c>
      <c r="FZ56" s="13">
        <f>IF('Données projet'!$A$244&gt;35,FZ55+FY56-GH55,IF(A56&lt;'Données projet'!$A$244,$FW$205^A56,IF(A56='Données projet'!$A$244,'Données projet'!$B$244,FZ55+FY56-GH55)))</f>
        <v>243.07692307692298</v>
      </c>
      <c r="GA56" s="18">
        <f>FZ56*VLOOKUP('Données projet'!$B$17,Paramètres!$A$1:$I$89,3,0)*VLOOKUP('Données projet'!$B$17,Paramètres!$A$1:$I$89,5,0)</f>
        <v>113.75999999999995</v>
      </c>
      <c r="GB56" s="14">
        <f t="shared" si="49"/>
        <v>30.215129555931622</v>
      </c>
      <c r="GC56" s="22">
        <f t="shared" si="25"/>
        <v>250.7566839765808</v>
      </c>
      <c r="GD56" s="60">
        <f t="shared" si="26"/>
        <v>544.09001730991417</v>
      </c>
      <c r="GE56" s="60">
        <f ca="1">AVERAGE(OFFSET($GD$3,0,0,'Données projet'!$E$17+1,1))-AVERAGE(OFFSET($H$3,0,0,'Données projet'!$E$17+1,1))</f>
        <v>147.5699668214238</v>
      </c>
      <c r="GF56" s="60">
        <f t="shared" si="50"/>
        <v>70.653739864908346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>
        <f>GU56*VLOOKUP('Données projet'!$B$18,Paramètres!$A$1:$I$89,3,0)*VLOOKUP('Données projet'!$B$18,Paramètres!$A$1:$I$89,5,0)</f>
        <v>0</v>
      </c>
      <c r="GW56" s="14" t="e">
        <f t="shared" si="51"/>
        <v>#NUM!</v>
      </c>
      <c r="GX56" s="22" t="e">
        <f t="shared" si="28"/>
        <v>#NUM!</v>
      </c>
      <c r="GY56" s="60" t="e">
        <f t="shared" si="29"/>
        <v>#NUM!</v>
      </c>
      <c r="GZ56" s="60">
        <f ca="1">AVERAGE(OFFSET($GY$3,0,0,'Données projet'!$E$18+1,1))-AVERAGE(OFFSET($H$3,0,0,'Données projet'!$E$18+1,1))</f>
        <v>136.03899433512379</v>
      </c>
      <c r="HA56" s="60">
        <f t="shared" si="52"/>
        <v>316.56646692826882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47.351369964171347</v>
      </c>
      <c r="HH56" s="23">
        <f>EXP(-LN(2)/25)*HH55+(1-EXP(-LN(2)/25))/(LN(2)/25)*Calculateur!HC56*Calculateur!HE56*VLOOKUP('Données projet'!$B$18,Paramètres!$A$1:$I$89,3,0)*0.475*44/12</f>
        <v>5.3282877949006267</v>
      </c>
      <c r="HI56" s="23">
        <f>EXP(-LN(2)/2)*HI55+(1-EXP(-LN(2)/2))/(LN(2)/2)*HC56*HF56*VLOOKUP('Données projet'!$B$18,Paramètres!$A$1:$I$89,3,0)*0.475*44/12</f>
        <v>1.0094635003314487E-3</v>
      </c>
      <c r="HJ56" s="24">
        <f t="shared" si="30"/>
        <v>52.680667222572303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825.65123169891604</v>
      </c>
      <c r="S57" s="60">
        <f ca="1">AVERAGE(OFFSET($R$3,0,0,'Données projet'!$E$9+1,1))-AVERAGE(OFFSET($H$3,0,0,'Données projet'!$E$9+1,1))</f>
        <v>384.44848355636935</v>
      </c>
      <c r="T57" s="60">
        <f t="shared" si="34"/>
        <v>203.5274665601915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0">
        <f t="shared" si="5"/>
        <v>666.61207984061377</v>
      </c>
      <c r="AN57" s="60">
        <f ca="1">AVERAGE(OFFSET($AM$3,0,0,'Données projet'!$E$10+1,1))-AVERAGE(OFFSET($H$3,0,0,'Données projet'!$E$10+1,1))</f>
        <v>303.73499739059076</v>
      </c>
      <c r="AO57" s="60">
        <f t="shared" si="36"/>
        <v>172.32171001882188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271.8</v>
      </c>
      <c r="BE57" s="14">
        <f>BD57*VLOOKUP('Données projet'!$B$11,Paramètres!$A$1:$I$89,3,0)*VLOOKUP('Données projet'!$B$11,Paramètres!$A$1:$I$89,5,0)</f>
        <v>228.96432000000004</v>
      </c>
      <c r="BF57" s="14">
        <f t="shared" si="37"/>
        <v>56.058684514404661</v>
      </c>
      <c r="BG57" s="22">
        <f t="shared" si="7"/>
        <v>496.4150661959215</v>
      </c>
      <c r="BH57" s="60">
        <f t="shared" si="8"/>
        <v>789.74839952925481</v>
      </c>
      <c r="BI57" s="60">
        <f ca="1">AVERAGE(OFFSET($BH$3,0,0,'Données projet'!$E$11+1,1))-AVERAGE(OFFSET($H$3,0,0,'Données projet'!$E$11+1,1))</f>
        <v>352.29660374042186</v>
      </c>
      <c r="BJ57" s="60">
        <f t="shared" si="38"/>
        <v>187.26439695305618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159.21360000000001</v>
      </c>
      <c r="CA57" s="14">
        <f t="shared" si="39"/>
        <v>40.665089859977108</v>
      </c>
      <c r="CB57" s="22">
        <f t="shared" si="10"/>
        <v>348.12205150612681</v>
      </c>
      <c r="CC57" s="60">
        <f t="shared" si="11"/>
        <v>641.45538483946007</v>
      </c>
      <c r="CD57" s="60">
        <f ca="1">AVERAGE(OFFSET($CC$3,0,0,'Données projet'!$E$12+1,1))-AVERAGE(OFFSET($H$3,0,0,'Données projet'!$E$12+1,1))</f>
        <v>277.03735509061545</v>
      </c>
      <c r="CE57" s="60">
        <f t="shared" si="40"/>
        <v>158.16416492761959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191.64600000000002</v>
      </c>
      <c r="CV57" s="14">
        <f t="shared" si="41"/>
        <v>47.903677189291635</v>
      </c>
      <c r="CW57" s="22">
        <f t="shared" si="13"/>
        <v>417.21568777134962</v>
      </c>
      <c r="CX57" s="60">
        <f t="shared" si="14"/>
        <v>710.54902110468288</v>
      </c>
      <c r="CY57" s="60">
        <f ca="1">AVERAGE(OFFSET($CX$3,0,0,'Données projet'!$E$13+1,1))-AVERAGE(OFFSET($H$3,0,0,'Données projet'!$E$13+1,1))</f>
        <v>350.3652766444938</v>
      </c>
      <c r="CZ57" s="60">
        <f t="shared" si="42"/>
        <v>197.04549436738586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7.8</v>
      </c>
      <c r="DO57" s="13">
        <f>IF('Données projet'!$A$166&gt;35,DO56+DN57-DW56,IF(A57&lt;'Données projet'!$A$166,$DL$205^A57,IF(A57='Données projet'!$A$166,'Données projet'!$B$166,DO56+DN57-DW56)))</f>
        <v>355.20000000000027</v>
      </c>
      <c r="DP57" s="18">
        <f>DO57*VLOOKUP('Données projet'!$B$14,Paramètres!$A$1:$I$89,3,0)*VLOOKUP('Données projet'!$B$14,Paramètres!$A$1:$I$89,5,0)</f>
        <v>282.59712000000019</v>
      </c>
      <c r="DQ57" s="14">
        <f t="shared" si="43"/>
        <v>67.515559729595935</v>
      </c>
      <c r="DR57" s="22">
        <f t="shared" si="16"/>
        <v>609.77958386237992</v>
      </c>
      <c r="DS57" s="60">
        <f t="shared" si="17"/>
        <v>903.11291719571318</v>
      </c>
      <c r="DT57" s="60">
        <f ca="1">AVERAGE(OFFSET($DS$3,0,0,'Données projet'!$E$14+1,1))-AVERAGE(OFFSET($H$3,0,0,'Données projet'!$E$14+1,1))</f>
        <v>382.01991140382955</v>
      </c>
      <c r="DU57" s="60">
        <f t="shared" si="44"/>
        <v>389.53897948144339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6.8</v>
      </c>
      <c r="EJ57" s="13">
        <f>IF('Données projet'!$A$192&gt;35,EJ56+EI57-ER56,IF(A57&lt;'Données projet'!$A$192,$EG$205^A57,IF(A57='Données projet'!$A$192,'Données projet'!$B$192,EJ56+EI57-ER56)))</f>
        <v>288.20000000000022</v>
      </c>
      <c r="EK57" s="18">
        <f>EJ57*VLOOKUP('Données projet'!$B$15,Paramètres!$A$1:$I$89,3,0)*VLOOKUP('Données projet'!$B$15,Paramètres!$A$1:$I$89,5,0)</f>
        <v>229.29192000000018</v>
      </c>
      <c r="EL57" s="14">
        <f t="shared" si="45"/>
        <v>56.129550616433839</v>
      </c>
      <c r="EM57" s="22">
        <f t="shared" si="19"/>
        <v>497.1090613236226</v>
      </c>
      <c r="EN57" s="60">
        <f t="shared" si="20"/>
        <v>790.44239465695591</v>
      </c>
      <c r="EO57" s="60">
        <f ca="1">AVERAGE(OFFSET($EN$3,0,0,'Données projet'!$E$15+1,1))-AVERAGE(OFFSET($H$3,0,0,'Données projet'!$E$15+1,1))</f>
        <v>323.92137573760789</v>
      </c>
      <c r="EP57" s="60">
        <f t="shared" si="46"/>
        <v>389.53897948144339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10.8</v>
      </c>
      <c r="FE57" s="13">
        <f>IF('Données projet'!$A$218&gt;35,FE56+FD57-FM56,IF(A57&lt;'Données projet'!$A$218,$FB$205^A57,IF(A57='Données projet'!$A$218,'Données projet'!$B$218,FE56+FD57-FM56)))</f>
        <v>222.20000000000005</v>
      </c>
      <c r="FF57" s="18">
        <f>FE57*VLOOKUP('Données projet'!$B$16,Paramètres!$A$1:$I$89,3,0)*VLOOKUP('Données projet'!$B$16,Paramètres!$A$1:$I$89,5,0)</f>
        <v>176.78232000000006</v>
      </c>
      <c r="FG57" s="14">
        <f t="shared" si="47"/>
        <v>44.605561863097499</v>
      </c>
      <c r="FH57" s="22">
        <f t="shared" si="22"/>
        <v>385.58389424489491</v>
      </c>
      <c r="FI57" s="60">
        <f t="shared" si="23"/>
        <v>678.91722757822822</v>
      </c>
      <c r="FJ57" s="60">
        <f ca="1">AVERAGE(OFFSET($FI$3,0,0,'Données projet'!$E$16+1,1))-AVERAGE(OFFSET($H$3,0,0,'Données projet'!$E$16+1,1))</f>
        <v>219.61164494001008</v>
      </c>
      <c r="FK57" s="60">
        <f t="shared" si="48"/>
        <v>219.59799863414111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10.769230769230768</v>
      </c>
      <c r="FZ57" s="13">
        <f>IF('Données projet'!$A$244&gt;35,FZ56+FY57-GH56,IF(A57&lt;'Données projet'!$A$244,$FW$205^A57,IF(A57='Données projet'!$A$244,'Données projet'!$B$244,FZ56+FY57-GH56)))</f>
        <v>253.84615384615375</v>
      </c>
      <c r="GA57" s="18">
        <f>FZ57*VLOOKUP('Données projet'!$B$17,Paramètres!$A$1:$I$89,3,0)*VLOOKUP('Données projet'!$B$17,Paramètres!$A$1:$I$89,5,0)</f>
        <v>118.79999999999995</v>
      </c>
      <c r="GB57" s="14">
        <f t="shared" si="49"/>
        <v>31.394955500632594</v>
      </c>
      <c r="GC57" s="22">
        <f t="shared" si="25"/>
        <v>261.58954749693504</v>
      </c>
      <c r="GD57" s="60">
        <f t="shared" si="26"/>
        <v>554.92288083026835</v>
      </c>
      <c r="GE57" s="60">
        <f ca="1">AVERAGE(OFFSET($GD$3,0,0,'Données projet'!$E$17+1,1))-AVERAGE(OFFSET($H$3,0,0,'Données projet'!$E$17+1,1))</f>
        <v>147.5699668214238</v>
      </c>
      <c r="GF57" s="60">
        <f t="shared" si="50"/>
        <v>70.653739864908346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>
        <f>GU57*VLOOKUP('Données projet'!$B$18,Paramètres!$A$1:$I$89,3,0)*VLOOKUP('Données projet'!$B$18,Paramètres!$A$1:$I$89,5,0)</f>
        <v>0</v>
      </c>
      <c r="GW57" s="14" t="e">
        <f t="shared" si="51"/>
        <v>#NUM!</v>
      </c>
      <c r="GX57" s="22" t="e">
        <f t="shared" si="28"/>
        <v>#NUM!</v>
      </c>
      <c r="GY57" s="60" t="e">
        <f t="shared" si="29"/>
        <v>#NUM!</v>
      </c>
      <c r="GZ57" s="60">
        <f ca="1">AVERAGE(OFFSET($GY$3,0,0,'Données projet'!$E$18+1,1))-AVERAGE(OFFSET($H$3,0,0,'Données projet'!$E$18+1,1))</f>
        <v>136.03899433512379</v>
      </c>
      <c r="HA57" s="60">
        <f t="shared" si="52"/>
        <v>316.56646692826882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46.422838480657816</v>
      </c>
      <c r="HH57" s="23">
        <f>EXP(-LN(2)/25)*HH56+(1-EXP(-LN(2)/25))/(LN(2)/25)*Calculateur!HC57*Calculateur!HE57*VLOOKUP('Données projet'!$B$18,Paramètres!$A$1:$I$89,3,0)*0.475*44/12</f>
        <v>5.1825854849465918</v>
      </c>
      <c r="HI57" s="23">
        <f>EXP(-LN(2)/2)*HI56+(1-EXP(-LN(2)/2))/(LN(2)/2)*HC57*HF57*VLOOKUP('Données projet'!$B$18,Paramètres!$A$1:$I$89,3,0)*0.475*44/12</f>
        <v>7.1379848644467607E-4</v>
      </c>
      <c r="HJ57" s="24">
        <f t="shared" si="30"/>
        <v>51.606137764090853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845.16612239513051</v>
      </c>
      <c r="S58" s="60">
        <f ca="1">AVERAGE(OFFSET($R$3,0,0,'Données projet'!$E$9+1,1))-AVERAGE(OFFSET($H$3,0,0,'Données projet'!$E$9+1,1))</f>
        <v>384.44848355636935</v>
      </c>
      <c r="T58" s="60">
        <f t="shared" si="34"/>
        <v>203.5274665601915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0">
        <f t="shared" si="5"/>
        <v>682.03369695342735</v>
      </c>
      <c r="AN58" s="60">
        <f ca="1">AVERAGE(OFFSET($AM$3,0,0,'Données projet'!$E$10+1,1))-AVERAGE(OFFSET($H$3,0,0,'Données projet'!$E$10+1,1))</f>
        <v>303.73499739059076</v>
      </c>
      <c r="AO58" s="60">
        <f t="shared" si="36"/>
        <v>172.32171001882188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282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282</v>
      </c>
      <c r="BE58" s="14">
        <f>BD58*VLOOKUP('Données projet'!$B$11,Paramètres!$A$1:$I$89,3,0)*VLOOKUP('Données projet'!$B$11,Paramètres!$A$1:$I$89,5,0)</f>
        <v>237.55680000000001</v>
      </c>
      <c r="BF58" s="14">
        <f t="shared" si="37"/>
        <v>57.913551469467357</v>
      </c>
      <c r="BG58" s="22">
        <f t="shared" si="7"/>
        <v>514.61086214265561</v>
      </c>
      <c r="BH58" s="60">
        <f t="shared" si="8"/>
        <v>807.94419547598886</v>
      </c>
      <c r="BI58" s="60">
        <f ca="1">AVERAGE(OFFSET($BH$3,0,0,'Données projet'!$E$11+1,1))-AVERAGE(OFFSET($H$3,0,0,'Données projet'!$E$11+1,1))</f>
        <v>352.29660374042186</v>
      </c>
      <c r="BJ58" s="60">
        <f t="shared" si="38"/>
        <v>187.26439695305618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165.95280000000002</v>
      </c>
      <c r="CA58" s="14">
        <f t="shared" si="39"/>
        <v>42.182318214665827</v>
      </c>
      <c r="CB58" s="22">
        <f t="shared" si="10"/>
        <v>362.50199755720968</v>
      </c>
      <c r="CC58" s="60">
        <f t="shared" si="11"/>
        <v>655.83533089054299</v>
      </c>
      <c r="CD58" s="60">
        <f ca="1">AVERAGE(OFFSET($CC$3,0,0,'Données projet'!$E$12+1,1))-AVERAGE(OFFSET($H$3,0,0,'Données projet'!$E$12+1,1))</f>
        <v>277.03735509061545</v>
      </c>
      <c r="CE58" s="60">
        <f t="shared" si="40"/>
        <v>158.16416492761959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199.75800000000004</v>
      </c>
      <c r="CV58" s="14">
        <f t="shared" si="41"/>
        <v>49.690979702964015</v>
      </c>
      <c r="CW58" s="22">
        <f t="shared" si="13"/>
        <v>434.45697298266236</v>
      </c>
      <c r="CX58" s="60">
        <f t="shared" si="14"/>
        <v>727.79030631599562</v>
      </c>
      <c r="CY58" s="60">
        <f ca="1">AVERAGE(OFFSET($CX$3,0,0,'Données projet'!$E$13+1,1))-AVERAGE(OFFSET($H$3,0,0,'Données projet'!$E$13+1,1))</f>
        <v>350.3652766444938</v>
      </c>
      <c r="CZ58" s="60">
        <f t="shared" si="42"/>
        <v>197.04549436738586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363</v>
      </c>
      <c r="DM58" s="13">
        <f>VLOOKUP(A58,'Données projet'!$A$165:$I$185,9,0)</f>
        <v>7.8</v>
      </c>
      <c r="DN58" s="13">
        <f t="array" ref="DN58">INDEX(DM:DM,MIN(IF(ISNUMBER(DM58:DM254),ROW(DM58:DM254),"")))</f>
        <v>7.8</v>
      </c>
      <c r="DO58" s="13">
        <f>IF('Données projet'!$A$166&gt;35,DO57+DN58-DW57,IF(A58&lt;'Données projet'!$A$166,$DL$205^A58,IF(A58='Données projet'!$A$166,'Données projet'!$B$166,DO57+DN58-DW57)))</f>
        <v>363.00000000000028</v>
      </c>
      <c r="DP58" s="18">
        <f>DO58*VLOOKUP('Données projet'!$B$14,Paramètres!$A$1:$I$89,3,0)*VLOOKUP('Données projet'!$B$14,Paramètres!$A$1:$I$89,5,0)</f>
        <v>288.80280000000022</v>
      </c>
      <c r="DQ58" s="14">
        <f t="shared" si="43"/>
        <v>68.823928935135939</v>
      </c>
      <c r="DR58" s="22">
        <f t="shared" si="16"/>
        <v>622.86655289536213</v>
      </c>
      <c r="DS58" s="60">
        <f t="shared" si="17"/>
        <v>916.1998862286955</v>
      </c>
      <c r="DT58" s="60">
        <f ca="1">AVERAGE(OFFSET($DS$3,0,0,'Données projet'!$E$14+1,1))-AVERAGE(OFFSET($H$3,0,0,'Données projet'!$E$14+1,1))</f>
        <v>382.01991140382955</v>
      </c>
      <c r="DU58" s="60">
        <f t="shared" si="44"/>
        <v>389.53897948144339</v>
      </c>
      <c r="DV58" s="16">
        <f>IF(ISNA(VLOOKUP(A58,'Données projet'!$A$165:$I$185,3,0)),0,VLOOKUP(A58,'Données projet'!$A$165:$I$185,3,0))</f>
        <v>5</v>
      </c>
      <c r="DW58" s="16">
        <f>IF(ISNA(VLOOKUP(A58,'Données projet'!$A$165:$I$185,4,0)),0,VLOOKUP(A58,'Données projet'!$A$165:$I$185,4,0))</f>
        <v>35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295</v>
      </c>
      <c r="EH58" s="13">
        <f>VLOOKUP(A58,'Données projet'!$A$191:$I$211,9,0)</f>
        <v>6.8</v>
      </c>
      <c r="EI58" s="13">
        <f t="array" ref="EI58">INDEX(EH:EH,MIN(IF(ISNUMBER(EH58:EH254),ROW(EH58:EH254),"")))</f>
        <v>6.8</v>
      </c>
      <c r="EJ58" s="13">
        <f>IF('Données projet'!$A$192&gt;35,EJ57+EI58-ER57,IF(A58&lt;'Données projet'!$A$192,$EG$205^A58,IF(A58='Données projet'!$A$192,'Données projet'!$B$192,EJ57+EI58-ER57)))</f>
        <v>295.00000000000023</v>
      </c>
      <c r="EK58" s="18">
        <f>EJ58*VLOOKUP('Données projet'!$B$15,Paramètres!$A$1:$I$89,3,0)*VLOOKUP('Données projet'!$B$15,Paramètres!$A$1:$I$89,5,0)</f>
        <v>234.70200000000023</v>
      </c>
      <c r="EL58" s="14">
        <f t="shared" si="45"/>
        <v>57.298163309103963</v>
      </c>
      <c r="EM58" s="22">
        <f t="shared" si="19"/>
        <v>508.56695109668982</v>
      </c>
      <c r="EN58" s="60">
        <f t="shared" si="20"/>
        <v>801.90028443002313</v>
      </c>
      <c r="EO58" s="60">
        <f ca="1">AVERAGE(OFFSET($EN$3,0,0,'Données projet'!$E$15+1,1))-AVERAGE(OFFSET($H$3,0,0,'Données projet'!$E$15+1,1))</f>
        <v>323.92137573760789</v>
      </c>
      <c r="EP58" s="60">
        <f t="shared" si="46"/>
        <v>389.53897948144339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233</v>
      </c>
      <c r="FC58" s="13">
        <f>VLOOKUP(A58,'Données projet'!$A$217:$I$237,9,0)</f>
        <v>10.8</v>
      </c>
      <c r="FD58" s="13">
        <f t="array" ref="FD58">INDEX(FC:FC,MIN(IF(ISNUMBER(FC58:FC254),ROW(FC58:FC254),"")))</f>
        <v>10.8</v>
      </c>
      <c r="FE58" s="13">
        <f>IF('Données projet'!$A$218&gt;35,FE57+FD58-FM57,IF(A58&lt;'Données projet'!$A$218,$FB$205^A58,IF(A58='Données projet'!$A$218,'Données projet'!$B$218,FE57+FD58-FM57)))</f>
        <v>233.00000000000006</v>
      </c>
      <c r="FF58" s="18">
        <f>FE58*VLOOKUP('Données projet'!$B$16,Paramètres!$A$1:$I$89,3,0)*VLOOKUP('Données projet'!$B$16,Paramètres!$A$1:$I$89,5,0)</f>
        <v>185.37480000000005</v>
      </c>
      <c r="FG58" s="14">
        <f t="shared" si="47"/>
        <v>46.51592476241273</v>
      </c>
      <c r="FH58" s="22">
        <f t="shared" si="22"/>
        <v>403.87634562786894</v>
      </c>
      <c r="FI58" s="60">
        <f t="shared" si="23"/>
        <v>697.20967896120226</v>
      </c>
      <c r="FJ58" s="60">
        <f ca="1">AVERAGE(OFFSET($FI$3,0,0,'Données projet'!$E$16+1,1))-AVERAGE(OFFSET($H$3,0,0,'Données projet'!$E$16+1,1))</f>
        <v>219.61164494001008</v>
      </c>
      <c r="FK58" s="60">
        <f t="shared" si="48"/>
        <v>219.59799863414111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10.769230769230768</v>
      </c>
      <c r="FZ58" s="13">
        <f>IF('Données projet'!$A$244&gt;35,FZ57+FY58-GH57,IF(A58&lt;'Données projet'!$A$244,$FW$205^A58,IF(A58='Données projet'!$A$244,'Données projet'!$B$244,FZ57+FY58-GH57)))</f>
        <v>264.61538461538453</v>
      </c>
      <c r="GA58" s="18">
        <f>FZ58*VLOOKUP('Données projet'!$B$17,Paramètres!$A$1:$I$89,3,0)*VLOOKUP('Données projet'!$B$17,Paramètres!$A$1:$I$89,5,0)</f>
        <v>123.83999999999995</v>
      </c>
      <c r="GB58" s="14">
        <f t="shared" si="49"/>
        <v>32.56896777038807</v>
      </c>
      <c r="GC58" s="22">
        <f t="shared" si="25"/>
        <v>272.4122855334258</v>
      </c>
      <c r="GD58" s="60">
        <f t="shared" si="26"/>
        <v>565.74561886675906</v>
      </c>
      <c r="GE58" s="60">
        <f ca="1">AVERAGE(OFFSET($GD$3,0,0,'Données projet'!$E$17+1,1))-AVERAGE(OFFSET($H$3,0,0,'Données projet'!$E$17+1,1))</f>
        <v>147.5699668214238</v>
      </c>
      <c r="GF58" s="60">
        <f t="shared" si="50"/>
        <v>70.653739864908346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>
        <f>GU58*VLOOKUP('Données projet'!$B$18,Paramètres!$A$1:$I$89,3,0)*VLOOKUP('Données projet'!$B$18,Paramètres!$A$1:$I$89,5,0)</f>
        <v>0</v>
      </c>
      <c r="GW58" s="14" t="e">
        <f t="shared" si="51"/>
        <v>#NUM!</v>
      </c>
      <c r="GX58" s="22" t="e">
        <f t="shared" si="28"/>
        <v>#NUM!</v>
      </c>
      <c r="GY58" s="60" t="e">
        <f t="shared" si="29"/>
        <v>#NUM!</v>
      </c>
      <c r="GZ58" s="60">
        <f ca="1">AVERAGE(OFFSET($GY$3,0,0,'Données projet'!$E$18+1,1))-AVERAGE(OFFSET($H$3,0,0,'Données projet'!$E$18+1,1))</f>
        <v>136.03899433512379</v>
      </c>
      <c r="HA58" s="60">
        <f t="shared" si="52"/>
        <v>316.56646692826882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45.512514933187703</v>
      </c>
      <c r="HH58" s="23">
        <f>EXP(-LN(2)/25)*HH57+(1-EXP(-LN(2)/25))/(LN(2)/25)*Calculateur!HC58*Calculateur!HE58*VLOOKUP('Données projet'!$B$18,Paramètres!$A$1:$I$89,3,0)*0.475*44/12</f>
        <v>5.0408674123204014</v>
      </c>
      <c r="HI58" s="23">
        <f>EXP(-LN(2)/2)*HI57+(1-EXP(-LN(2)/2))/(LN(2)/2)*HC58*HF58*VLOOKUP('Données projet'!$B$18,Paramètres!$A$1:$I$89,3,0)*0.475*44/12</f>
        <v>5.0473175016572437E-4</v>
      </c>
      <c r="HJ58" s="24">
        <f t="shared" si="30"/>
        <v>50.553887077258274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755.88227529661003</v>
      </c>
      <c r="S59" s="60">
        <f ca="1">AVERAGE(OFFSET($R$3,0,0,'Données projet'!$E$9+1,1))-AVERAGE(OFFSET($H$3,0,0,'Données projet'!$E$9+1,1))</f>
        <v>384.44848355636935</v>
      </c>
      <c r="T59" s="60">
        <f t="shared" si="34"/>
        <v>203.5274665601915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0">
        <f t="shared" si="5"/>
        <v>696.67192586439194</v>
      </c>
      <c r="AN59" s="60">
        <f ca="1">AVERAGE(OFFSET($AM$3,0,0,'Données projet'!$E$10+1,1))-AVERAGE(OFFSET($H$3,0,0,'Données projet'!$E$10+1,1))</f>
        <v>303.73499739059076</v>
      </c>
      <c r="AO59" s="60">
        <f t="shared" si="36"/>
        <v>172.32171001882188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198.30096</v>
      </c>
      <c r="BF59" s="14">
        <f t="shared" si="37"/>
        <v>49.3705849564736</v>
      </c>
      <c r="BG59" s="22">
        <f t="shared" si="7"/>
        <v>431.36127413252484</v>
      </c>
      <c r="BH59" s="60">
        <f t="shared" si="8"/>
        <v>724.6946074658581</v>
      </c>
      <c r="BI59" s="60">
        <f ca="1">AVERAGE(OFFSET($BH$3,0,0,'Données projet'!$E$11+1,1))-AVERAGE(OFFSET($H$3,0,0,'Données projet'!$E$11+1,1))</f>
        <v>352.29660374042186</v>
      </c>
      <c r="BJ59" s="60">
        <f t="shared" si="38"/>
        <v>187.26439695305618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172.35504000000003</v>
      </c>
      <c r="CA59" s="14">
        <f t="shared" si="39"/>
        <v>43.617051120131734</v>
      </c>
      <c r="CB59" s="22">
        <f t="shared" si="10"/>
        <v>376.1513920342295</v>
      </c>
      <c r="CC59" s="60">
        <f t="shared" si="11"/>
        <v>669.48472536756276</v>
      </c>
      <c r="CD59" s="60">
        <f ca="1">AVERAGE(OFFSET($CC$3,0,0,'Données projet'!$E$12+1,1))-AVERAGE(OFFSET($H$3,0,0,'Données projet'!$E$12+1,1))</f>
        <v>277.03735509061545</v>
      </c>
      <c r="CE59" s="60">
        <f t="shared" si="40"/>
        <v>158.16416492761959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207.46440000000001</v>
      </c>
      <c r="CV59" s="14">
        <f t="shared" si="41"/>
        <v>51.381102169014063</v>
      </c>
      <c r="CW59" s="22">
        <f t="shared" si="13"/>
        <v>450.82258294436616</v>
      </c>
      <c r="CX59" s="60">
        <f t="shared" si="14"/>
        <v>744.15591627769948</v>
      </c>
      <c r="CY59" s="60">
        <f ca="1">AVERAGE(OFFSET($CX$3,0,0,'Données projet'!$E$13+1,1))-AVERAGE(OFFSET($H$3,0,0,'Données projet'!$E$13+1,1))</f>
        <v>350.3652766444938</v>
      </c>
      <c r="CZ59" s="60">
        <f t="shared" si="42"/>
        <v>197.04549436738586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</v>
      </c>
      <c r="DO59" s="13">
        <f>IF('Données projet'!$A$166&gt;35,DO58+DN59-DW58,IF(A59&lt;'Données projet'!$A$166,$DL$205^A59,IF(A59='Données projet'!$A$166,'Données projet'!$B$166,DO58+DN59-DW58)))</f>
        <v>334.20000000000027</v>
      </c>
      <c r="DP59" s="18">
        <f>DO59*VLOOKUP('Données projet'!$B$14,Paramètres!$A$1:$I$89,3,0)*VLOOKUP('Données projet'!$B$14,Paramètres!$A$1:$I$89,5,0)</f>
        <v>265.88952000000023</v>
      </c>
      <c r="DQ59" s="14">
        <f t="shared" si="43"/>
        <v>63.976144343663684</v>
      </c>
      <c r="DR59" s="22">
        <f t="shared" si="16"/>
        <v>574.51603206521463</v>
      </c>
      <c r="DS59" s="60">
        <f t="shared" si="17"/>
        <v>867.84936539854789</v>
      </c>
      <c r="DT59" s="60">
        <f ca="1">AVERAGE(OFFSET($DS$3,0,0,'Données projet'!$E$14+1,1))-AVERAGE(OFFSET($H$3,0,0,'Données projet'!$E$14+1,1))</f>
        <v>382.01991140382955</v>
      </c>
      <c r="DU59" s="60">
        <f t="shared" si="44"/>
        <v>389.53897948144339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5.8</v>
      </c>
      <c r="EJ59" s="13">
        <f>IF('Données projet'!$A$192&gt;35,EJ58+EI59-ER58,IF(A59&lt;'Données projet'!$A$192,$EG$205^A59,IF(A59='Données projet'!$A$192,'Données projet'!$B$192,EJ58+EI59-ER58)))</f>
        <v>300.80000000000024</v>
      </c>
      <c r="EK59" s="18">
        <f>EJ59*VLOOKUP('Données projet'!$B$15,Paramètres!$A$1:$I$89,3,0)*VLOOKUP('Données projet'!$B$15,Paramètres!$A$1:$I$89,5,0)</f>
        <v>239.31648000000021</v>
      </c>
      <c r="EL59" s="14">
        <f t="shared" si="45"/>
        <v>58.292443422481995</v>
      </c>
      <c r="EM59" s="22">
        <f t="shared" si="19"/>
        <v>518.33554162748987</v>
      </c>
      <c r="EN59" s="60">
        <f t="shared" si="20"/>
        <v>811.66887496082313</v>
      </c>
      <c r="EO59" s="60">
        <f ca="1">AVERAGE(OFFSET($EN$3,0,0,'Données projet'!$E$15+1,1))-AVERAGE(OFFSET($H$3,0,0,'Données projet'!$E$15+1,1))</f>
        <v>323.92137573760789</v>
      </c>
      <c r="EP59" s="60">
        <f t="shared" si="46"/>
        <v>389.53897948144339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2.4</v>
      </c>
      <c r="FE59" s="13">
        <f>IF('Données projet'!$A$218&gt;35,FE58+FD59-FM58,IF(A59&lt;'Données projet'!$A$218,$FB$205^A59,IF(A59='Données projet'!$A$218,'Données projet'!$B$218,FE58+FD59-FM58)))</f>
        <v>235.40000000000006</v>
      </c>
      <c r="FF59" s="18">
        <f>FE59*VLOOKUP('Données projet'!$B$16,Paramètres!$A$1:$I$89,3,0)*VLOOKUP('Données projet'!$B$16,Paramètres!$A$1:$I$89,5,0)</f>
        <v>187.28424000000007</v>
      </c>
      <c r="FG59" s="14">
        <f t="shared" si="47"/>
        <v>46.939034723010714</v>
      </c>
      <c r="FH59" s="22">
        <f t="shared" si="22"/>
        <v>407.93887014257706</v>
      </c>
      <c r="FI59" s="60">
        <f t="shared" si="23"/>
        <v>701.27220347591037</v>
      </c>
      <c r="FJ59" s="60">
        <f ca="1">AVERAGE(OFFSET($FI$3,0,0,'Données projet'!$E$16+1,1))-AVERAGE(OFFSET($H$3,0,0,'Données projet'!$E$16+1,1))</f>
        <v>219.61164494001008</v>
      </c>
      <c r="FK59" s="60">
        <f t="shared" si="48"/>
        <v>219.59799863414111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10.769230769230768</v>
      </c>
      <c r="FZ59" s="13">
        <f>IF('Données projet'!$A$244&gt;35,FZ58+FY59-GH58,IF(A59&lt;'Données projet'!$A$244,$FW$205^A59,IF(A59='Données projet'!$A$244,'Données projet'!$B$244,FZ58+FY59-GH58)))</f>
        <v>275.3846153846153</v>
      </c>
      <c r="GA59" s="18">
        <f>FZ59*VLOOKUP('Données projet'!$B$17,Paramètres!$A$1:$I$89,3,0)*VLOOKUP('Données projet'!$B$17,Paramètres!$A$1:$I$89,5,0)</f>
        <v>128.87999999999997</v>
      </c>
      <c r="GB59" s="14">
        <f t="shared" si="49"/>
        <v>33.73743003255538</v>
      </c>
      <c r="GC59" s="22">
        <f t="shared" si="25"/>
        <v>283.22535730670057</v>
      </c>
      <c r="GD59" s="60">
        <f t="shared" si="26"/>
        <v>576.55869064003389</v>
      </c>
      <c r="GE59" s="60">
        <f ca="1">AVERAGE(OFFSET($GD$3,0,0,'Données projet'!$E$17+1,1))-AVERAGE(OFFSET($H$3,0,0,'Données projet'!$E$17+1,1))</f>
        <v>147.5699668214238</v>
      </c>
      <c r="GF59" s="60">
        <f t="shared" si="50"/>
        <v>70.653739864908346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>
        <f>GU59*VLOOKUP('Données projet'!$B$18,Paramètres!$A$1:$I$89,3,0)*VLOOKUP('Données projet'!$B$18,Paramètres!$A$1:$I$89,5,0)</f>
        <v>0</v>
      </c>
      <c r="GW59" s="14" t="e">
        <f t="shared" si="51"/>
        <v>#NUM!</v>
      </c>
      <c r="GX59" s="22" t="e">
        <f t="shared" si="28"/>
        <v>#NUM!</v>
      </c>
      <c r="GY59" s="60" t="e">
        <f t="shared" si="29"/>
        <v>#NUM!</v>
      </c>
      <c r="GZ59" s="60">
        <f ca="1">AVERAGE(OFFSET($GY$3,0,0,'Données projet'!$E$18+1,1))-AVERAGE(OFFSET($H$3,0,0,'Données projet'!$E$18+1,1))</f>
        <v>136.03899433512379</v>
      </c>
      <c r="HA59" s="60">
        <f t="shared" si="52"/>
        <v>316.56646692826882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44.620042275240941</v>
      </c>
      <c r="HH59" s="23">
        <f>EXP(-LN(2)/25)*HH58+(1-EXP(-LN(2)/25))/(LN(2)/25)*Calculateur!HC59*Calculateur!HE59*VLOOKUP('Données projet'!$B$18,Paramètres!$A$1:$I$89,3,0)*0.475*44/12</f>
        <v>4.9030246278428038</v>
      </c>
      <c r="HI59" s="23">
        <f>EXP(-LN(2)/2)*HI58+(1-EXP(-LN(2)/2))/(LN(2)/2)*HC59*HF59*VLOOKUP('Données projet'!$B$18,Paramètres!$A$1:$I$89,3,0)*0.475*44/12</f>
        <v>3.5689924322233803E-4</v>
      </c>
      <c r="HJ59" s="24">
        <f t="shared" si="30"/>
        <v>49.523423802326967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773.91966709175358</v>
      </c>
      <c r="S60" s="60">
        <f ca="1">AVERAGE(OFFSET($R$3,0,0,'Données projet'!$E$9+1,1))-AVERAGE(OFFSET($H$3,0,0,'Données projet'!$E$9+1,1))</f>
        <v>384.44848355636935</v>
      </c>
      <c r="T60" s="60">
        <f t="shared" si="34"/>
        <v>203.5274665601915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0">
        <f t="shared" si="5"/>
        <v>711.29866832489597</v>
      </c>
      <c r="AN60" s="60">
        <f ca="1">AVERAGE(OFFSET($AM$3,0,0,'Données projet'!$E$10+1,1))-AVERAGE(OFFSET($H$3,0,0,'Données projet'!$E$10+1,1))</f>
        <v>303.73499739059076</v>
      </c>
      <c r="AO60" s="60">
        <f t="shared" si="36"/>
        <v>172.32171001882188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206.21952000000002</v>
      </c>
      <c r="BF60" s="14">
        <f t="shared" si="37"/>
        <v>51.108584284640322</v>
      </c>
      <c r="BG60" s="22">
        <f t="shared" si="7"/>
        <v>448.1797816290819</v>
      </c>
      <c r="BH60" s="60">
        <f t="shared" si="8"/>
        <v>741.51311496241522</v>
      </c>
      <c r="BI60" s="60">
        <f ca="1">AVERAGE(OFFSET($BH$3,0,0,'Données projet'!$E$11+1,1))-AVERAGE(OFFSET($H$3,0,0,'Données projet'!$E$11+1,1))</f>
        <v>352.29660374042186</v>
      </c>
      <c r="BJ60" s="60">
        <f t="shared" si="38"/>
        <v>187.26439695305618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178.75728000000001</v>
      </c>
      <c r="CA60" s="14">
        <f t="shared" si="39"/>
        <v>45.045592481721528</v>
      </c>
      <c r="CB60" s="22">
        <f t="shared" si="10"/>
        <v>389.79000290566495</v>
      </c>
      <c r="CC60" s="60">
        <f t="shared" si="11"/>
        <v>683.12333623899826</v>
      </c>
      <c r="CD60" s="60">
        <f ca="1">AVERAGE(OFFSET($CC$3,0,0,'Données projet'!$E$12+1,1))-AVERAGE(OFFSET($H$3,0,0,'Données projet'!$E$12+1,1))</f>
        <v>277.03735509061545</v>
      </c>
      <c r="CE60" s="60">
        <f t="shared" si="40"/>
        <v>158.16416492761959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215.17080000000001</v>
      </c>
      <c r="CV60" s="14">
        <f t="shared" si="41"/>
        <v>53.063930965723607</v>
      </c>
      <c r="CW60" s="22">
        <f t="shared" si="13"/>
        <v>467.17548976530185</v>
      </c>
      <c r="CX60" s="60">
        <f t="shared" si="14"/>
        <v>760.50882309863516</v>
      </c>
      <c r="CY60" s="60">
        <f ca="1">AVERAGE(OFFSET($CX$3,0,0,'Données projet'!$E$13+1,1))-AVERAGE(OFFSET($H$3,0,0,'Données projet'!$E$13+1,1))</f>
        <v>350.3652766444938</v>
      </c>
      <c r="CZ60" s="60">
        <f t="shared" si="42"/>
        <v>197.04549436738586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</v>
      </c>
      <c r="DO60" s="13">
        <f>IF('Données projet'!$A$166&gt;35,DO59+DN60-DW59,IF(A60&lt;'Données projet'!$A$166,$DL$205^A60,IF(A60='Données projet'!$A$166,'Données projet'!$B$166,DO59+DN60-DW59)))</f>
        <v>340.40000000000026</v>
      </c>
      <c r="DP60" s="18">
        <f>DO60*VLOOKUP('Données projet'!$B$14,Paramètres!$A$1:$I$89,3,0)*VLOOKUP('Données projet'!$B$14,Paramètres!$A$1:$I$89,5,0)</f>
        <v>270.82224000000019</v>
      </c>
      <c r="DQ60" s="14">
        <f t="shared" si="43"/>
        <v>65.023738474662395</v>
      </c>
      <c r="DR60" s="22">
        <f t="shared" si="16"/>
        <v>584.93174584337066</v>
      </c>
      <c r="DS60" s="60">
        <f t="shared" si="17"/>
        <v>878.26507917670392</v>
      </c>
      <c r="DT60" s="60">
        <f ca="1">AVERAGE(OFFSET($DS$3,0,0,'Données projet'!$E$14+1,1))-AVERAGE(OFFSET($H$3,0,0,'Données projet'!$E$14+1,1))</f>
        <v>382.01991140382955</v>
      </c>
      <c r="DU60" s="60">
        <f t="shared" si="44"/>
        <v>389.53897948144339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5.8</v>
      </c>
      <c r="EJ60" s="13">
        <f>IF('Données projet'!$A$192&gt;35,EJ59+EI60-ER59,IF(A60&lt;'Données projet'!$A$192,$EG$205^A60,IF(A60='Données projet'!$A$192,'Données projet'!$B$192,EJ59+EI60-ER59)))</f>
        <v>306.60000000000025</v>
      </c>
      <c r="EK60" s="18">
        <f>EJ60*VLOOKUP('Données projet'!$B$15,Paramètres!$A$1:$I$89,3,0)*VLOOKUP('Données projet'!$B$15,Paramètres!$A$1:$I$89,5,0)</f>
        <v>243.9309600000002</v>
      </c>
      <c r="EL60" s="14">
        <f t="shared" si="45"/>
        <v>59.284494315162021</v>
      </c>
      <c r="EM60" s="22">
        <f t="shared" si="19"/>
        <v>528.10024959890745</v>
      </c>
      <c r="EN60" s="60">
        <f t="shared" si="20"/>
        <v>821.43358293224082</v>
      </c>
      <c r="EO60" s="60">
        <f ca="1">AVERAGE(OFFSET($EN$3,0,0,'Données projet'!$E$15+1,1))-AVERAGE(OFFSET($H$3,0,0,'Données projet'!$E$15+1,1))</f>
        <v>323.92137573760789</v>
      </c>
      <c r="EP60" s="60">
        <f t="shared" si="46"/>
        <v>389.53897948144339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2.4</v>
      </c>
      <c r="FE60" s="13">
        <f>IF('Données projet'!$A$218&gt;35,FE59+FD60-FM59,IF(A60&lt;'Données projet'!$A$218,$FB$205^A60,IF(A60='Données projet'!$A$218,'Données projet'!$B$218,FE59+FD60-FM59)))</f>
        <v>237.80000000000007</v>
      </c>
      <c r="FF60" s="18">
        <f>FE60*VLOOKUP('Données projet'!$B$16,Paramètres!$A$1:$I$89,3,0)*VLOOKUP('Données projet'!$B$16,Paramètres!$A$1:$I$89,5,0)</f>
        <v>189.19368000000006</v>
      </c>
      <c r="FG60" s="14">
        <f t="shared" si="47"/>
        <v>47.361642848204745</v>
      </c>
      <c r="FH60" s="22">
        <f t="shared" si="22"/>
        <v>412.00052062729009</v>
      </c>
      <c r="FI60" s="60">
        <f t="shared" si="23"/>
        <v>705.3338539606234</v>
      </c>
      <c r="FJ60" s="60">
        <f ca="1">AVERAGE(OFFSET($FI$3,0,0,'Données projet'!$E$16+1,1))-AVERAGE(OFFSET($H$3,0,0,'Données projet'!$E$16+1,1))</f>
        <v>219.61164494001008</v>
      </c>
      <c r="FK60" s="60">
        <f t="shared" si="48"/>
        <v>219.59799863414111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10.769230769230768</v>
      </c>
      <c r="FZ60" s="13">
        <f>IF('Données projet'!$A$244&gt;35,FZ59+FY60-GH59,IF(A60&lt;'Données projet'!$A$244,$FW$205^A60,IF(A60='Données projet'!$A$244,'Données projet'!$B$244,FZ59+FY60-GH59)))</f>
        <v>286.15384615384608</v>
      </c>
      <c r="GA60" s="18">
        <f>FZ60*VLOOKUP('Données projet'!$B$17,Paramètres!$A$1:$I$89,3,0)*VLOOKUP('Données projet'!$B$17,Paramètres!$A$1:$I$89,5,0)</f>
        <v>133.91999999999996</v>
      </c>
      <c r="GB60" s="14">
        <f t="shared" si="49"/>
        <v>34.900584164862018</v>
      </c>
      <c r="GC60" s="22">
        <f t="shared" si="25"/>
        <v>294.02918408713464</v>
      </c>
      <c r="GD60" s="60">
        <f t="shared" si="26"/>
        <v>587.36251742046795</v>
      </c>
      <c r="GE60" s="60">
        <f ca="1">AVERAGE(OFFSET($GD$3,0,0,'Données projet'!$E$17+1,1))-AVERAGE(OFFSET($H$3,0,0,'Données projet'!$E$17+1,1))</f>
        <v>147.5699668214238</v>
      </c>
      <c r="GF60" s="60">
        <f t="shared" si="50"/>
        <v>70.653739864908346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>
        <f>GU60*VLOOKUP('Données projet'!$B$18,Paramètres!$A$1:$I$89,3,0)*VLOOKUP('Données projet'!$B$18,Paramètres!$A$1:$I$89,5,0)</f>
        <v>0</v>
      </c>
      <c r="GW60" s="14" t="e">
        <f t="shared" si="51"/>
        <v>#NUM!</v>
      </c>
      <c r="GX60" s="22" t="e">
        <f t="shared" si="28"/>
        <v>#NUM!</v>
      </c>
      <c r="GY60" s="60" t="e">
        <f t="shared" si="29"/>
        <v>#NUM!</v>
      </c>
      <c r="GZ60" s="60">
        <f ca="1">AVERAGE(OFFSET($GY$3,0,0,'Données projet'!$E$18+1,1))-AVERAGE(OFFSET($H$3,0,0,'Données projet'!$E$18+1,1))</f>
        <v>136.03899433512379</v>
      </c>
      <c r="HA60" s="60">
        <f t="shared" si="52"/>
        <v>316.56646692826882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43.745070461761941</v>
      </c>
      <c r="HH60" s="23">
        <f>EXP(-LN(2)/25)*HH59+(1-EXP(-LN(2)/25))/(LN(2)/25)*Calculateur!HC60*Calculateur!HE60*VLOOKUP('Données projet'!$B$18,Paramètres!$A$1:$I$89,3,0)*0.475*44/12</f>
        <v>4.7689511615555835</v>
      </c>
      <c r="HI60" s="23">
        <f>EXP(-LN(2)/2)*HI59+(1-EXP(-LN(2)/2))/(LN(2)/2)*HC60*HF60*VLOOKUP('Données projet'!$B$18,Paramètres!$A$1:$I$89,3,0)*0.475*44/12</f>
        <v>2.5236587508286218E-4</v>
      </c>
      <c r="HJ60" s="24">
        <f t="shared" si="30"/>
        <v>48.51427398919261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791.94267592098333</v>
      </c>
      <c r="S61" s="60">
        <f ca="1">AVERAGE(OFFSET($R$3,0,0,'Données projet'!$E$9+1,1))-AVERAGE(OFFSET($H$3,0,0,'Données projet'!$E$9+1,1))</f>
        <v>384.44848355636935</v>
      </c>
      <c r="T61" s="60">
        <f t="shared" si="34"/>
        <v>203.5274665601915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0">
        <f t="shared" si="5"/>
        <v>725.91438285442098</v>
      </c>
      <c r="AN61" s="60">
        <f ca="1">AVERAGE(OFFSET($AM$3,0,0,'Données projet'!$E$10+1,1))-AVERAGE(OFFSET($H$3,0,0,'Données projet'!$E$10+1,1))</f>
        <v>303.73499739059076</v>
      </c>
      <c r="AO61" s="60">
        <f t="shared" si="36"/>
        <v>172.32171001882188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214.13808</v>
      </c>
      <c r="BF61" s="14">
        <f t="shared" si="37"/>
        <v>52.838830759579693</v>
      </c>
      <c r="BG61" s="22">
        <f t="shared" si="7"/>
        <v>464.98478623960131</v>
      </c>
      <c r="BH61" s="60">
        <f t="shared" si="8"/>
        <v>758.31811957293462</v>
      </c>
      <c r="BI61" s="60">
        <f ca="1">AVERAGE(OFFSET($BH$3,0,0,'Données projet'!$E$11+1,1))-AVERAGE(OFFSET($H$3,0,0,'Données projet'!$E$11+1,1))</f>
        <v>352.29660374042186</v>
      </c>
      <c r="BJ61" s="60">
        <f t="shared" si="38"/>
        <v>187.26439695305618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185.15951999999999</v>
      </c>
      <c r="CA61" s="14">
        <f t="shared" si="39"/>
        <v>46.468189455290606</v>
      </c>
      <c r="CB61" s="22">
        <f t="shared" si="10"/>
        <v>403.41826063463105</v>
      </c>
      <c r="CC61" s="60">
        <f t="shared" si="11"/>
        <v>696.75159396796437</v>
      </c>
      <c r="CD61" s="60">
        <f ca="1">AVERAGE(OFFSET($CC$3,0,0,'Données projet'!$E$12+1,1))-AVERAGE(OFFSET($H$3,0,0,'Données projet'!$E$12+1,1))</f>
        <v>277.03735509061545</v>
      </c>
      <c r="CE61" s="60">
        <f t="shared" si="40"/>
        <v>158.16416492761959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222.87720000000002</v>
      </c>
      <c r="CV61" s="14">
        <f t="shared" si="41"/>
        <v>54.739757243913829</v>
      </c>
      <c r="CW61" s="22">
        <f t="shared" si="13"/>
        <v>483.51620053314986</v>
      </c>
      <c r="CX61" s="60">
        <f t="shared" si="14"/>
        <v>776.84953386648317</v>
      </c>
      <c r="CY61" s="60">
        <f ca="1">AVERAGE(OFFSET($CX$3,0,0,'Données projet'!$E$13+1,1))-AVERAGE(OFFSET($H$3,0,0,'Données projet'!$E$13+1,1))</f>
        <v>350.3652766444938</v>
      </c>
      <c r="CZ61" s="60">
        <f t="shared" si="42"/>
        <v>197.04549436738586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</v>
      </c>
      <c r="DO61" s="13">
        <f>IF('Données projet'!$A$166&gt;35,DO60+DN61-DW60,IF(A61&lt;'Données projet'!$A$166,$DL$205^A61,IF(A61='Données projet'!$A$166,'Données projet'!$B$166,DO60+DN61-DW60)))</f>
        <v>346.60000000000025</v>
      </c>
      <c r="DP61" s="18">
        <f>DO61*VLOOKUP('Données projet'!$B$14,Paramètres!$A$1:$I$89,3,0)*VLOOKUP('Données projet'!$B$14,Paramètres!$A$1:$I$89,5,0)</f>
        <v>275.75496000000021</v>
      </c>
      <c r="DQ61" s="14">
        <f t="shared" si="43"/>
        <v>66.069113830630926</v>
      </c>
      <c r="DR61" s="22">
        <f t="shared" si="16"/>
        <v>595.34359525501588</v>
      </c>
      <c r="DS61" s="60">
        <f t="shared" si="17"/>
        <v>888.67692858834926</v>
      </c>
      <c r="DT61" s="60">
        <f ca="1">AVERAGE(OFFSET($DS$3,0,0,'Données projet'!$E$14+1,1))-AVERAGE(OFFSET($H$3,0,0,'Données projet'!$E$14+1,1))</f>
        <v>382.01991140382955</v>
      </c>
      <c r="DU61" s="60">
        <f t="shared" si="44"/>
        <v>389.53897948144339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5.8</v>
      </c>
      <c r="EJ61" s="13">
        <f>IF('Données projet'!$A$192&gt;35,EJ60+EI61-ER60,IF(A61&lt;'Données projet'!$A$192,$EG$205^A61,IF(A61='Données projet'!$A$192,'Données projet'!$B$192,EJ60+EI61-ER60)))</f>
        <v>312.40000000000026</v>
      </c>
      <c r="EK61" s="18">
        <f>EJ61*VLOOKUP('Données projet'!$B$15,Paramètres!$A$1:$I$89,3,0)*VLOOKUP('Données projet'!$B$15,Paramètres!$A$1:$I$89,5,0)</f>
        <v>248.54544000000021</v>
      </c>
      <c r="EL61" s="14">
        <f t="shared" si="45"/>
        <v>60.274363020171059</v>
      </c>
      <c r="EM61" s="22">
        <f t="shared" si="19"/>
        <v>537.86115692679823</v>
      </c>
      <c r="EN61" s="60">
        <f t="shared" si="20"/>
        <v>831.19449026013149</v>
      </c>
      <c r="EO61" s="60">
        <f ca="1">AVERAGE(OFFSET($EN$3,0,0,'Données projet'!$E$15+1,1))-AVERAGE(OFFSET($H$3,0,0,'Données projet'!$E$15+1,1))</f>
        <v>323.92137573760789</v>
      </c>
      <c r="EP61" s="60">
        <f t="shared" si="46"/>
        <v>389.53897948144339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2.4</v>
      </c>
      <c r="FE61" s="13">
        <f>IF('Données projet'!$A$218&gt;35,FE60+FD61-FM60,IF(A61&lt;'Données projet'!$A$218,$FB$205^A61,IF(A61='Données projet'!$A$218,'Données projet'!$B$218,FE60+FD61-FM60)))</f>
        <v>240.20000000000007</v>
      </c>
      <c r="FF61" s="18">
        <f>FE61*VLOOKUP('Données projet'!$B$16,Paramètres!$A$1:$I$89,3,0)*VLOOKUP('Données projet'!$B$16,Paramètres!$A$1:$I$89,5,0)</f>
        <v>191.10312000000008</v>
      </c>
      <c r="FG61" s="14">
        <f t="shared" si="47"/>
        <v>47.783754789189338</v>
      </c>
      <c r="FH61" s="22">
        <f t="shared" si="22"/>
        <v>416.06130692450489</v>
      </c>
      <c r="FI61" s="60">
        <f t="shared" si="23"/>
        <v>709.3946402578382</v>
      </c>
      <c r="FJ61" s="60">
        <f ca="1">AVERAGE(OFFSET($FI$3,0,0,'Données projet'!$E$16+1,1))-AVERAGE(OFFSET($H$3,0,0,'Données projet'!$E$16+1,1))</f>
        <v>219.61164494001008</v>
      </c>
      <c r="FK61" s="60">
        <f t="shared" si="48"/>
        <v>219.59799863414111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10.769230769230768</v>
      </c>
      <c r="FZ61" s="13">
        <f>IF('Données projet'!$A$244&gt;35,FZ60+FY61-GH60,IF(A61&lt;'Données projet'!$A$244,$FW$205^A61,IF(A61='Données projet'!$A$244,'Données projet'!$B$244,FZ60+FY61-GH60)))</f>
        <v>296.92307692307685</v>
      </c>
      <c r="GA61" s="18">
        <f>FZ61*VLOOKUP('Données projet'!$B$17,Paramètres!$A$1:$I$89,3,0)*VLOOKUP('Données projet'!$B$17,Paramètres!$A$1:$I$89,5,0)</f>
        <v>138.95999999999998</v>
      </c>
      <c r="GB61" s="14">
        <f t="shared" si="49"/>
        <v>36.058652807868881</v>
      </c>
      <c r="GC61" s="22">
        <f t="shared" si="25"/>
        <v>304.82415364037161</v>
      </c>
      <c r="GD61" s="60">
        <f t="shared" si="26"/>
        <v>598.15748697370486</v>
      </c>
      <c r="GE61" s="60">
        <f ca="1">AVERAGE(OFFSET($GD$3,0,0,'Données projet'!$E$17+1,1))-AVERAGE(OFFSET($H$3,0,0,'Données projet'!$E$17+1,1))</f>
        <v>147.5699668214238</v>
      </c>
      <c r="GF61" s="60">
        <f t="shared" si="50"/>
        <v>70.653739864908346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>
        <f>GU61*VLOOKUP('Données projet'!$B$18,Paramètres!$A$1:$I$89,3,0)*VLOOKUP('Données projet'!$B$18,Paramètres!$A$1:$I$89,5,0)</f>
        <v>0</v>
      </c>
      <c r="GW61" s="14" t="e">
        <f t="shared" si="51"/>
        <v>#NUM!</v>
      </c>
      <c r="GX61" s="22" t="e">
        <f t="shared" si="28"/>
        <v>#NUM!</v>
      </c>
      <c r="GY61" s="60" t="e">
        <f t="shared" si="29"/>
        <v>#NUM!</v>
      </c>
      <c r="GZ61" s="60">
        <f ca="1">AVERAGE(OFFSET($GY$3,0,0,'Données projet'!$E$18+1,1))-AVERAGE(OFFSET($H$3,0,0,'Données projet'!$E$18+1,1))</f>
        <v>136.03899433512379</v>
      </c>
      <c r="HA61" s="60">
        <f t="shared" si="52"/>
        <v>316.56646692826882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42.887256311865158</v>
      </c>
      <c r="HH61" s="23">
        <f>EXP(-LN(2)/25)*HH60+(1-EXP(-LN(2)/25))/(LN(2)/25)*Calculateur!HC61*Calculateur!HE61*VLOOKUP('Données projet'!$B$18,Paramètres!$A$1:$I$89,3,0)*0.475*44/12</f>
        <v>4.6385439412546043</v>
      </c>
      <c r="HI61" s="23">
        <f>EXP(-LN(2)/2)*HI60+(1-EXP(-LN(2)/2))/(LN(2)/2)*HC61*HF61*VLOOKUP('Données projet'!$B$18,Paramètres!$A$1:$I$89,3,0)*0.475*44/12</f>
        <v>1.7844962161116902E-4</v>
      </c>
      <c r="HJ61" s="24">
        <f t="shared" si="30"/>
        <v>47.525978702741376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809.95189455631794</v>
      </c>
      <c r="S62" s="60">
        <f ca="1">AVERAGE(OFFSET($R$3,0,0,'Données projet'!$E$9+1,1))-AVERAGE(OFFSET($H$3,0,0,'Données projet'!$E$9+1,1))</f>
        <v>384.44848355636935</v>
      </c>
      <c r="T62" s="60">
        <f t="shared" si="34"/>
        <v>203.5274665601915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0">
        <f t="shared" si="5"/>
        <v>740.51949446577237</v>
      </c>
      <c r="AN62" s="60">
        <f ca="1">AVERAGE(OFFSET($AM$3,0,0,'Données projet'!$E$10+1,1))-AVERAGE(OFFSET($H$3,0,0,'Données projet'!$E$10+1,1))</f>
        <v>303.73499739059076</v>
      </c>
      <c r="AO62" s="60">
        <f t="shared" si="36"/>
        <v>172.32171001882188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222.05663999999999</v>
      </c>
      <c r="BF62" s="14">
        <f t="shared" si="37"/>
        <v>54.561643903321311</v>
      </c>
      <c r="BG62" s="22">
        <f t="shared" si="7"/>
        <v>481.77684446495124</v>
      </c>
      <c r="BH62" s="60">
        <f t="shared" si="8"/>
        <v>775.11017779828455</v>
      </c>
      <c r="BI62" s="60">
        <f ca="1">AVERAGE(OFFSET($BH$3,0,0,'Données projet'!$E$11+1,1))-AVERAGE(OFFSET($H$3,0,0,'Données projet'!$E$11+1,1))</f>
        <v>352.29660374042186</v>
      </c>
      <c r="BJ62" s="60">
        <f t="shared" si="38"/>
        <v>187.26439695305618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191.56175999999999</v>
      </c>
      <c r="CA62" s="14">
        <f t="shared" si="39"/>
        <v>47.885071135583438</v>
      </c>
      <c r="CB62" s="22">
        <f t="shared" si="10"/>
        <v>417.03656422780779</v>
      </c>
      <c r="CC62" s="60">
        <f t="shared" si="11"/>
        <v>710.3698975611411</v>
      </c>
      <c r="CD62" s="60">
        <f ca="1">AVERAGE(OFFSET($CC$3,0,0,'Données projet'!$E$12+1,1))-AVERAGE(OFFSET($H$3,0,0,'Données projet'!$E$12+1,1))</f>
        <v>277.03735509061545</v>
      </c>
      <c r="CE62" s="60">
        <f t="shared" si="40"/>
        <v>158.16416492761959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230.58360000000002</v>
      </c>
      <c r="CV62" s="14">
        <f t="shared" si="41"/>
        <v>56.408850878327968</v>
      </c>
      <c r="CW62" s="22">
        <f t="shared" si="13"/>
        <v>499.8451852797545</v>
      </c>
      <c r="CX62" s="60">
        <f t="shared" si="14"/>
        <v>793.17851861308782</v>
      </c>
      <c r="CY62" s="60">
        <f ca="1">AVERAGE(OFFSET($CX$3,0,0,'Données projet'!$E$13+1,1))-AVERAGE(OFFSET($H$3,0,0,'Données projet'!$E$13+1,1))</f>
        <v>350.3652766444938</v>
      </c>
      <c r="CZ62" s="60">
        <f t="shared" si="42"/>
        <v>197.04549436738586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</v>
      </c>
      <c r="DO62" s="13">
        <f>IF('Données projet'!$A$166&gt;35,DO61+DN62-DW61,IF(A62&lt;'Données projet'!$A$166,$DL$205^A62,IF(A62='Données projet'!$A$166,'Données projet'!$B$166,DO61+DN62-DW61)))</f>
        <v>352.80000000000024</v>
      </c>
      <c r="DP62" s="18">
        <f>DO62*VLOOKUP('Données projet'!$B$14,Paramètres!$A$1:$I$89,3,0)*VLOOKUP('Données projet'!$B$14,Paramètres!$A$1:$I$89,5,0)</f>
        <v>280.68768000000017</v>
      </c>
      <c r="DQ62" s="14">
        <f t="shared" si="43"/>
        <v>67.11231467966806</v>
      </c>
      <c r="DR62" s="22">
        <f t="shared" si="16"/>
        <v>605.75165740042212</v>
      </c>
      <c r="DS62" s="60">
        <f t="shared" si="17"/>
        <v>899.08499073375538</v>
      </c>
      <c r="DT62" s="60">
        <f ca="1">AVERAGE(OFFSET($DS$3,0,0,'Données projet'!$E$14+1,1))-AVERAGE(OFFSET($H$3,0,0,'Données projet'!$E$14+1,1))</f>
        <v>382.01991140382955</v>
      </c>
      <c r="DU62" s="60">
        <f t="shared" si="44"/>
        <v>389.53897948144339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5.8</v>
      </c>
      <c r="EJ62" s="13">
        <f>IF('Données projet'!$A$192&gt;35,EJ61+EI62-ER61,IF(A62&lt;'Données projet'!$A$192,$EG$205^A62,IF(A62='Données projet'!$A$192,'Données projet'!$B$192,EJ61+EI62-ER61)))</f>
        <v>318.20000000000027</v>
      </c>
      <c r="EK62" s="18">
        <f>EJ62*VLOOKUP('Données projet'!$B$15,Paramètres!$A$1:$I$89,3,0)*VLOOKUP('Données projet'!$B$15,Paramètres!$A$1:$I$89,5,0)</f>
        <v>253.15992000000026</v>
      </c>
      <c r="EL62" s="14">
        <f t="shared" si="45"/>
        <v>61.262094724147204</v>
      </c>
      <c r="EM62" s="22">
        <f t="shared" si="19"/>
        <v>547.6183423112235</v>
      </c>
      <c r="EN62" s="60">
        <f t="shared" si="20"/>
        <v>840.95167564455687</v>
      </c>
      <c r="EO62" s="60">
        <f ca="1">AVERAGE(OFFSET($EN$3,0,0,'Données projet'!$E$15+1,1))-AVERAGE(OFFSET($H$3,0,0,'Données projet'!$E$15+1,1))</f>
        <v>323.92137573760789</v>
      </c>
      <c r="EP62" s="60">
        <f t="shared" si="46"/>
        <v>389.53897948144339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2.4</v>
      </c>
      <c r="FE62" s="13">
        <f>IF('Données projet'!$A$218&gt;35,FE61+FD62-FM61,IF(A62&lt;'Données projet'!$A$218,$FB$205^A62,IF(A62='Données projet'!$A$218,'Données projet'!$B$218,FE61+FD62-FM61)))</f>
        <v>242.60000000000008</v>
      </c>
      <c r="FF62" s="18">
        <f>FE62*VLOOKUP('Données projet'!$B$16,Paramètres!$A$1:$I$89,3,0)*VLOOKUP('Données projet'!$B$16,Paramètres!$A$1:$I$89,5,0)</f>
        <v>193.01256000000006</v>
      </c>
      <c r="FG62" s="14">
        <f t="shared" si="47"/>
        <v>48.205376077720281</v>
      </c>
      <c r="FH62" s="22">
        <f t="shared" si="22"/>
        <v>420.12123866869621</v>
      </c>
      <c r="FI62" s="60">
        <f t="shared" si="23"/>
        <v>713.45457200202952</v>
      </c>
      <c r="FJ62" s="60">
        <f ca="1">AVERAGE(OFFSET($FI$3,0,0,'Données projet'!$E$16+1,1))-AVERAGE(OFFSET($H$3,0,0,'Données projet'!$E$16+1,1))</f>
        <v>219.61164494001008</v>
      </c>
      <c r="FK62" s="60">
        <f t="shared" si="48"/>
        <v>219.59799863414111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10.769230769230768</v>
      </c>
      <c r="FZ62" s="13">
        <f>IF('Données projet'!$A$244&gt;35,FZ61+FY62-GH61,IF(A62&lt;'Données projet'!$A$244,$FW$205^A62,IF(A62='Données projet'!$A$244,'Données projet'!$B$244,FZ61+FY62-GH61)))</f>
        <v>307.69230769230762</v>
      </c>
      <c r="GA62" s="18">
        <f>FZ62*VLOOKUP('Données projet'!$B$17,Paramètres!$A$1:$I$89,3,0)*VLOOKUP('Données projet'!$B$17,Paramètres!$A$1:$I$89,5,0)</f>
        <v>143.99999999999997</v>
      </c>
      <c r="GB62" s="14">
        <f t="shared" si="49"/>
        <v>37.211841536720947</v>
      </c>
      <c r="GC62" s="22">
        <f t="shared" si="25"/>
        <v>315.61062400978892</v>
      </c>
      <c r="GD62" s="60">
        <f t="shared" si="26"/>
        <v>608.94395734312229</v>
      </c>
      <c r="GE62" s="60">
        <f ca="1">AVERAGE(OFFSET($GD$3,0,0,'Données projet'!$E$17+1,1))-AVERAGE(OFFSET($H$3,0,0,'Données projet'!$E$17+1,1))</f>
        <v>147.5699668214238</v>
      </c>
      <c r="GF62" s="60">
        <f t="shared" si="50"/>
        <v>70.653739864908346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>
        <f>GU62*VLOOKUP('Données projet'!$B$18,Paramètres!$A$1:$I$89,3,0)*VLOOKUP('Données projet'!$B$18,Paramètres!$A$1:$I$89,5,0)</f>
        <v>0</v>
      </c>
      <c r="GW62" s="14" t="e">
        <f t="shared" si="51"/>
        <v>#NUM!</v>
      </c>
      <c r="GX62" s="22" t="e">
        <f t="shared" si="28"/>
        <v>#NUM!</v>
      </c>
      <c r="GY62" s="60" t="e">
        <f t="shared" si="29"/>
        <v>#NUM!</v>
      </c>
      <c r="GZ62" s="60">
        <f ca="1">AVERAGE(OFFSET($GY$3,0,0,'Données projet'!$E$18+1,1))-AVERAGE(OFFSET($H$3,0,0,'Données projet'!$E$18+1,1))</f>
        <v>136.03899433512379</v>
      </c>
      <c r="HA62" s="60">
        <f t="shared" si="52"/>
        <v>316.56646692826882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42.046263374232879</v>
      </c>
      <c r="HH62" s="23">
        <f>EXP(-LN(2)/25)*HH61+(1-EXP(-LN(2)/25))/(LN(2)/25)*Calculateur!HC62*Calculateur!HE62*VLOOKUP('Données projet'!$B$18,Paramètres!$A$1:$I$89,3,0)*0.475*44/12</f>
        <v>4.5117027132505729</v>
      </c>
      <c r="HI62" s="23">
        <f>EXP(-LN(2)/2)*HI61+(1-EXP(-LN(2)/2))/(LN(2)/2)*HC62*HF62*VLOOKUP('Données projet'!$B$18,Paramètres!$A$1:$I$89,3,0)*0.475*44/12</f>
        <v>1.2618293754143109E-4</v>
      </c>
      <c r="HJ62" s="24">
        <f t="shared" si="30"/>
        <v>46.558092270420993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827.94787109652862</v>
      </c>
      <c r="S63" s="60">
        <f ca="1">AVERAGE(OFFSET($R$3,0,0,'Données projet'!$E$9+1,1))-AVERAGE(OFFSET($H$3,0,0,'Données projet'!$E$9+1,1))</f>
        <v>384.44848355636935</v>
      </c>
      <c r="T63" s="60">
        <f t="shared" si="34"/>
        <v>203.5274665601915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0">
        <f t="shared" si="5"/>
        <v>755.11439815081053</v>
      </c>
      <c r="AN63" s="60">
        <f ca="1">AVERAGE(OFFSET($AM$3,0,0,'Données projet'!$E$10+1,1))-AVERAGE(OFFSET($H$3,0,0,'Données projet'!$E$10+1,1))</f>
        <v>303.73499739059076</v>
      </c>
      <c r="AO63" s="60">
        <f t="shared" si="36"/>
        <v>172.32171001882188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229.9752</v>
      </c>
      <c r="BF63" s="14">
        <f t="shared" si="37"/>
        <v>56.277319157664316</v>
      </c>
      <c r="BG63" s="22">
        <f t="shared" si="7"/>
        <v>498.55647086626527</v>
      </c>
      <c r="BH63" s="60">
        <f t="shared" si="8"/>
        <v>791.88980419959853</v>
      </c>
      <c r="BI63" s="60">
        <f ca="1">AVERAGE(OFFSET($BH$3,0,0,'Données projet'!$E$11+1,1))-AVERAGE(OFFSET($H$3,0,0,'Données projet'!$E$11+1,1))</f>
        <v>352.29660374042186</v>
      </c>
      <c r="BJ63" s="60">
        <f t="shared" si="38"/>
        <v>187.26439695305618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197.964</v>
      </c>
      <c r="CA63" s="14">
        <f t="shared" si="39"/>
        <v>49.296450435147761</v>
      </c>
      <c r="CB63" s="22">
        <f t="shared" si="10"/>
        <v>430.64528450788231</v>
      </c>
      <c r="CC63" s="60">
        <f t="shared" si="11"/>
        <v>723.97861784121562</v>
      </c>
      <c r="CD63" s="60">
        <f ca="1">AVERAGE(OFFSET($CC$3,0,0,'Données projet'!$E$12+1,1))-AVERAGE(OFFSET($H$3,0,0,'Données projet'!$E$12+1,1))</f>
        <v>277.03735509061545</v>
      </c>
      <c r="CE63" s="60">
        <f t="shared" si="40"/>
        <v>158.16416492761959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238.29000000000002</v>
      </c>
      <c r="CV63" s="14">
        <f t="shared" si="41"/>
        <v>58.071462681001513</v>
      </c>
      <c r="CW63" s="22">
        <f t="shared" si="13"/>
        <v>516.16288083607753</v>
      </c>
      <c r="CX63" s="60">
        <f t="shared" si="14"/>
        <v>809.49621416941091</v>
      </c>
      <c r="CY63" s="60">
        <f ca="1">AVERAGE(OFFSET($CX$3,0,0,'Données projet'!$E$13+1,1))-AVERAGE(OFFSET($H$3,0,0,'Données projet'!$E$13+1,1))</f>
        <v>350.3652766444938</v>
      </c>
      <c r="CZ63" s="60">
        <f t="shared" si="42"/>
        <v>197.04549436738586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359</v>
      </c>
      <c r="DM63" s="13">
        <f>VLOOKUP(A63,'Données projet'!$A$165:$I$185,9,0)</f>
        <v>6.2</v>
      </c>
      <c r="DN63" s="13">
        <f t="array" ref="DN63">INDEX(DM:DM,MIN(IF(ISNUMBER(DM63:DM259),ROW(DM63:DM259),"")))</f>
        <v>6.2</v>
      </c>
      <c r="DO63" s="13">
        <f>IF('Données projet'!$A$166&gt;35,DO62+DN63-DW62,IF(A63&lt;'Données projet'!$A$166,$DL$205^A63,IF(A63='Données projet'!$A$166,'Données projet'!$B$166,DO62+DN63-DW62)))</f>
        <v>359.00000000000023</v>
      </c>
      <c r="DP63" s="18">
        <f>DO63*VLOOKUP('Données projet'!$B$14,Paramètres!$A$1:$I$89,3,0)*VLOOKUP('Données projet'!$B$14,Paramètres!$A$1:$I$89,5,0)</f>
        <v>285.62040000000019</v>
      </c>
      <c r="DQ63" s="14">
        <f t="shared" si="43"/>
        <v>68.153383644840204</v>
      </c>
      <c r="DR63" s="22">
        <f t="shared" si="16"/>
        <v>616.15600651476359</v>
      </c>
      <c r="DS63" s="60">
        <f t="shared" si="17"/>
        <v>909.48933984809696</v>
      </c>
      <c r="DT63" s="60">
        <f ca="1">AVERAGE(OFFSET($DS$3,0,0,'Données projet'!$E$14+1,1))-AVERAGE(OFFSET($H$3,0,0,'Données projet'!$E$14+1,1))</f>
        <v>382.01991140382955</v>
      </c>
      <c r="DU63" s="60">
        <f t="shared" si="44"/>
        <v>389.53897948144339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324</v>
      </c>
      <c r="EH63" s="13">
        <f>VLOOKUP(A63,'Données projet'!$A$191:$I$211,9,0)</f>
        <v>5.8</v>
      </c>
      <c r="EI63" s="13">
        <f t="array" ref="EI63">INDEX(EH:EH,MIN(IF(ISNUMBER(EH63:EH259),ROW(EH63:EH259),"")))</f>
        <v>5.8</v>
      </c>
      <c r="EJ63" s="13">
        <f>IF('Données projet'!$A$192&gt;35,EJ62+EI63-ER62,IF(A63&lt;'Données projet'!$A$192,$EG$205^A63,IF(A63='Données projet'!$A$192,'Données projet'!$B$192,EJ62+EI63-ER62)))</f>
        <v>324.00000000000028</v>
      </c>
      <c r="EK63" s="18">
        <f>EJ63*VLOOKUP('Données projet'!$B$15,Paramètres!$A$1:$I$89,3,0)*VLOOKUP('Données projet'!$B$15,Paramètres!$A$1:$I$89,5,0)</f>
        <v>257.77440000000024</v>
      </c>
      <c r="EL63" s="14">
        <f t="shared" si="45"/>
        <v>62.24773287213435</v>
      </c>
      <c r="EM63" s="22">
        <f t="shared" si="19"/>
        <v>557.37188141896775</v>
      </c>
      <c r="EN63" s="60">
        <f t="shared" si="20"/>
        <v>850.70521475230112</v>
      </c>
      <c r="EO63" s="60">
        <f ca="1">AVERAGE(OFFSET($EN$3,0,0,'Données projet'!$E$15+1,1))-AVERAGE(OFFSET($H$3,0,0,'Données projet'!$E$15+1,1))</f>
        <v>323.92137573760789</v>
      </c>
      <c r="EP63" s="60">
        <f t="shared" si="46"/>
        <v>389.53897948144339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245</v>
      </c>
      <c r="FC63" s="13">
        <f>VLOOKUP(A63,'Données projet'!$A$217:$I$237,9,0)</f>
        <v>2.4</v>
      </c>
      <c r="FD63" s="13">
        <f t="array" ref="FD63">INDEX(FC:FC,MIN(IF(ISNUMBER(FC63:FC259),ROW(FC63:FC259),"")))</f>
        <v>2.4</v>
      </c>
      <c r="FE63" s="13">
        <f>IF('Données projet'!$A$218&gt;35,FE62+FD63-FM62,IF(A63&lt;'Données projet'!$A$218,$FB$205^A63,IF(A63='Données projet'!$A$218,'Données projet'!$B$218,FE62+FD63-FM62)))</f>
        <v>245.00000000000009</v>
      </c>
      <c r="FF63" s="18">
        <f>FE63*VLOOKUP('Données projet'!$B$16,Paramètres!$A$1:$I$89,3,0)*VLOOKUP('Données projet'!$B$16,Paramètres!$A$1:$I$89,5,0)</f>
        <v>194.92200000000008</v>
      </c>
      <c r="FG63" s="14">
        <f t="shared" si="47"/>
        <v>48.626512129794968</v>
      </c>
      <c r="FH63" s="22">
        <f t="shared" si="22"/>
        <v>424.18032529272637</v>
      </c>
      <c r="FI63" s="60">
        <f t="shared" si="23"/>
        <v>717.51365862605962</v>
      </c>
      <c r="FJ63" s="60">
        <f ca="1">AVERAGE(OFFSET($FI$3,0,0,'Données projet'!$E$16+1,1))-AVERAGE(OFFSET($H$3,0,0,'Données projet'!$E$16+1,1))</f>
        <v>219.61164494001008</v>
      </c>
      <c r="FK63" s="60">
        <f t="shared" si="48"/>
        <v>219.59799863414111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25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10.769230769230768</v>
      </c>
      <c r="FZ63" s="13">
        <f>IF('Données projet'!$A$244&gt;35,FZ62+FY63-GH62,IF(A63&lt;'Données projet'!$A$244,$FW$205^A63,IF(A63='Données projet'!$A$244,'Données projet'!$B$244,FZ62+FY63-GH62)))</f>
        <v>318.4615384615384</v>
      </c>
      <c r="GA63" s="18">
        <f>FZ63*VLOOKUP('Données projet'!$B$17,Paramètres!$A$1:$I$89,3,0)*VLOOKUP('Données projet'!$B$17,Paramètres!$A$1:$I$89,5,0)</f>
        <v>149.03999999999996</v>
      </c>
      <c r="GB63" s="14">
        <f t="shared" si="49"/>
        <v>38.360340720309644</v>
      </c>
      <c r="GC63" s="22">
        <f t="shared" si="25"/>
        <v>326.38892675453917</v>
      </c>
      <c r="GD63" s="60">
        <f t="shared" si="26"/>
        <v>619.72226008787243</v>
      </c>
      <c r="GE63" s="60">
        <f ca="1">AVERAGE(OFFSET($GD$3,0,0,'Données projet'!$E$17+1,1))-AVERAGE(OFFSET($H$3,0,0,'Données projet'!$E$17+1,1))</f>
        <v>147.5699668214238</v>
      </c>
      <c r="GF63" s="60">
        <f t="shared" si="50"/>
        <v>70.653739864908346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>
        <f>GU63*VLOOKUP('Données projet'!$B$18,Paramètres!$A$1:$I$89,3,0)*VLOOKUP('Données projet'!$B$18,Paramètres!$A$1:$I$89,5,0)</f>
        <v>0</v>
      </c>
      <c r="GW63" s="14" t="e">
        <f t="shared" si="51"/>
        <v>#NUM!</v>
      </c>
      <c r="GX63" s="22" t="e">
        <f t="shared" si="28"/>
        <v>#NUM!</v>
      </c>
      <c r="GY63" s="60" t="e">
        <f t="shared" si="29"/>
        <v>#NUM!</v>
      </c>
      <c r="GZ63" s="60">
        <f ca="1">AVERAGE(OFFSET($GY$3,0,0,'Données projet'!$E$18+1,1))-AVERAGE(OFFSET($H$3,0,0,'Données projet'!$E$18+1,1))</f>
        <v>136.03899433512379</v>
      </c>
      <c r="HA63" s="60">
        <f t="shared" si="52"/>
        <v>316.56646692826882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41.221761795152531</v>
      </c>
      <c r="HH63" s="23">
        <f>EXP(-LN(2)/25)*HH62+(1-EXP(-LN(2)/25))/(LN(2)/25)*Calculateur!HC63*Calculateur!HE63*VLOOKUP('Données projet'!$B$18,Paramètres!$A$1:$I$89,3,0)*0.475*44/12</f>
        <v>4.3883299652966024</v>
      </c>
      <c r="HI63" s="23">
        <f>EXP(-LN(2)/2)*HI62+(1-EXP(-LN(2)/2))/(LN(2)/2)*HC63*HF63*VLOOKUP('Données projet'!$B$18,Paramètres!$A$1:$I$89,3,0)*0.475*44/12</f>
        <v>8.9224810805584509E-5</v>
      </c>
      <c r="HJ63" s="24">
        <f t="shared" si="30"/>
        <v>45.610180985259944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844.78361837999637</v>
      </c>
      <c r="S64" s="60">
        <f ca="1">AVERAGE(OFFSET($R$3,0,0,'Données projet'!$E$9+1,1))-AVERAGE(OFFSET($H$3,0,0,'Données projet'!$E$9+1,1))</f>
        <v>384.44848355636935</v>
      </c>
      <c r="T64" s="60">
        <f t="shared" si="34"/>
        <v>203.5274665601915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0">
        <f t="shared" si="5"/>
        <v>688.19859268339724</v>
      </c>
      <c r="AN64" s="60">
        <f ca="1">AVERAGE(OFFSET($AM$3,0,0,'Données projet'!$E$10+1,1))-AVERAGE(OFFSET($H$3,0,0,'Données projet'!$E$10+1,1))</f>
        <v>303.73499739059076</v>
      </c>
      <c r="AO64" s="60">
        <f t="shared" si="36"/>
        <v>172.32171001882188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281.79999999999995</v>
      </c>
      <c r="BE64" s="14">
        <f>BD64*VLOOKUP('Données projet'!$B$11,Paramètres!$A$1:$I$89,3,0)*VLOOKUP('Données projet'!$B$11,Paramètres!$A$1:$I$89,5,0)</f>
        <v>237.38831999999999</v>
      </c>
      <c r="BF64" s="14">
        <f t="shared" si="37"/>
        <v>57.877257478787087</v>
      </c>
      <c r="BG64" s="22">
        <f t="shared" si="7"/>
        <v>514.25421410888737</v>
      </c>
      <c r="BH64" s="60">
        <f t="shared" si="8"/>
        <v>807.58754744222074</v>
      </c>
      <c r="BI64" s="60">
        <f ca="1">AVERAGE(OFFSET($BH$3,0,0,'Données projet'!$E$11+1,1))-AVERAGE(OFFSET($H$3,0,0,'Données projet'!$E$11+1,1))</f>
        <v>352.29660374042186</v>
      </c>
      <c r="BJ64" s="60">
        <f t="shared" si="38"/>
        <v>187.26439695305618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168.64847999999998</v>
      </c>
      <c r="CA64" s="14">
        <f t="shared" si="39"/>
        <v>42.78718759212785</v>
      </c>
      <c r="CB64" s="22">
        <f t="shared" si="10"/>
        <v>368.25045438962269</v>
      </c>
      <c r="CC64" s="60">
        <f t="shared" si="11"/>
        <v>661.583787722956</v>
      </c>
      <c r="CD64" s="60">
        <f ca="1">AVERAGE(OFFSET($CC$3,0,0,'Données projet'!$E$12+1,1))-AVERAGE(OFFSET($H$3,0,0,'Données projet'!$E$12+1,1))</f>
        <v>277.03735509061545</v>
      </c>
      <c r="CE64" s="60">
        <f t="shared" si="40"/>
        <v>158.16416492761959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203.00279999999995</v>
      </c>
      <c r="CV64" s="14">
        <f t="shared" si="41"/>
        <v>50.403518824343074</v>
      </c>
      <c r="CW64" s="22">
        <f t="shared" si="13"/>
        <v>441.3493386190641</v>
      </c>
      <c r="CX64" s="60">
        <f t="shared" si="14"/>
        <v>734.68267195239741</v>
      </c>
      <c r="CY64" s="60">
        <f ca="1">AVERAGE(OFFSET($CX$3,0,0,'Données projet'!$E$13+1,1))-AVERAGE(OFFSET($H$3,0,0,'Données projet'!$E$13+1,1))</f>
        <v>350.3652766444938</v>
      </c>
      <c r="CZ64" s="60">
        <f t="shared" si="42"/>
        <v>197.04549436738586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2.6</v>
      </c>
      <c r="DO64" s="13">
        <f>IF('Données projet'!$A$166&gt;35,DO63+DN64-DW63,IF(A64&lt;'Données projet'!$A$166,$DL$205^A64,IF(A64='Données projet'!$A$166,'Données projet'!$B$166,DO63+DN64-DW63)))</f>
        <v>361.60000000000025</v>
      </c>
      <c r="DP64" s="18">
        <f>DO64*VLOOKUP('Données projet'!$B$14,Paramètres!$A$1:$I$89,3,0)*VLOOKUP('Données projet'!$B$14,Paramètres!$A$1:$I$89,5,0)</f>
        <v>287.68896000000024</v>
      </c>
      <c r="DQ64" s="14">
        <f t="shared" si="43"/>
        <v>68.589336398392746</v>
      </c>
      <c r="DR64" s="22">
        <f t="shared" si="16"/>
        <v>620.51803289386771</v>
      </c>
      <c r="DS64" s="60">
        <f t="shared" si="17"/>
        <v>913.85136622720097</v>
      </c>
      <c r="DT64" s="60">
        <f ca="1">AVERAGE(OFFSET($DS$3,0,0,'Données projet'!$E$14+1,1))-AVERAGE(OFFSET($H$3,0,0,'Données projet'!$E$14+1,1))</f>
        <v>382.01991140382955</v>
      </c>
      <c r="DU64" s="60">
        <f t="shared" si="44"/>
        <v>389.53897948144339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</v>
      </c>
      <c r="EJ64" s="13">
        <f>IF('Données projet'!$A$192&gt;35,EJ63+EI64-ER63,IF(A64&lt;'Données projet'!$A$192,$EG$205^A64,IF(A64='Données projet'!$A$192,'Données projet'!$B$192,EJ63+EI64-ER63)))</f>
        <v>299.00000000000028</v>
      </c>
      <c r="EK64" s="18">
        <f>EJ64*VLOOKUP('Données projet'!$B$15,Paramètres!$A$1:$I$89,3,0)*VLOOKUP('Données projet'!$B$15,Paramètres!$A$1:$I$89,5,0)</f>
        <v>237.88440000000026</v>
      </c>
      <c r="EL64" s="14">
        <f t="shared" si="45"/>
        <v>57.984114543460585</v>
      </c>
      <c r="EM64" s="22">
        <f t="shared" si="19"/>
        <v>515.30432949652766</v>
      </c>
      <c r="EN64" s="60">
        <f t="shared" si="20"/>
        <v>808.63766282986103</v>
      </c>
      <c r="EO64" s="60">
        <f ca="1">AVERAGE(OFFSET($EN$3,0,0,'Données projet'!$E$15+1,1))-AVERAGE(OFFSET($H$3,0,0,'Données projet'!$E$15+1,1))</f>
        <v>323.92137573760789</v>
      </c>
      <c r="EP64" s="60">
        <f t="shared" si="46"/>
        <v>389.53897948144339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</v>
      </c>
      <c r="FE64" s="13">
        <f>IF('Données projet'!$A$218&gt;35,FE63+FD64-FM63,IF(A64&lt;'Données projet'!$A$218,$FB$205^A64,IF(A64='Données projet'!$A$218,'Données projet'!$B$218,FE63+FD64-FM63)))</f>
        <v>227.00000000000009</v>
      </c>
      <c r="FF64" s="18">
        <f>FE64*VLOOKUP('Données projet'!$B$16,Paramètres!$A$1:$I$89,3,0)*VLOOKUP('Données projet'!$B$16,Paramètres!$A$1:$I$89,5,0)</f>
        <v>180.60120000000006</v>
      </c>
      <c r="FG64" s="14">
        <f t="shared" si="47"/>
        <v>45.455916121824579</v>
      </c>
      <c r="FH64" s="22">
        <f t="shared" si="22"/>
        <v>393.71614391217787</v>
      </c>
      <c r="FI64" s="60">
        <f t="shared" si="23"/>
        <v>687.04947724551118</v>
      </c>
      <c r="FJ64" s="60">
        <f ca="1">AVERAGE(OFFSET($FI$3,0,0,'Données projet'!$E$16+1,1))-AVERAGE(OFFSET($H$3,0,0,'Données projet'!$E$16+1,1))</f>
        <v>219.61164494001008</v>
      </c>
      <c r="FK64" s="60">
        <f t="shared" si="48"/>
        <v>219.59799863414111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10.769230769230768</v>
      </c>
      <c r="FZ64" s="13">
        <f>IF('Données projet'!$A$244&gt;35,FZ63+FY64-GH63,IF(A64&lt;'Données projet'!$A$244,$FW$205^A64,IF(A64='Données projet'!$A$244,'Données projet'!$B$244,FZ63+FY64-GH63)))</f>
        <v>329.23076923076917</v>
      </c>
      <c r="GA64" s="18">
        <f>FZ64*VLOOKUP('Données projet'!$B$17,Paramètres!$A$1:$I$89,3,0)*VLOOKUP('Données projet'!$B$17,Paramètres!$A$1:$I$89,5,0)</f>
        <v>154.07999999999998</v>
      </c>
      <c r="GB64" s="14">
        <f t="shared" si="49"/>
        <v>39.504327121889922</v>
      </c>
      <c r="GC64" s="22">
        <f t="shared" si="25"/>
        <v>337.15936973729157</v>
      </c>
      <c r="GD64" s="60">
        <f t="shared" si="26"/>
        <v>630.49270307062488</v>
      </c>
      <c r="GE64" s="60">
        <f ca="1">AVERAGE(OFFSET($GD$3,0,0,'Données projet'!$E$17+1,1))-AVERAGE(OFFSET($H$3,0,0,'Données projet'!$E$17+1,1))</f>
        <v>147.5699668214238</v>
      </c>
      <c r="GF64" s="60">
        <f t="shared" si="50"/>
        <v>70.653739864908346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>
        <f>GU64*VLOOKUP('Données projet'!$B$18,Paramètres!$A$1:$I$89,3,0)*VLOOKUP('Données projet'!$B$18,Paramètres!$A$1:$I$89,5,0)</f>
        <v>0</v>
      </c>
      <c r="GW64" s="14" t="e">
        <f t="shared" si="51"/>
        <v>#NUM!</v>
      </c>
      <c r="GX64" s="22" t="e">
        <f t="shared" si="28"/>
        <v>#NUM!</v>
      </c>
      <c r="GY64" s="60" t="e">
        <f t="shared" si="29"/>
        <v>#NUM!</v>
      </c>
      <c r="GZ64" s="60">
        <f ca="1">AVERAGE(OFFSET($GY$3,0,0,'Données projet'!$E$18+1,1))-AVERAGE(OFFSET($H$3,0,0,'Données projet'!$E$18+1,1))</f>
        <v>136.03899433512379</v>
      </c>
      <c r="HA64" s="60">
        <f t="shared" si="52"/>
        <v>316.56646692826882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40.413428189141641</v>
      </c>
      <c r="HH64" s="23">
        <f>EXP(-LN(2)/25)*HH63+(1-EXP(-LN(2)/25))/(LN(2)/25)*Calculateur!HC64*Calculateur!HE64*VLOOKUP('Données projet'!$B$18,Paramètres!$A$1:$I$89,3,0)*0.475*44/12</f>
        <v>4.2683308516233236</v>
      </c>
      <c r="HI64" s="23">
        <f>EXP(-LN(2)/2)*HI63+(1-EXP(-LN(2)/2))/(LN(2)/2)*HC64*HF64*VLOOKUP('Données projet'!$B$18,Paramètres!$A$1:$I$89,3,0)*0.475*44/12</f>
        <v>6.3091468770715546E-5</v>
      </c>
      <c r="HJ64" s="24">
        <f t="shared" si="30"/>
        <v>44.681822132233734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861.60859430939536</v>
      </c>
      <c r="S65" s="60">
        <f ca="1">AVERAGE(OFFSET($R$3,0,0,'Données projet'!$E$9+1,1))-AVERAGE(OFFSET($H$3,0,0,'Données projet'!$E$9+1,1))</f>
        <v>384.44848355636935</v>
      </c>
      <c r="T65" s="60">
        <f t="shared" si="34"/>
        <v>203.5274665601915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0">
        <f t="shared" si="5"/>
        <v>702.06203699024263</v>
      </c>
      <c r="AN65" s="60">
        <f ca="1">AVERAGE(OFFSET($AM$3,0,0,'Données projet'!$E$10+1,1))-AVERAGE(OFFSET($H$3,0,0,'Données projet'!$E$10+1,1))</f>
        <v>303.73499739059076</v>
      </c>
      <c r="AO65" s="60">
        <f t="shared" si="36"/>
        <v>172.32171001882188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290.59999999999997</v>
      </c>
      <c r="BE65" s="14">
        <f>BD65*VLOOKUP('Données projet'!$B$11,Paramètres!$A$1:$I$89,3,0)*VLOOKUP('Données projet'!$B$11,Paramètres!$A$1:$I$89,5,0)</f>
        <v>244.80143999999999</v>
      </c>
      <c r="BF65" s="14">
        <f t="shared" si="37"/>
        <v>59.471389714596519</v>
      </c>
      <c r="BG65" s="22">
        <f t="shared" si="7"/>
        <v>529.94184508625551</v>
      </c>
      <c r="BH65" s="60">
        <f t="shared" si="8"/>
        <v>823.27517841958888</v>
      </c>
      <c r="BI65" s="60">
        <f ca="1">AVERAGE(OFFSET($BH$3,0,0,'Données projet'!$E$11+1,1))-AVERAGE(OFFSET($H$3,0,0,'Données projet'!$E$11+1,1))</f>
        <v>352.29660374042186</v>
      </c>
      <c r="BJ65" s="60">
        <f t="shared" si="38"/>
        <v>187.26439695305618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174.71375999999998</v>
      </c>
      <c r="CA65" s="14">
        <f t="shared" si="39"/>
        <v>44.144062647515817</v>
      </c>
      <c r="CB65" s="22">
        <f t="shared" si="10"/>
        <v>381.17737444442332</v>
      </c>
      <c r="CC65" s="60">
        <f t="shared" si="11"/>
        <v>674.51070777775658</v>
      </c>
      <c r="CD65" s="60">
        <f ca="1">AVERAGE(OFFSET($CC$3,0,0,'Données projet'!$E$12+1,1))-AVERAGE(OFFSET($H$3,0,0,'Données projet'!$E$12+1,1))</f>
        <v>277.03735509061545</v>
      </c>
      <c r="CE65" s="60">
        <f t="shared" si="40"/>
        <v>158.16416492761959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210.30359999999996</v>
      </c>
      <c r="CV65" s="14">
        <f t="shared" si="41"/>
        <v>52.001924357524459</v>
      </c>
      <c r="CW65" s="22">
        <f t="shared" si="13"/>
        <v>456.84878825602163</v>
      </c>
      <c r="CX65" s="60">
        <f t="shared" si="14"/>
        <v>750.18212158935489</v>
      </c>
      <c r="CY65" s="60">
        <f ca="1">AVERAGE(OFFSET($CX$3,0,0,'Données projet'!$E$13+1,1))-AVERAGE(OFFSET($H$3,0,0,'Données projet'!$E$13+1,1))</f>
        <v>350.3652766444938</v>
      </c>
      <c r="CZ65" s="60">
        <f t="shared" si="42"/>
        <v>197.04549436738586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2.6</v>
      </c>
      <c r="DO65" s="13">
        <f>IF('Données projet'!$A$166&gt;35,DO64+DN65-DW64,IF(A65&lt;'Données projet'!$A$166,$DL$205^A65,IF(A65='Données projet'!$A$166,'Données projet'!$B$166,DO64+DN65-DW64)))</f>
        <v>364.20000000000027</v>
      </c>
      <c r="DP65" s="18">
        <f>DO65*VLOOKUP('Données projet'!$B$14,Paramètres!$A$1:$I$89,3,0)*VLOOKUP('Données projet'!$B$14,Paramètres!$A$1:$I$89,5,0)</f>
        <v>289.75752000000023</v>
      </c>
      <c r="DQ65" s="14">
        <f t="shared" si="43"/>
        <v>69.024924431959803</v>
      </c>
      <c r="DR65" s="22">
        <f t="shared" si="16"/>
        <v>624.87942405233025</v>
      </c>
      <c r="DS65" s="60">
        <f t="shared" si="17"/>
        <v>918.21275738566351</v>
      </c>
      <c r="DT65" s="60">
        <f ca="1">AVERAGE(OFFSET($DS$3,0,0,'Données projet'!$E$14+1,1))-AVERAGE(OFFSET($H$3,0,0,'Données projet'!$E$14+1,1))</f>
        <v>382.01991140382955</v>
      </c>
      <c r="DU65" s="60">
        <f t="shared" si="44"/>
        <v>389.53897948144339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</v>
      </c>
      <c r="EJ65" s="13">
        <f>IF('Données projet'!$A$192&gt;35,EJ64+EI65-ER64,IF(A65&lt;'Données projet'!$A$192,$EG$205^A65,IF(A65='Données projet'!$A$192,'Données projet'!$B$192,EJ64+EI65-ER64)))</f>
        <v>304.00000000000028</v>
      </c>
      <c r="EK65" s="18">
        <f>EJ65*VLOOKUP('Données projet'!$B$15,Paramètres!$A$1:$I$89,3,0)*VLOOKUP('Données projet'!$B$15,Paramètres!$A$1:$I$89,5,0)</f>
        <v>241.86240000000021</v>
      </c>
      <c r="EL65" s="14">
        <f t="shared" si="45"/>
        <v>58.8400544642151</v>
      </c>
      <c r="EM65" s="22">
        <f t="shared" si="19"/>
        <v>523.72344152517496</v>
      </c>
      <c r="EN65" s="60">
        <f t="shared" si="20"/>
        <v>817.05677485850833</v>
      </c>
      <c r="EO65" s="60">
        <f ca="1">AVERAGE(OFFSET($EN$3,0,0,'Données projet'!$E$15+1,1))-AVERAGE(OFFSET($H$3,0,0,'Données projet'!$E$15+1,1))</f>
        <v>323.92137573760789</v>
      </c>
      <c r="EP65" s="60">
        <f t="shared" si="46"/>
        <v>389.53897948144339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</v>
      </c>
      <c r="FE65" s="13">
        <f>IF('Données projet'!$A$218&gt;35,FE64+FD65-FM64,IF(A65&lt;'Données projet'!$A$218,$FB$205^A65,IF(A65='Données projet'!$A$218,'Données projet'!$B$218,FE64+FD65-FM64)))</f>
        <v>234.00000000000009</v>
      </c>
      <c r="FF65" s="18">
        <f>FE65*VLOOKUP('Données projet'!$B$16,Paramètres!$A$1:$I$89,3,0)*VLOOKUP('Données projet'!$B$16,Paramètres!$A$1:$I$89,5,0)</f>
        <v>186.17040000000009</v>
      </c>
      <c r="FG65" s="14">
        <f t="shared" si="47"/>
        <v>46.69228193379606</v>
      </c>
      <c r="FH65" s="22">
        <f t="shared" si="22"/>
        <v>405.56917103469499</v>
      </c>
      <c r="FI65" s="60">
        <f t="shared" si="23"/>
        <v>698.9025043680283</v>
      </c>
      <c r="FJ65" s="60">
        <f ca="1">AVERAGE(OFFSET($FI$3,0,0,'Données projet'!$E$16+1,1))-AVERAGE(OFFSET($H$3,0,0,'Données projet'!$E$16+1,1))</f>
        <v>219.61164494001008</v>
      </c>
      <c r="FK65" s="60">
        <f t="shared" si="48"/>
        <v>219.59799863414111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10.769230769230768</v>
      </c>
      <c r="FZ65" s="13">
        <f>IF('Données projet'!$A$244&gt;35,FZ64+FY65-GH64,IF(A65&lt;'Données projet'!$A$244,$FW$205^A65,IF(A65='Données projet'!$A$244,'Données projet'!$B$244,FZ64+FY65-GH64)))</f>
        <v>339.99999999999994</v>
      </c>
      <c r="GA65" s="18">
        <f>FZ65*VLOOKUP('Données projet'!$B$17,Paramètres!$A$1:$I$89,3,0)*VLOOKUP('Données projet'!$B$17,Paramètres!$A$1:$I$89,5,0)</f>
        <v>159.11999999999998</v>
      </c>
      <c r="GB65" s="14">
        <f t="shared" si="49"/>
        <v>40.643965284387697</v>
      </c>
      <c r="GC65" s="22">
        <f t="shared" si="25"/>
        <v>347.92223953697516</v>
      </c>
      <c r="GD65" s="60">
        <f t="shared" si="26"/>
        <v>641.25557287030847</v>
      </c>
      <c r="GE65" s="60">
        <f ca="1">AVERAGE(OFFSET($GD$3,0,0,'Données projet'!$E$17+1,1))-AVERAGE(OFFSET($H$3,0,0,'Données projet'!$E$17+1,1))</f>
        <v>147.5699668214238</v>
      </c>
      <c r="GF65" s="60">
        <f t="shared" si="50"/>
        <v>70.653739864908346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>
        <f>GU65*VLOOKUP('Données projet'!$B$18,Paramètres!$A$1:$I$89,3,0)*VLOOKUP('Données projet'!$B$18,Paramètres!$A$1:$I$89,5,0)</f>
        <v>0</v>
      </c>
      <c r="GW65" s="14" t="e">
        <f t="shared" si="51"/>
        <v>#NUM!</v>
      </c>
      <c r="GX65" s="22" t="e">
        <f t="shared" si="28"/>
        <v>#NUM!</v>
      </c>
      <c r="GY65" s="60" t="e">
        <f t="shared" si="29"/>
        <v>#NUM!</v>
      </c>
      <c r="GZ65" s="60">
        <f ca="1">AVERAGE(OFFSET($GY$3,0,0,'Données projet'!$E$18+1,1))-AVERAGE(OFFSET($H$3,0,0,'Données projet'!$E$18+1,1))</f>
        <v>136.03899433512379</v>
      </c>
      <c r="HA65" s="60">
        <f t="shared" si="52"/>
        <v>316.56646692826882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39.620945512109806</v>
      </c>
      <c r="HH65" s="23">
        <f>EXP(-LN(2)/25)*HH64+(1-EXP(-LN(2)/25))/(LN(2)/25)*Calculateur!HC65*Calculateur!HE65*VLOOKUP('Données projet'!$B$18,Paramètres!$A$1:$I$89,3,0)*0.475*44/12</f>
        <v>4.1516131200239199</v>
      </c>
      <c r="HI65" s="23">
        <f>EXP(-LN(2)/2)*HI64+(1-EXP(-LN(2)/2))/(LN(2)/2)*HC65*HF65*VLOOKUP('Données projet'!$B$18,Paramètres!$A$1:$I$89,3,0)*0.475*44/12</f>
        <v>4.4612405402792254E-5</v>
      </c>
      <c r="HJ65" s="24">
        <f t="shared" si="30"/>
        <v>43.772603244539127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878.42316250379099</v>
      </c>
      <c r="S66" s="60">
        <f ca="1">AVERAGE(OFFSET($R$3,0,0,'Données projet'!$E$9+1,1))-AVERAGE(OFFSET($H$3,0,0,'Données projet'!$E$9+1,1))</f>
        <v>384.44848355636935</v>
      </c>
      <c r="T66" s="60">
        <f t="shared" si="34"/>
        <v>203.5274665601915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0">
        <f t="shared" si="5"/>
        <v>715.91532773426115</v>
      </c>
      <c r="AN66" s="60">
        <f ca="1">AVERAGE(OFFSET($AM$3,0,0,'Données projet'!$E$10+1,1))-AVERAGE(OFFSET($H$3,0,0,'Données projet'!$E$10+1,1))</f>
        <v>303.73499739059076</v>
      </c>
      <c r="AO66" s="60">
        <f t="shared" si="36"/>
        <v>172.32171001882188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299.39999999999998</v>
      </c>
      <c r="BE66" s="14">
        <f>BD66*VLOOKUP('Données projet'!$B$11,Paramètres!$A$1:$I$89,3,0)*VLOOKUP('Données projet'!$B$11,Paramètres!$A$1:$I$89,5,0)</f>
        <v>252.21455999999998</v>
      </c>
      <c r="BF66" s="14">
        <f t="shared" si="37"/>
        <v>61.059911866756252</v>
      </c>
      <c r="BG66" s="22">
        <f t="shared" si="7"/>
        <v>545.61970516793383</v>
      </c>
      <c r="BH66" s="60">
        <f t="shared" si="8"/>
        <v>838.9530385012672</v>
      </c>
      <c r="BI66" s="60">
        <f ca="1">AVERAGE(OFFSET($BH$3,0,0,'Données projet'!$E$11+1,1))-AVERAGE(OFFSET($H$3,0,0,'Données projet'!$E$11+1,1))</f>
        <v>352.29660374042186</v>
      </c>
      <c r="BJ66" s="60">
        <f t="shared" si="38"/>
        <v>187.26439695305618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180.77903999999995</v>
      </c>
      <c r="CA66" s="14">
        <f t="shared" si="39"/>
        <v>45.495464625737284</v>
      </c>
      <c r="CB66" s="22">
        <f t="shared" si="10"/>
        <v>394.09476222315897</v>
      </c>
      <c r="CC66" s="60">
        <f t="shared" si="11"/>
        <v>687.42809555649228</v>
      </c>
      <c r="CD66" s="60">
        <f ca="1">AVERAGE(OFFSET($CC$3,0,0,'Données projet'!$E$12+1,1))-AVERAGE(OFFSET($H$3,0,0,'Données projet'!$E$12+1,1))</f>
        <v>277.03735509061545</v>
      </c>
      <c r="CE66" s="60">
        <f t="shared" si="40"/>
        <v>158.16416492761959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217.60439999999994</v>
      </c>
      <c r="CV66" s="14">
        <f t="shared" si="41"/>
        <v>53.593882578706356</v>
      </c>
      <c r="CW66" s="22">
        <f t="shared" si="13"/>
        <v>472.33700882458015</v>
      </c>
      <c r="CX66" s="60">
        <f t="shared" si="14"/>
        <v>765.67034215791341</v>
      </c>
      <c r="CY66" s="60">
        <f ca="1">AVERAGE(OFFSET($CX$3,0,0,'Données projet'!$E$13+1,1))-AVERAGE(OFFSET($H$3,0,0,'Données projet'!$E$13+1,1))</f>
        <v>350.3652766444938</v>
      </c>
      <c r="CZ66" s="60">
        <f t="shared" si="42"/>
        <v>197.04549436738586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2.6</v>
      </c>
      <c r="DO66" s="13">
        <f>IF('Données projet'!$A$166&gt;35,DO65+DN66-DW65,IF(A66&lt;'Données projet'!$A$166,$DL$205^A66,IF(A66='Données projet'!$A$166,'Données projet'!$B$166,DO65+DN66-DW65)))</f>
        <v>366.8000000000003</v>
      </c>
      <c r="DP66" s="18">
        <f>DO66*VLOOKUP('Données projet'!$B$14,Paramètres!$A$1:$I$89,3,0)*VLOOKUP('Données projet'!$B$14,Paramètres!$A$1:$I$89,5,0)</f>
        <v>291.82608000000027</v>
      </c>
      <c r="DQ66" s="14">
        <f t="shared" si="43"/>
        <v>69.460150651167737</v>
      </c>
      <c r="DR66" s="22">
        <f t="shared" si="16"/>
        <v>629.24018505078425</v>
      </c>
      <c r="DS66" s="60">
        <f t="shared" si="17"/>
        <v>922.57351838411751</v>
      </c>
      <c r="DT66" s="60">
        <f ca="1">AVERAGE(OFFSET($DS$3,0,0,'Données projet'!$E$14+1,1))-AVERAGE(OFFSET($H$3,0,0,'Données projet'!$E$14+1,1))</f>
        <v>382.01991140382955</v>
      </c>
      <c r="DU66" s="60">
        <f t="shared" si="44"/>
        <v>389.53897948144339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</v>
      </c>
      <c r="EJ66" s="13">
        <f>IF('Données projet'!$A$192&gt;35,EJ65+EI66-ER65,IF(A66&lt;'Données projet'!$A$192,$EG$205^A66,IF(A66='Données projet'!$A$192,'Données projet'!$B$192,EJ65+EI66-ER65)))</f>
        <v>309.00000000000028</v>
      </c>
      <c r="EK66" s="18">
        <f>EJ66*VLOOKUP('Données projet'!$B$15,Paramètres!$A$1:$I$89,3,0)*VLOOKUP('Données projet'!$B$15,Paramètres!$A$1:$I$89,5,0)</f>
        <v>245.84040000000024</v>
      </c>
      <c r="EL66" s="14">
        <f t="shared" si="45"/>
        <v>59.694357200074663</v>
      </c>
      <c r="EM66" s="22">
        <f t="shared" si="19"/>
        <v>532.13970212346374</v>
      </c>
      <c r="EN66" s="60">
        <f t="shared" si="20"/>
        <v>825.47303545679711</v>
      </c>
      <c r="EO66" s="60">
        <f ca="1">AVERAGE(OFFSET($EN$3,0,0,'Données projet'!$E$15+1,1))-AVERAGE(OFFSET($H$3,0,0,'Données projet'!$E$15+1,1))</f>
        <v>323.92137573760789</v>
      </c>
      <c r="EP66" s="60">
        <f t="shared" si="46"/>
        <v>389.53897948144339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</v>
      </c>
      <c r="FE66" s="13">
        <f>IF('Données projet'!$A$218&gt;35,FE65+FD66-FM65,IF(A66&lt;'Données projet'!$A$218,$FB$205^A66,IF(A66='Données projet'!$A$218,'Données projet'!$B$218,FE65+FD66-FM65)))</f>
        <v>241.00000000000009</v>
      </c>
      <c r="FF66" s="18">
        <f>FE66*VLOOKUP('Données projet'!$B$16,Paramètres!$A$1:$I$89,3,0)*VLOOKUP('Données projet'!$B$16,Paramètres!$A$1:$I$89,5,0)</f>
        <v>191.73960000000008</v>
      </c>
      <c r="FG66" s="14">
        <f t="shared" si="47"/>
        <v>47.924349465834943</v>
      </c>
      <c r="FH66" s="22">
        <f t="shared" si="22"/>
        <v>417.41471198632934</v>
      </c>
      <c r="FI66" s="60">
        <f t="shared" si="23"/>
        <v>710.74804531966265</v>
      </c>
      <c r="FJ66" s="60">
        <f ca="1">AVERAGE(OFFSET($FI$3,0,0,'Données projet'!$E$16+1,1))-AVERAGE(OFFSET($H$3,0,0,'Données projet'!$E$16+1,1))</f>
        <v>219.61164494001008</v>
      </c>
      <c r="FK66" s="60">
        <f t="shared" si="48"/>
        <v>219.59799863414111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>
        <f>VLOOKUP(A66,'Données projet'!$A$243:$I$263,2,0)</f>
        <v>350.76923076923077</v>
      </c>
      <c r="FX66" s="13">
        <f>VLOOKUP(A66,'Données projet'!$A$243:$I$263,9,0)</f>
        <v>10.769230769230768</v>
      </c>
      <c r="FY66" s="13">
        <f t="array" ref="FY66">INDEX(FX:FX,MIN(IF(ISNUMBER(FX66:FX262),ROW(FX66:FX262),"")))</f>
        <v>10.769230769230768</v>
      </c>
      <c r="FZ66" s="13">
        <f>IF('Données projet'!$A$244&gt;35,FZ65+FY66-GH65,IF(A66&lt;'Données projet'!$A$244,$FW$205^A66,IF(A66='Données projet'!$A$244,'Données projet'!$B$244,FZ65+FY66-GH65)))</f>
        <v>350.76923076923072</v>
      </c>
      <c r="GA66" s="18">
        <f>FZ66*VLOOKUP('Données projet'!$B$17,Paramètres!$A$1:$I$89,3,0)*VLOOKUP('Données projet'!$B$17,Paramètres!$A$1:$I$89,5,0)</f>
        <v>164.15999999999997</v>
      </c>
      <c r="GB66" s="14">
        <f t="shared" si="49"/>
        <v>41.779408735262933</v>
      </c>
      <c r="GC66" s="22">
        <f t="shared" si="25"/>
        <v>358.67780354724954</v>
      </c>
      <c r="GD66" s="60">
        <f t="shared" si="26"/>
        <v>652.01113688058285</v>
      </c>
      <c r="GE66" s="60">
        <f ca="1">AVERAGE(OFFSET($GD$3,0,0,'Données projet'!$E$17+1,1))-AVERAGE(OFFSET($H$3,0,0,'Données projet'!$E$17+1,1))</f>
        <v>147.5699668214238</v>
      </c>
      <c r="GF66" s="60">
        <f t="shared" si="50"/>
        <v>70.653739864908346</v>
      </c>
      <c r="GG66" s="16">
        <f>IF(ISNA(VLOOKUP(A66,'Données projet'!$A$243:$I$263,3,0)),0,VLOOKUP(A66,'Données projet'!$A$243:$I$263,3,0))</f>
        <v>2</v>
      </c>
      <c r="GH66" s="16">
        <f>IF(ISNA(VLOOKUP(A66,'Données projet'!$A$243:$I$263,4,0)),0,VLOOKUP(A66,'Données projet'!$A$243:$I$263,4,0))</f>
        <v>108.46153846153845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>
        <f>GU66*VLOOKUP('Données projet'!$B$18,Paramètres!$A$1:$I$89,3,0)*VLOOKUP('Données projet'!$B$18,Paramètres!$A$1:$I$89,5,0)</f>
        <v>0</v>
      </c>
      <c r="GW66" s="14" t="e">
        <f t="shared" si="51"/>
        <v>#NUM!</v>
      </c>
      <c r="GX66" s="22" t="e">
        <f t="shared" si="28"/>
        <v>#NUM!</v>
      </c>
      <c r="GY66" s="60" t="e">
        <f t="shared" si="29"/>
        <v>#NUM!</v>
      </c>
      <c r="GZ66" s="60">
        <f ca="1">AVERAGE(OFFSET($GY$3,0,0,'Données projet'!$E$18+1,1))-AVERAGE(OFFSET($H$3,0,0,'Données projet'!$E$18+1,1))</f>
        <v>136.03899433512379</v>
      </c>
      <c r="HA66" s="60">
        <f t="shared" si="52"/>
        <v>316.56646692826882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38.844002937007865</v>
      </c>
      <c r="HH66" s="23">
        <f>EXP(-LN(2)/25)*HH65+(1-EXP(-LN(2)/25))/(LN(2)/25)*Calculateur!HC66*Calculateur!HE66*VLOOKUP('Données projet'!$B$18,Paramètres!$A$1:$I$89,3,0)*0.475*44/12</f>
        <v>4.0380870409330205</v>
      </c>
      <c r="HI66" s="23">
        <f>EXP(-LN(2)/2)*HI65+(1-EXP(-LN(2)/2))/(LN(2)/2)*HC66*HF66*VLOOKUP('Données projet'!$B$18,Paramètres!$A$1:$I$89,3,0)*0.475*44/12</f>
        <v>3.1545734385357773E-5</v>
      </c>
      <c r="HJ66" s="24">
        <f t="shared" si="30"/>
        <v>42.882121523675274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895.22766399195029</v>
      </c>
      <c r="S67" s="60">
        <f ca="1">AVERAGE(OFFSET($R$3,0,0,'Données projet'!$E$9+1,1))-AVERAGE(OFFSET($H$3,0,0,'Données projet'!$E$9+1,1))</f>
        <v>384.44848355636935</v>
      </c>
      <c r="T67" s="60">
        <f t="shared" si="34"/>
        <v>203.5274665601915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0">
        <f t="shared" si="5"/>
        <v>729.75884463141938</v>
      </c>
      <c r="AN67" s="60">
        <f ca="1">AVERAGE(OFFSET($AM$3,0,0,'Données projet'!$E$10+1,1))-AVERAGE(OFFSET($H$3,0,0,'Données projet'!$E$10+1,1))</f>
        <v>303.73499739059076</v>
      </c>
      <c r="AO67" s="60">
        <f t="shared" si="36"/>
        <v>172.32171001882188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308.2</v>
      </c>
      <c r="BE67" s="14">
        <f>BD67*VLOOKUP('Données projet'!$B$11,Paramètres!$A$1:$I$89,3,0)*VLOOKUP('Données projet'!$B$11,Paramètres!$A$1:$I$89,5,0)</f>
        <v>259.62768</v>
      </c>
      <c r="BF67" s="14">
        <f t="shared" si="37"/>
        <v>62.643007760076095</v>
      </c>
      <c r="BG67" s="22">
        <f t="shared" si="7"/>
        <v>561.28811451546585</v>
      </c>
      <c r="BH67" s="60">
        <f t="shared" si="8"/>
        <v>854.62144784879911</v>
      </c>
      <c r="BI67" s="60">
        <f ca="1">AVERAGE(OFFSET($BH$3,0,0,'Données projet'!$E$11+1,1))-AVERAGE(OFFSET($H$3,0,0,'Données projet'!$E$11+1,1))</f>
        <v>352.29660374042186</v>
      </c>
      <c r="BJ67" s="60">
        <f t="shared" si="38"/>
        <v>187.26439695305618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186.84431999999995</v>
      </c>
      <c r="CA67" s="14">
        <f t="shared" si="39"/>
        <v>46.841598205171657</v>
      </c>
      <c r="CB67" s="22">
        <f t="shared" si="10"/>
        <v>407.00297420734051</v>
      </c>
      <c r="CC67" s="60">
        <f t="shared" si="11"/>
        <v>700.33630754067383</v>
      </c>
      <c r="CD67" s="60">
        <f ca="1">AVERAGE(OFFSET($CC$3,0,0,'Données projet'!$E$12+1,1))-AVERAGE(OFFSET($H$3,0,0,'Données projet'!$E$12+1,1))</f>
        <v>277.03735509061545</v>
      </c>
      <c r="CE67" s="60">
        <f t="shared" si="40"/>
        <v>158.16416492761959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224.90519999999995</v>
      </c>
      <c r="CV67" s="14">
        <f t="shared" si="41"/>
        <v>55.17963460003309</v>
      </c>
      <c r="CW67" s="22">
        <f t="shared" si="13"/>
        <v>487.81442026172425</v>
      </c>
      <c r="CX67" s="60">
        <f t="shared" si="14"/>
        <v>781.14775359505757</v>
      </c>
      <c r="CY67" s="60">
        <f ca="1">AVERAGE(OFFSET($CX$3,0,0,'Données projet'!$E$13+1,1))-AVERAGE(OFFSET($H$3,0,0,'Données projet'!$E$13+1,1))</f>
        <v>350.3652766444938</v>
      </c>
      <c r="CZ67" s="60">
        <f t="shared" si="42"/>
        <v>197.04549436738586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2.6</v>
      </c>
      <c r="DO67" s="13">
        <f>IF('Données projet'!$A$166&gt;35,DO66+DN67-DW66,IF(A67&lt;'Données projet'!$A$166,$DL$205^A67,IF(A67='Données projet'!$A$166,'Données projet'!$B$166,DO66+DN67-DW66)))</f>
        <v>369.40000000000032</v>
      </c>
      <c r="DP67" s="18">
        <f>DO67*VLOOKUP('Données projet'!$B$14,Paramètres!$A$1:$I$89,3,0)*VLOOKUP('Données projet'!$B$14,Paramètres!$A$1:$I$89,5,0)</f>
        <v>293.89464000000027</v>
      </c>
      <c r="DQ67" s="14">
        <f t="shared" si="43"/>
        <v>69.895017918070423</v>
      </c>
      <c r="DR67" s="22">
        <f t="shared" si="16"/>
        <v>633.60032087397315</v>
      </c>
      <c r="DS67" s="60">
        <f t="shared" si="17"/>
        <v>926.93365420730652</v>
      </c>
      <c r="DT67" s="60">
        <f ca="1">AVERAGE(OFFSET($DS$3,0,0,'Données projet'!$E$14+1,1))-AVERAGE(OFFSET($H$3,0,0,'Données projet'!$E$14+1,1))</f>
        <v>382.01991140382955</v>
      </c>
      <c r="DU67" s="60">
        <f t="shared" si="44"/>
        <v>389.53897948144339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</v>
      </c>
      <c r="EJ67" s="13">
        <f>IF('Données projet'!$A$192&gt;35,EJ66+EI67-ER66,IF(A67&lt;'Données projet'!$A$192,$EG$205^A67,IF(A67='Données projet'!$A$192,'Données projet'!$B$192,EJ66+EI67-ER66)))</f>
        <v>314.00000000000028</v>
      </c>
      <c r="EK67" s="18">
        <f>EJ67*VLOOKUP('Données projet'!$B$15,Paramètres!$A$1:$I$89,3,0)*VLOOKUP('Données projet'!$B$15,Paramètres!$A$1:$I$89,5,0)</f>
        <v>249.81840000000025</v>
      </c>
      <c r="EL67" s="14">
        <f t="shared" si="45"/>
        <v>60.547052301096997</v>
      </c>
      <c r="EM67" s="22">
        <f t="shared" si="19"/>
        <v>540.55316275774442</v>
      </c>
      <c r="EN67" s="60">
        <f t="shared" si="20"/>
        <v>833.88649609107779</v>
      </c>
      <c r="EO67" s="60">
        <f ca="1">AVERAGE(OFFSET($EN$3,0,0,'Données projet'!$E$15+1,1))-AVERAGE(OFFSET($H$3,0,0,'Données projet'!$E$15+1,1))</f>
        <v>323.92137573760789</v>
      </c>
      <c r="EP67" s="60">
        <f t="shared" si="46"/>
        <v>389.53897948144339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</v>
      </c>
      <c r="FE67" s="13">
        <f>IF('Données projet'!$A$218&gt;35,FE66+FD67-FM66,IF(A67&lt;'Données projet'!$A$218,$FB$205^A67,IF(A67='Données projet'!$A$218,'Données projet'!$B$218,FE66+FD67-FM66)))</f>
        <v>248.00000000000009</v>
      </c>
      <c r="FF67" s="18">
        <f>FE67*VLOOKUP('Données projet'!$B$16,Paramètres!$A$1:$I$89,3,0)*VLOOKUP('Données projet'!$B$16,Paramètres!$A$1:$I$89,5,0)</f>
        <v>197.30880000000008</v>
      </c>
      <c r="FG67" s="14">
        <f t="shared" si="47"/>
        <v>49.152257900676119</v>
      </c>
      <c r="FH67" s="22">
        <f t="shared" si="22"/>
        <v>429.25300917701105</v>
      </c>
      <c r="FI67" s="60">
        <f t="shared" si="23"/>
        <v>722.58634251034437</v>
      </c>
      <c r="FJ67" s="60">
        <f ca="1">AVERAGE(OFFSET($FI$3,0,0,'Données projet'!$E$16+1,1))-AVERAGE(OFFSET($H$3,0,0,'Données projet'!$E$16+1,1))</f>
        <v>219.61164494001008</v>
      </c>
      <c r="FK67" s="60">
        <f t="shared" si="48"/>
        <v>219.59799863414111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9.8717948717948705</v>
      </c>
      <c r="FZ67" s="13">
        <f>IF('Données projet'!$A$244&gt;35,FZ66+FY67-GH66,IF(A67&lt;'Données projet'!$A$244,$FW$205^A67,IF(A67='Données projet'!$A$244,'Données projet'!$B$244,FZ66+FY67-GH66)))</f>
        <v>252.17948717948713</v>
      </c>
      <c r="GA67" s="18">
        <f>FZ67*VLOOKUP('Données projet'!$B$17,Paramètres!$A$1:$I$89,3,0)*VLOOKUP('Données projet'!$B$17,Paramètres!$A$1:$I$89,5,0)</f>
        <v>118.01999999999998</v>
      </c>
      <c r="GB67" s="14">
        <f t="shared" si="49"/>
        <v>31.212750593480965</v>
      </c>
      <c r="GC67" s="22">
        <f t="shared" si="25"/>
        <v>259.91370728364598</v>
      </c>
      <c r="GD67" s="60">
        <f t="shared" si="26"/>
        <v>553.24704061697935</v>
      </c>
      <c r="GE67" s="60">
        <f ca="1">AVERAGE(OFFSET($GD$3,0,0,'Données projet'!$E$17+1,1))-AVERAGE(OFFSET($H$3,0,0,'Données projet'!$E$17+1,1))</f>
        <v>147.5699668214238</v>
      </c>
      <c r="GF67" s="60">
        <f t="shared" si="50"/>
        <v>70.653739864908346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>
        <f>GU67*VLOOKUP('Données projet'!$B$18,Paramètres!$A$1:$I$89,3,0)*VLOOKUP('Données projet'!$B$18,Paramètres!$A$1:$I$89,5,0)</f>
        <v>0</v>
      </c>
      <c r="GW67" s="14" t="e">
        <f t="shared" si="51"/>
        <v>#NUM!</v>
      </c>
      <c r="GX67" s="22" t="e">
        <f t="shared" si="28"/>
        <v>#NUM!</v>
      </c>
      <c r="GY67" s="60" t="e">
        <f t="shared" si="29"/>
        <v>#NUM!</v>
      </c>
      <c r="GZ67" s="60">
        <f ca="1">AVERAGE(OFFSET($GY$3,0,0,'Données projet'!$E$18+1,1))-AVERAGE(OFFSET($H$3,0,0,'Données projet'!$E$18+1,1))</f>
        <v>136.03899433512379</v>
      </c>
      <c r="HA67" s="60">
        <f t="shared" si="52"/>
        <v>316.56646692826882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38.082295731915494</v>
      </c>
      <c r="HH67" s="23">
        <f>EXP(-LN(2)/25)*HH66+(1-EXP(-LN(2)/25))/(LN(2)/25)*Calculateur!HC67*Calculateur!HE67*VLOOKUP('Données projet'!$B$18,Paramètres!$A$1:$I$89,3,0)*0.475*44/12</f>
        <v>3.9276653384449389</v>
      </c>
      <c r="HI67" s="23">
        <f>EXP(-LN(2)/2)*HI66+(1-EXP(-LN(2)/2))/(LN(2)/2)*HC67*HF67*VLOOKUP('Données projet'!$B$18,Paramètres!$A$1:$I$89,3,0)*0.475*44/12</f>
        <v>2.2306202701396127E-5</v>
      </c>
      <c r="HJ67" s="24">
        <f t="shared" si="30"/>
        <v>42.009983376563135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912.02241922024541</v>
      </c>
      <c r="S68" s="60">
        <f ca="1">AVERAGE(OFFSET($R$3,0,0,'Données projet'!$E$9+1,1))-AVERAGE(OFFSET($H$3,0,0,'Données projet'!$E$9+1,1))</f>
        <v>384.44848355636935</v>
      </c>
      <c r="T68" s="60">
        <f t="shared" si="34"/>
        <v>203.5274665601915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0">
        <f t="shared" ref="AM68:AM131" si="59">AL68+(AD68+AE68)*44/12</f>
        <v>743.59294134580057</v>
      </c>
      <c r="AN68" s="60">
        <f ca="1">AVERAGE(OFFSET($AM$3,0,0,'Données projet'!$E$10+1,1))-AVERAGE(OFFSET($H$3,0,0,'Données projet'!$E$10+1,1))</f>
        <v>303.73499739059076</v>
      </c>
      <c r="AO68" s="60">
        <f t="shared" si="36"/>
        <v>172.32171001882188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317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317</v>
      </c>
      <c r="BE68" s="14">
        <f>BD68*VLOOKUP('Données projet'!$B$11,Paramètres!$A$1:$I$89,3,0)*VLOOKUP('Données projet'!$B$11,Paramètres!$A$1:$I$89,5,0)</f>
        <v>267.04080000000005</v>
      </c>
      <c r="BF68" s="14">
        <f t="shared" si="37"/>
        <v>64.220850124833518</v>
      </c>
      <c r="BG68" s="22">
        <f t="shared" ref="BG68:BG131" si="61">(BE68+BF68)*0.475*44/12</f>
        <v>576.94737396741846</v>
      </c>
      <c r="BH68" s="60">
        <f t="shared" ref="BH68:BH131" si="62">BG68+(AY68+AZ68)*44/12</f>
        <v>870.28070730075183</v>
      </c>
      <c r="BI68" s="60">
        <f ca="1">AVERAGE(OFFSET($BH$3,0,0,'Données projet'!$E$11+1,1))-AVERAGE(OFFSET($H$3,0,0,'Données projet'!$E$11+1,1))</f>
        <v>352.29660374042186</v>
      </c>
      <c r="BJ68" s="60">
        <f t="shared" si="38"/>
        <v>187.26439695305618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192.90959999999995</v>
      </c>
      <c r="CA68" s="14">
        <f t="shared" si="39"/>
        <v>48.182654021446417</v>
      </c>
      <c r="CB68" s="22">
        <f t="shared" ref="CB68:CB131" si="64">(BZ68+CA68)*0.475*44/12</f>
        <v>419.90234242068573</v>
      </c>
      <c r="CC68" s="60">
        <f t="shared" ref="CC68:CC131" si="65">CB68+(BT68+BU68)*44/12</f>
        <v>713.23567575401898</v>
      </c>
      <c r="CD68" s="60">
        <f ca="1">AVERAGE(OFFSET($CC$3,0,0,'Données projet'!$E$12+1,1))-AVERAGE(OFFSET($H$3,0,0,'Données projet'!$E$12+1,1))</f>
        <v>277.03735509061545</v>
      </c>
      <c r="CE68" s="60">
        <f t="shared" si="40"/>
        <v>158.16416492761959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232.2059999999999</v>
      </c>
      <c r="CV68" s="14">
        <f t="shared" si="41"/>
        <v>56.759404991217522</v>
      </c>
      <c r="CW68" s="22">
        <f t="shared" ref="CW68:CW131" si="67">(CU68+CV68)*0.475*44/12</f>
        <v>503.281413693037</v>
      </c>
      <c r="CX68" s="60">
        <f t="shared" ref="CX68:CX131" si="68">CW68+(CO68+CP68)*44/12</f>
        <v>796.61474702637031</v>
      </c>
      <c r="CY68" s="60">
        <f ca="1">AVERAGE(OFFSET($CX$3,0,0,'Données projet'!$E$13+1,1))-AVERAGE(OFFSET($H$3,0,0,'Données projet'!$E$13+1,1))</f>
        <v>350.3652766444938</v>
      </c>
      <c r="CZ68" s="60">
        <f t="shared" si="42"/>
        <v>197.04549436738586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372</v>
      </c>
      <c r="DM68" s="13">
        <f>VLOOKUP(A68,'Données projet'!$A$165:$I$185,9,0)</f>
        <v>2.6</v>
      </c>
      <c r="DN68" s="13">
        <f t="array" ref="DN68">INDEX(DM:DM,MIN(IF(ISNUMBER(DM68:DM264),ROW(DM68:DM264),"")))</f>
        <v>2.6</v>
      </c>
      <c r="DO68" s="13">
        <f>IF('Données projet'!$A$166&gt;35,DO67+DN68-DW67,IF(A68&lt;'Données projet'!$A$166,$DL$205^A68,IF(A68='Données projet'!$A$166,'Données projet'!$B$166,DO67+DN68-DW67)))</f>
        <v>372.00000000000034</v>
      </c>
      <c r="DP68" s="18">
        <f>DO68*VLOOKUP('Données projet'!$B$14,Paramètres!$A$1:$I$89,3,0)*VLOOKUP('Données projet'!$B$14,Paramètres!$A$1:$I$89,5,0)</f>
        <v>295.96320000000026</v>
      </c>
      <c r="DQ68" s="14">
        <f t="shared" si="43"/>
        <v>70.32952905210432</v>
      </c>
      <c r="DR68" s="22">
        <f t="shared" ref="DR68:DR131" si="70">(DP68+DQ68)*0.475*44/12</f>
        <v>637.95983643241539</v>
      </c>
      <c r="DS68" s="60">
        <f t="shared" ref="DS68:DS131" si="71">DR68+(DJ68+DK68)*44/12</f>
        <v>931.29316976574864</v>
      </c>
      <c r="DT68" s="60">
        <f ca="1">AVERAGE(OFFSET($DS$3,0,0,'Données projet'!$E$14+1,1))-AVERAGE(OFFSET($H$3,0,0,'Données projet'!$E$14+1,1))</f>
        <v>382.01991140382955</v>
      </c>
      <c r="DU68" s="60">
        <f t="shared" si="44"/>
        <v>389.53897948144339</v>
      </c>
      <c r="DV68" s="16">
        <f>IF(ISNA(VLOOKUP(A68,'Données projet'!$A$165:$I$185,3,0)),0,VLOOKUP(A68,'Données projet'!$A$165:$I$185,3,0))</f>
        <v>6</v>
      </c>
      <c r="DW68" s="16">
        <f>IF(ISNA(VLOOKUP(A68,'Données projet'!$A$165:$I$185,4,0)),0,VLOOKUP(A68,'Données projet'!$A$165:$I$185,4,0))</f>
        <v>33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319</v>
      </c>
      <c r="EH68" s="13">
        <f>VLOOKUP(A68,'Données projet'!$A$191:$I$211,9,0)</f>
        <v>5</v>
      </c>
      <c r="EI68" s="13">
        <f t="array" ref="EI68">INDEX(EH:EH,MIN(IF(ISNUMBER(EH68:EH264),ROW(EH68:EH264),"")))</f>
        <v>5</v>
      </c>
      <c r="EJ68" s="13">
        <f>IF('Données projet'!$A$192&gt;35,EJ67+EI68-ER67,IF(A68&lt;'Données projet'!$A$192,$EG$205^A68,IF(A68='Données projet'!$A$192,'Données projet'!$B$192,EJ67+EI68-ER67)))</f>
        <v>319.00000000000028</v>
      </c>
      <c r="EK68" s="18">
        <f>EJ68*VLOOKUP('Données projet'!$B$15,Paramètres!$A$1:$I$89,3,0)*VLOOKUP('Données projet'!$B$15,Paramètres!$A$1:$I$89,5,0)</f>
        <v>253.79640000000023</v>
      </c>
      <c r="EL68" s="14">
        <f t="shared" si="45"/>
        <v>61.398168322280817</v>
      </c>
      <c r="EM68" s="22">
        <f t="shared" ref="EM68:EM131" si="73">(EK68+EL68)*0.475*44/12</f>
        <v>548.9638731613062</v>
      </c>
      <c r="EN68" s="60">
        <f t="shared" ref="EN68:EN131" si="74">EM68+(EE68+EF68)*44/12</f>
        <v>842.29720649463957</v>
      </c>
      <c r="EO68" s="60">
        <f ca="1">AVERAGE(OFFSET($EN$3,0,0,'Données projet'!$E$15+1,1))-AVERAGE(OFFSET($H$3,0,0,'Données projet'!$E$15+1,1))</f>
        <v>323.92137573760789</v>
      </c>
      <c r="EP68" s="60">
        <f t="shared" si="46"/>
        <v>389.53897948144339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255</v>
      </c>
      <c r="FC68" s="13">
        <f>VLOOKUP(A68,'Données projet'!$A$217:$I$237,9,0)</f>
        <v>7</v>
      </c>
      <c r="FD68" s="13">
        <f t="array" ref="FD68">INDEX(FC:FC,MIN(IF(ISNUMBER(FC68:FC264),ROW(FC68:FC264),"")))</f>
        <v>7</v>
      </c>
      <c r="FE68" s="13">
        <f>IF('Données projet'!$A$218&gt;35,FE67+FD68-FM67,IF(A68&lt;'Données projet'!$A$218,$FB$205^A68,IF(A68='Données projet'!$A$218,'Données projet'!$B$218,FE67+FD68-FM67)))</f>
        <v>255.00000000000009</v>
      </c>
      <c r="FF68" s="18">
        <f>FE68*VLOOKUP('Données projet'!$B$16,Paramètres!$A$1:$I$89,3,0)*VLOOKUP('Données projet'!$B$16,Paramètres!$A$1:$I$89,5,0)</f>
        <v>202.87800000000007</v>
      </c>
      <c r="FG68" s="14">
        <f t="shared" si="47"/>
        <v>50.376138116990127</v>
      </c>
      <c r="FH68" s="22">
        <f t="shared" ref="FH68:FH131" si="76">(FF68+FG68)*0.475*44/12</f>
        <v>441.08429055375791</v>
      </c>
      <c r="FI68" s="60">
        <f t="shared" ref="FI68:FI131" si="77">FH68+(EZ68+FA68)*44/12</f>
        <v>734.41762388709117</v>
      </c>
      <c r="FJ68" s="60">
        <f ca="1">AVERAGE(OFFSET($FI$3,0,0,'Données projet'!$E$16+1,1))-AVERAGE(OFFSET($H$3,0,0,'Données projet'!$E$16+1,1))</f>
        <v>219.61164494001008</v>
      </c>
      <c r="FK68" s="60">
        <f t="shared" si="48"/>
        <v>219.59799863414111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9.8717948717948705</v>
      </c>
      <c r="FZ68" s="13">
        <f>IF('Données projet'!$A$244&gt;35,FZ67+FY68-GH67,IF(A68&lt;'Données projet'!$A$244,$FW$205^A68,IF(A68='Données projet'!$A$244,'Données projet'!$B$244,FZ67+FY68-GH67)))</f>
        <v>262.05128205128199</v>
      </c>
      <c r="GA68" s="18">
        <f>FZ68*VLOOKUP('Données projet'!$B$17,Paramètres!$A$1:$I$89,3,0)*VLOOKUP('Données projet'!$B$17,Paramètres!$A$1:$I$89,5,0)</f>
        <v>122.63999999999997</v>
      </c>
      <c r="GB68" s="14">
        <f t="shared" si="49"/>
        <v>32.289953931572668</v>
      </c>
      <c r="GC68" s="22">
        <f t="shared" ref="GC68:GC131" si="79">(GA68+GB68)*0.475*44/12</f>
        <v>269.83633643082231</v>
      </c>
      <c r="GD68" s="60">
        <f t="shared" ref="GD68:GD131" si="80">GC68+(FU68+FV68)*44/12</f>
        <v>563.16966976415563</v>
      </c>
      <c r="GE68" s="60">
        <f ca="1">AVERAGE(OFFSET($GD$3,0,0,'Données projet'!$E$17+1,1))-AVERAGE(OFFSET($H$3,0,0,'Données projet'!$E$17+1,1))</f>
        <v>147.5699668214238</v>
      </c>
      <c r="GF68" s="60">
        <f t="shared" si="50"/>
        <v>70.653739864908346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>
        <f>GU68*VLOOKUP('Données projet'!$B$18,Paramètres!$A$1:$I$89,3,0)*VLOOKUP('Données projet'!$B$18,Paramètres!$A$1:$I$89,5,0)</f>
        <v>0</v>
      </c>
      <c r="GW68" s="14" t="e">
        <f t="shared" si="51"/>
        <v>#NUM!</v>
      </c>
      <c r="GX68" s="22" t="e">
        <f t="shared" ref="GX68:GX131" si="82">(GV68+GW68)*0.475*44/12</f>
        <v>#NUM!</v>
      </c>
      <c r="GY68" s="60" t="e">
        <f t="shared" ref="GY68:GY131" si="83">GX68+(GP68+GQ68)*44/12</f>
        <v>#NUM!</v>
      </c>
      <c r="GZ68" s="60">
        <f ca="1">AVERAGE(OFFSET($GY$3,0,0,'Données projet'!$E$18+1,1))-AVERAGE(OFFSET($H$3,0,0,'Données projet'!$E$18+1,1))</f>
        <v>136.03899433512379</v>
      </c>
      <c r="HA68" s="60">
        <f t="shared" si="52"/>
        <v>316.56646692826882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37.335525140519465</v>
      </c>
      <c r="HH68" s="23">
        <f>EXP(-LN(2)/25)*HH67+(1-EXP(-LN(2)/25))/(LN(2)/25)*Calculateur!HC68*Calculateur!HE68*VLOOKUP('Données projet'!$B$18,Paramètres!$A$1:$I$89,3,0)*0.475*44/12</f>
        <v>3.8202631232182189</v>
      </c>
      <c r="HI68" s="23">
        <f>EXP(-LN(2)/2)*HI67+(1-EXP(-LN(2)/2))/(LN(2)/2)*HC68*HF68*VLOOKUP('Données projet'!$B$18,Paramètres!$A$1:$I$89,3,0)*0.475*44/12</f>
        <v>1.5772867192678887E-5</v>
      </c>
      <c r="HJ68" s="24">
        <f t="shared" ref="HJ68:HJ131" si="84">SUM(HG68:HI68)</f>
        <v>41.155804036604877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820.67446302574353</v>
      </c>
      <c r="S69" s="60">
        <f ca="1">AVERAGE(OFFSET($R$3,0,0,'Données projet'!$E$9+1,1))-AVERAGE(OFFSET($H$3,0,0,'Données projet'!$E$9+1,1))</f>
        <v>384.44848355636935</v>
      </c>
      <c r="T69" s="60">
        <f t="shared" ref="T69:T132" si="88">$T$3</f>
        <v>203.5274665601915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0">
        <f t="shared" si="59"/>
        <v>756.65012524226813</v>
      </c>
      <c r="AN69" s="60">
        <f ca="1">AVERAGE(OFFSET($AM$3,0,0,'Données projet'!$E$10+1,1))-AVERAGE(OFFSET($H$3,0,0,'Données projet'!$E$10+1,1))</f>
        <v>303.73499739059076</v>
      </c>
      <c r="AO69" s="60">
        <f t="shared" ref="AO69:AO132" si="90">$AO$3</f>
        <v>172.32171001882188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226.77408</v>
      </c>
      <c r="BF69" s="14">
        <f t="shared" ref="BF69:BF132" si="91">EXP(-1.0587+0.8836*LN(BE69)+0.284)</f>
        <v>55.584589827360034</v>
      </c>
      <c r="BG69" s="22">
        <f t="shared" si="61"/>
        <v>491.77468328265195</v>
      </c>
      <c r="BH69" s="60">
        <f t="shared" si="62"/>
        <v>785.10801661598521</v>
      </c>
      <c r="BI69" s="60">
        <f ca="1">AVERAGE(OFFSET($BH$3,0,0,'Données projet'!$E$11+1,1))-AVERAGE(OFFSET($H$3,0,0,'Données projet'!$E$11+1,1))</f>
        <v>352.29660374042186</v>
      </c>
      <c r="BJ69" s="60">
        <f t="shared" ref="BJ69:BJ132" si="92">$BJ$3</f>
        <v>187.26439695305618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198.63791999999995</v>
      </c>
      <c r="CA69" s="14">
        <f t="shared" ref="CA69:CA132" si="93">EXP(-1.0587+0.8836*LN(BZ69)+0.284)</f>
        <v>49.444704816101329</v>
      </c>
      <c r="CB69" s="22">
        <f t="shared" si="64"/>
        <v>432.07723822137638</v>
      </c>
      <c r="CC69" s="60">
        <f t="shared" si="65"/>
        <v>725.41057155470969</v>
      </c>
      <c r="CD69" s="60">
        <f ca="1">AVERAGE(OFFSET($CC$3,0,0,'Données projet'!$E$12+1,1))-AVERAGE(OFFSET($H$3,0,0,'Données projet'!$E$12+1,1))</f>
        <v>277.03735509061545</v>
      </c>
      <c r="CE69" s="60">
        <f t="shared" ref="CE69:CE132" si="94">$CE$3</f>
        <v>158.16416492761959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239.10119999999995</v>
      </c>
      <c r="CV69" s="14">
        <f t="shared" ref="CV69:CV132" si="95">EXP(-1.0587+0.8836*LN(CU69)+0.284)</f>
        <v>58.246107075777331</v>
      </c>
      <c r="CW69" s="22">
        <f t="shared" si="67"/>
        <v>517.87989315697871</v>
      </c>
      <c r="CX69" s="60">
        <f t="shared" si="68"/>
        <v>811.21322649031208</v>
      </c>
      <c r="CY69" s="60">
        <f ca="1">AVERAGE(OFFSET($CX$3,0,0,'Données projet'!$E$13+1,1))-AVERAGE(OFFSET($H$3,0,0,'Données projet'!$E$13+1,1))</f>
        <v>350.3652766444938</v>
      </c>
      <c r="CZ69" s="60">
        <f t="shared" ref="CZ69:CZ132" si="96">$CZ$3</f>
        <v>197.04549436738586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8.4</v>
      </c>
      <c r="DO69" s="13">
        <f>IF('Données projet'!$A$166&gt;35,DO68+DN69-DW68,IF(A69&lt;'Données projet'!$A$166,$DL$205^A69,IF(A69='Données projet'!$A$166,'Données projet'!$B$166,DO68+DN69-DW68)))</f>
        <v>347.40000000000032</v>
      </c>
      <c r="DP69" s="18">
        <f>DO69*VLOOKUP('Données projet'!$B$14,Paramètres!$A$1:$I$89,3,0)*VLOOKUP('Données projet'!$B$14,Paramètres!$A$1:$I$89,5,0)</f>
        <v>276.39144000000027</v>
      </c>
      <c r="DQ69" s="14">
        <f t="shared" ref="DQ69:DQ132" si="97">EXP(-1.0587+0.8836*LN(DP69)+0.284)</f>
        <v>66.203841663281963</v>
      </c>
      <c r="DR69" s="22">
        <f t="shared" si="70"/>
        <v>596.68678223021652</v>
      </c>
      <c r="DS69" s="60">
        <f t="shared" si="71"/>
        <v>890.02011556354978</v>
      </c>
      <c r="DT69" s="60">
        <f ca="1">AVERAGE(OFFSET($DS$3,0,0,'Données projet'!$E$14+1,1))-AVERAGE(OFFSET($H$3,0,0,'Données projet'!$E$14+1,1))</f>
        <v>382.01991140382955</v>
      </c>
      <c r="DU69" s="60">
        <f t="shared" ref="DU69:DU132" si="98">$DU$3</f>
        <v>389.53897948144339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4.4000000000000004</v>
      </c>
      <c r="EJ69" s="13">
        <f>IF('Données projet'!$A$192&gt;35,EJ68+EI69-ER68,IF(A69&lt;'Données projet'!$A$192,$EG$205^A69,IF(A69='Données projet'!$A$192,'Données projet'!$B$192,EJ68+EI69-ER68)))</f>
        <v>323.40000000000026</v>
      </c>
      <c r="EK69" s="18">
        <f>EJ69*VLOOKUP('Données projet'!$B$15,Paramètres!$A$1:$I$89,3,0)*VLOOKUP('Données projet'!$B$15,Paramètres!$A$1:$I$89,5,0)</f>
        <v>257.29704000000021</v>
      </c>
      <c r="EL69" s="14">
        <f t="shared" ref="EL69:EL132" si="99">EXP(-1.0587+0.8836*LN(EK69)+0.284)</f>
        <v>62.145866152025469</v>
      </c>
      <c r="EM69" s="22">
        <f t="shared" si="73"/>
        <v>556.36306154811143</v>
      </c>
      <c r="EN69" s="60">
        <f t="shared" si="74"/>
        <v>849.6963948814448</v>
      </c>
      <c r="EO69" s="60">
        <f ca="1">AVERAGE(OFFSET($EN$3,0,0,'Données projet'!$E$15+1,1))-AVERAGE(OFFSET($H$3,0,0,'Données projet'!$E$15+1,1))</f>
        <v>323.92137573760789</v>
      </c>
      <c r="EP69" s="60">
        <f t="shared" ref="EP69:EP132" si="100">$EP$3</f>
        <v>389.53897948144339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1.6</v>
      </c>
      <c r="FE69" s="13">
        <f>IF('Données projet'!$A$218&gt;35,FE68+FD69-FM68,IF(A69&lt;'Données projet'!$A$218,$FB$205^A69,IF(A69='Données projet'!$A$218,'Données projet'!$B$218,FE68+FD69-FM68)))</f>
        <v>256.60000000000008</v>
      </c>
      <c r="FF69" s="18">
        <f>FE69*VLOOKUP('Données projet'!$B$16,Paramètres!$A$1:$I$89,3,0)*VLOOKUP('Données projet'!$B$16,Paramètres!$A$1:$I$89,5,0)</f>
        <v>204.15096000000008</v>
      </c>
      <c r="FG69" s="14">
        <f t="shared" ref="FG69:FG132" si="101">EXP(-1.0587+0.8836*LN(FF69)+0.284)</f>
        <v>50.65532957489819</v>
      </c>
      <c r="FH69" s="22">
        <f t="shared" si="76"/>
        <v>443.7876210096145</v>
      </c>
      <c r="FI69" s="60">
        <f t="shared" si="77"/>
        <v>737.12095434294781</v>
      </c>
      <c r="FJ69" s="60">
        <f ca="1">AVERAGE(OFFSET($FI$3,0,0,'Données projet'!$E$16+1,1))-AVERAGE(OFFSET($H$3,0,0,'Données projet'!$E$16+1,1))</f>
        <v>219.61164494001008</v>
      </c>
      <c r="FK69" s="60">
        <f t="shared" ref="FK69:FK132" si="102">$FK$3</f>
        <v>219.59799863414111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9.8717948717948705</v>
      </c>
      <c r="FZ69" s="13">
        <f>IF('Données projet'!$A$244&gt;35,FZ68+FY69-GH68,IF(A69&lt;'Données projet'!$A$244,$FW$205^A69,IF(A69='Données projet'!$A$244,'Données projet'!$B$244,FZ68+FY69-GH68)))</f>
        <v>271.92307692307685</v>
      </c>
      <c r="GA69" s="18">
        <f>FZ69*VLOOKUP('Données projet'!$B$17,Paramètres!$A$1:$I$89,3,0)*VLOOKUP('Données projet'!$B$17,Paramètres!$A$1:$I$89,5,0)</f>
        <v>127.25999999999998</v>
      </c>
      <c r="GB69" s="14">
        <f t="shared" ref="GB69:GB132" si="103">EXP(-1.0587+0.8836*LN(GA69)+0.284)</f>
        <v>33.362442969975817</v>
      </c>
      <c r="GC69" s="22">
        <f t="shared" si="79"/>
        <v>279.75075483937445</v>
      </c>
      <c r="GD69" s="60">
        <f t="shared" si="80"/>
        <v>573.08408817270777</v>
      </c>
      <c r="GE69" s="60">
        <f ca="1">AVERAGE(OFFSET($GD$3,0,0,'Données projet'!$E$17+1,1))-AVERAGE(OFFSET($H$3,0,0,'Données projet'!$E$17+1,1))</f>
        <v>147.5699668214238</v>
      </c>
      <c r="GF69" s="60">
        <f t="shared" ref="GF69:GF132" si="104">$GF$3</f>
        <v>70.653739864908346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>
        <f>GU69*VLOOKUP('Données projet'!$B$18,Paramètres!$A$1:$I$89,3,0)*VLOOKUP('Données projet'!$B$18,Paramètres!$A$1:$I$89,5,0)</f>
        <v>0</v>
      </c>
      <c r="GW69" s="14" t="e">
        <f t="shared" ref="GW69:GW132" si="105">EXP(-1.0587+0.8836*LN(GV69)+0.284)</f>
        <v>#NUM!</v>
      </c>
      <c r="GX69" s="22" t="e">
        <f t="shared" si="82"/>
        <v>#NUM!</v>
      </c>
      <c r="GY69" s="60" t="e">
        <f t="shared" si="83"/>
        <v>#NUM!</v>
      </c>
      <c r="GZ69" s="60">
        <f ca="1">AVERAGE(OFFSET($GY$3,0,0,'Données projet'!$E$18+1,1))-AVERAGE(OFFSET($H$3,0,0,'Données projet'!$E$18+1,1))</f>
        <v>136.03899433512379</v>
      </c>
      <c r="HA69" s="60">
        <f t="shared" ref="HA69:HA132" si="106">$HA$3</f>
        <v>316.56646692826882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36.603398264935628</v>
      </c>
      <c r="HH69" s="23">
        <f>EXP(-LN(2)/25)*HH68+(1-EXP(-LN(2)/25))/(LN(2)/25)*Calculateur!HC69*Calculateur!HE69*VLOOKUP('Données projet'!$B$18,Paramètres!$A$1:$I$89,3,0)*0.475*44/12</f>
        <v>3.7157978272149106</v>
      </c>
      <c r="HI69" s="23">
        <f>EXP(-LN(2)/2)*HI68+(1-EXP(-LN(2)/2))/(LN(2)/2)*HC69*HF69*VLOOKUP('Données projet'!$B$18,Paramètres!$A$1:$I$89,3,0)*0.475*44/12</f>
        <v>1.1153101350698064E-5</v>
      </c>
      <c r="HJ69" s="24">
        <f t="shared" si="84"/>
        <v>40.319207245251889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836.36711482633996</v>
      </c>
      <c r="S70" s="60">
        <f ca="1">AVERAGE(OFFSET($R$3,0,0,'Données projet'!$E$9+1,1))-AVERAGE(OFFSET($H$3,0,0,'Données projet'!$E$9+1,1))</f>
        <v>384.44848355636935</v>
      </c>
      <c r="T70" s="60">
        <f t="shared" si="88"/>
        <v>203.5274665601915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0">
        <f t="shared" si="59"/>
        <v>769.69946190259475</v>
      </c>
      <c r="AN70" s="60">
        <f ca="1">AVERAGE(OFFSET($AM$3,0,0,'Données projet'!$E$10+1,1))-AVERAGE(OFFSET($H$3,0,0,'Données projet'!$E$10+1,1))</f>
        <v>303.73499739059076</v>
      </c>
      <c r="AO70" s="60">
        <f t="shared" si="90"/>
        <v>172.32171001882188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233.68176</v>
      </c>
      <c r="BF70" s="14">
        <f t="shared" si="91"/>
        <v>57.078026837098335</v>
      </c>
      <c r="BG70" s="22">
        <f t="shared" si="61"/>
        <v>506.40662874127952</v>
      </c>
      <c r="BH70" s="60">
        <f t="shared" si="62"/>
        <v>799.73996207461278</v>
      </c>
      <c r="BI70" s="60">
        <f ca="1">AVERAGE(OFFSET($BH$3,0,0,'Données projet'!$E$11+1,1))-AVERAGE(OFFSET($H$3,0,0,'Données projet'!$E$11+1,1))</f>
        <v>352.29660374042186</v>
      </c>
      <c r="BJ70" s="60">
        <f t="shared" si="92"/>
        <v>187.26439695305618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204.36623999999995</v>
      </c>
      <c r="CA70" s="14">
        <f t="shared" si="93"/>
        <v>50.702525713362093</v>
      </c>
      <c r="CB70" s="22">
        <f t="shared" si="64"/>
        <v>444.24476695077215</v>
      </c>
      <c r="CC70" s="60">
        <f t="shared" si="65"/>
        <v>737.5781002841054</v>
      </c>
      <c r="CD70" s="60">
        <f ca="1">AVERAGE(OFFSET($CC$3,0,0,'Données projet'!$E$12+1,1))-AVERAGE(OFFSET($H$3,0,0,'Données projet'!$E$12+1,1))</f>
        <v>277.03735509061545</v>
      </c>
      <c r="CE70" s="60">
        <f t="shared" si="94"/>
        <v>158.16416492761959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245.99639999999997</v>
      </c>
      <c r="CV70" s="14">
        <f t="shared" si="95"/>
        <v>59.72782632026442</v>
      </c>
      <c r="CW70" s="22">
        <f t="shared" si="67"/>
        <v>532.46969417446041</v>
      </c>
      <c r="CX70" s="60">
        <f t="shared" si="68"/>
        <v>825.80302750779379</v>
      </c>
      <c r="CY70" s="60">
        <f ca="1">AVERAGE(OFFSET($CX$3,0,0,'Données projet'!$E$13+1,1))-AVERAGE(OFFSET($H$3,0,0,'Données projet'!$E$13+1,1))</f>
        <v>350.3652766444938</v>
      </c>
      <c r="CZ70" s="60">
        <f t="shared" si="96"/>
        <v>197.04549436738586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8.4</v>
      </c>
      <c r="DO70" s="13">
        <f>IF('Données projet'!$A$166&gt;35,DO69+DN70-DW69,IF(A70&lt;'Données projet'!$A$166,$DL$205^A70,IF(A70='Données projet'!$A$166,'Données projet'!$B$166,DO69+DN70-DW69)))</f>
        <v>355.8000000000003</v>
      </c>
      <c r="DP70" s="18">
        <f>DO70*VLOOKUP('Données projet'!$B$14,Paramètres!$A$1:$I$89,3,0)*VLOOKUP('Données projet'!$B$14,Paramètres!$A$1:$I$89,5,0)</f>
        <v>283.07448000000022</v>
      </c>
      <c r="DQ70" s="14">
        <f t="shared" si="97"/>
        <v>67.616321363645213</v>
      </c>
      <c r="DR70" s="22">
        <f t="shared" si="70"/>
        <v>610.78647904168236</v>
      </c>
      <c r="DS70" s="60">
        <f t="shared" si="71"/>
        <v>904.11981237501573</v>
      </c>
      <c r="DT70" s="60">
        <f ca="1">AVERAGE(OFFSET($DS$3,0,0,'Données projet'!$E$14+1,1))-AVERAGE(OFFSET($H$3,0,0,'Données projet'!$E$14+1,1))</f>
        <v>382.01991140382955</v>
      </c>
      <c r="DU70" s="60">
        <f t="shared" si="98"/>
        <v>389.53897948144339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4.4000000000000004</v>
      </c>
      <c r="EJ70" s="13">
        <f>IF('Données projet'!$A$192&gt;35,EJ69+EI70-ER69,IF(A70&lt;'Données projet'!$A$192,$EG$205^A70,IF(A70='Données projet'!$A$192,'Données projet'!$B$192,EJ69+EI70-ER69)))</f>
        <v>327.80000000000024</v>
      </c>
      <c r="EK70" s="18">
        <f>EJ70*VLOOKUP('Données projet'!$B$15,Paramètres!$A$1:$I$89,3,0)*VLOOKUP('Données projet'!$B$15,Paramètres!$A$1:$I$89,5,0)</f>
        <v>260.79768000000018</v>
      </c>
      <c r="EL70" s="14">
        <f t="shared" si="99"/>
        <v>62.892380771081143</v>
      </c>
      <c r="EM70" s="22">
        <f t="shared" si="73"/>
        <v>563.76018917630006</v>
      </c>
      <c r="EN70" s="60">
        <f t="shared" si="74"/>
        <v>857.09352250963343</v>
      </c>
      <c r="EO70" s="60">
        <f ca="1">AVERAGE(OFFSET($EN$3,0,0,'Données projet'!$E$15+1,1))-AVERAGE(OFFSET($H$3,0,0,'Données projet'!$E$15+1,1))</f>
        <v>323.92137573760789</v>
      </c>
      <c r="EP70" s="60">
        <f t="shared" si="100"/>
        <v>389.53897948144339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1.6</v>
      </c>
      <c r="FE70" s="13">
        <f>IF('Données projet'!$A$218&gt;35,FE69+FD70-FM69,IF(A70&lt;'Données projet'!$A$218,$FB$205^A70,IF(A70='Données projet'!$A$218,'Données projet'!$B$218,FE69+FD70-FM69)))</f>
        <v>258.2000000000001</v>
      </c>
      <c r="FF70" s="18">
        <f>FE70*VLOOKUP('Données projet'!$B$16,Paramètres!$A$1:$I$89,3,0)*VLOOKUP('Données projet'!$B$16,Paramètres!$A$1:$I$89,5,0)</f>
        <v>205.42392000000007</v>
      </c>
      <c r="FG70" s="14">
        <f t="shared" si="101"/>
        <v>50.934318468081216</v>
      </c>
      <c r="FH70" s="22">
        <f t="shared" si="76"/>
        <v>446.49059866524152</v>
      </c>
      <c r="FI70" s="60">
        <f t="shared" si="77"/>
        <v>739.82393199857484</v>
      </c>
      <c r="FJ70" s="60">
        <f ca="1">AVERAGE(OFFSET($FI$3,0,0,'Données projet'!$E$16+1,1))-AVERAGE(OFFSET($H$3,0,0,'Données projet'!$E$16+1,1))</f>
        <v>219.61164494001008</v>
      </c>
      <c r="FK70" s="60">
        <f t="shared" si="102"/>
        <v>219.59799863414111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9.8717948717948705</v>
      </c>
      <c r="FZ70" s="13">
        <f>IF('Données projet'!$A$244&gt;35,FZ69+FY70-GH69,IF(A70&lt;'Données projet'!$A$244,$FW$205^A70,IF(A70='Données projet'!$A$244,'Données projet'!$B$244,FZ69+FY70-GH69)))</f>
        <v>281.79487179487171</v>
      </c>
      <c r="GA70" s="18">
        <f>FZ70*VLOOKUP('Données projet'!$B$17,Paramètres!$A$1:$I$89,3,0)*VLOOKUP('Données projet'!$B$17,Paramètres!$A$1:$I$89,5,0)</f>
        <v>131.87999999999994</v>
      </c>
      <c r="GB70" s="14">
        <f t="shared" si="103"/>
        <v>34.430408458396784</v>
      </c>
      <c r="GC70" s="22">
        <f t="shared" si="79"/>
        <v>289.65729473170762</v>
      </c>
      <c r="GD70" s="60">
        <f t="shared" si="80"/>
        <v>582.99062806504094</v>
      </c>
      <c r="GE70" s="60">
        <f ca="1">AVERAGE(OFFSET($GD$3,0,0,'Données projet'!$E$17+1,1))-AVERAGE(OFFSET($H$3,0,0,'Données projet'!$E$17+1,1))</f>
        <v>147.5699668214238</v>
      </c>
      <c r="GF70" s="60">
        <f t="shared" si="104"/>
        <v>70.653739864908346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>
        <f>GU70*VLOOKUP('Données projet'!$B$18,Paramètres!$A$1:$I$89,3,0)*VLOOKUP('Données projet'!$B$18,Paramètres!$A$1:$I$89,5,0)</f>
        <v>0</v>
      </c>
      <c r="GW70" s="14" t="e">
        <f t="shared" si="105"/>
        <v>#NUM!</v>
      </c>
      <c r="GX70" s="22" t="e">
        <f t="shared" si="82"/>
        <v>#NUM!</v>
      </c>
      <c r="GY70" s="60" t="e">
        <f t="shared" si="83"/>
        <v>#NUM!</v>
      </c>
      <c r="GZ70" s="60">
        <f ca="1">AVERAGE(OFFSET($GY$3,0,0,'Données projet'!$E$18+1,1))-AVERAGE(OFFSET($H$3,0,0,'Données projet'!$E$18+1,1))</f>
        <v>136.03899433512379</v>
      </c>
      <c r="HA70" s="60">
        <f t="shared" si="106"/>
        <v>316.56646692826882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35.885627950828685</v>
      </c>
      <c r="HH70" s="23">
        <f>EXP(-LN(2)/25)*HH69+(1-EXP(-LN(2)/25))/(LN(2)/25)*Calculateur!HC70*Calculateur!HE70*VLOOKUP('Données projet'!$B$18,Paramètres!$A$1:$I$89,3,0)*0.475*44/12</f>
        <v>3.6141891402244037</v>
      </c>
      <c r="HI70" s="23">
        <f>EXP(-LN(2)/2)*HI69+(1-EXP(-LN(2)/2))/(LN(2)/2)*HC70*HF70*VLOOKUP('Données projet'!$B$18,Paramètres!$A$1:$I$89,3,0)*0.475*44/12</f>
        <v>7.8864335963394433E-6</v>
      </c>
      <c r="HJ70" s="24">
        <f t="shared" si="84"/>
        <v>39.499824977486682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852.05024844371815</v>
      </c>
      <c r="S71" s="60">
        <f ca="1">AVERAGE(OFFSET($R$3,0,0,'Données projet'!$E$9+1,1))-AVERAGE(OFFSET($H$3,0,0,'Données projet'!$E$9+1,1))</f>
        <v>384.44848355636935</v>
      </c>
      <c r="T71" s="60">
        <f t="shared" si="88"/>
        <v>203.5274665601915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0">
        <f t="shared" si="59"/>
        <v>782.74119655001107</v>
      </c>
      <c r="AN71" s="60">
        <f ca="1">AVERAGE(OFFSET($AM$3,0,0,'Données projet'!$E$10+1,1))-AVERAGE(OFFSET($H$3,0,0,'Données projet'!$E$10+1,1))</f>
        <v>303.73499739059076</v>
      </c>
      <c r="AO71" s="60">
        <f t="shared" si="90"/>
        <v>172.32171001882188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240.58944</v>
      </c>
      <c r="BF71" s="14">
        <f t="shared" si="91"/>
        <v>58.56633325847811</v>
      </c>
      <c r="BG71" s="22">
        <f t="shared" si="61"/>
        <v>521.02963842518272</v>
      </c>
      <c r="BH71" s="60">
        <f t="shared" si="62"/>
        <v>814.3629717585161</v>
      </c>
      <c r="BI71" s="60">
        <f ca="1">AVERAGE(OFFSET($BH$3,0,0,'Données projet'!$E$11+1,1))-AVERAGE(OFFSET($H$3,0,0,'Données projet'!$E$11+1,1))</f>
        <v>352.29660374042186</v>
      </c>
      <c r="BJ71" s="60">
        <f t="shared" si="92"/>
        <v>187.26439695305618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210.09456</v>
      </c>
      <c r="CA71" s="14">
        <f t="shared" si="93"/>
        <v>51.956248895959689</v>
      </c>
      <c r="CB71" s="22">
        <f t="shared" si="64"/>
        <v>456.40515882712975</v>
      </c>
      <c r="CC71" s="60">
        <f t="shared" si="65"/>
        <v>749.73849216046301</v>
      </c>
      <c r="CD71" s="60">
        <f ca="1">AVERAGE(OFFSET($CC$3,0,0,'Données projet'!$E$12+1,1))-AVERAGE(OFFSET($H$3,0,0,'Données projet'!$E$12+1,1))</f>
        <v>277.03735509061545</v>
      </c>
      <c r="CE71" s="60">
        <f t="shared" si="94"/>
        <v>158.16416492761959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252.89159999999998</v>
      </c>
      <c r="CV71" s="14">
        <f t="shared" si="95"/>
        <v>61.204718436590312</v>
      </c>
      <c r="CW71" s="22">
        <f t="shared" si="67"/>
        <v>547.05108794372802</v>
      </c>
      <c r="CX71" s="60">
        <f t="shared" si="68"/>
        <v>840.38442127706139</v>
      </c>
      <c r="CY71" s="60">
        <f ca="1">AVERAGE(OFFSET($CX$3,0,0,'Données projet'!$E$13+1,1))-AVERAGE(OFFSET($H$3,0,0,'Données projet'!$E$13+1,1))</f>
        <v>350.3652766444938</v>
      </c>
      <c r="CZ71" s="60">
        <f t="shared" si="96"/>
        <v>197.04549436738586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8.4</v>
      </c>
      <c r="DO71" s="13">
        <f>IF('Données projet'!$A$166&gt;35,DO70+DN71-DW70,IF(A71&lt;'Données projet'!$A$166,$DL$205^A71,IF(A71='Données projet'!$A$166,'Données projet'!$B$166,DO70+DN71-DW70)))</f>
        <v>364.20000000000027</v>
      </c>
      <c r="DP71" s="18">
        <f>DO71*VLOOKUP('Données projet'!$B$14,Paramètres!$A$1:$I$89,3,0)*VLOOKUP('Données projet'!$B$14,Paramètres!$A$1:$I$89,5,0)</f>
        <v>289.75752000000023</v>
      </c>
      <c r="DQ71" s="14">
        <f t="shared" si="97"/>
        <v>69.024924431959803</v>
      </c>
      <c r="DR71" s="22">
        <f t="shared" si="70"/>
        <v>624.87942405233025</v>
      </c>
      <c r="DS71" s="60">
        <f t="shared" si="71"/>
        <v>918.21275738566351</v>
      </c>
      <c r="DT71" s="60">
        <f ca="1">AVERAGE(OFFSET($DS$3,0,0,'Données projet'!$E$14+1,1))-AVERAGE(OFFSET($H$3,0,0,'Données projet'!$E$14+1,1))</f>
        <v>382.01991140382955</v>
      </c>
      <c r="DU71" s="60">
        <f t="shared" si="98"/>
        <v>389.53897948144339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4.4000000000000004</v>
      </c>
      <c r="EJ71" s="13">
        <f>IF('Données projet'!$A$192&gt;35,EJ70+EI71-ER70,IF(A71&lt;'Données projet'!$A$192,$EG$205^A71,IF(A71='Données projet'!$A$192,'Données projet'!$B$192,EJ70+EI71-ER70)))</f>
        <v>332.20000000000022</v>
      </c>
      <c r="EK71" s="18">
        <f>EJ71*VLOOKUP('Données projet'!$B$15,Paramètres!$A$1:$I$89,3,0)*VLOOKUP('Données projet'!$B$15,Paramètres!$A$1:$I$89,5,0)</f>
        <v>264.29832000000016</v>
      </c>
      <c r="EL71" s="14">
        <f t="shared" si="99"/>
        <v>63.637729897364352</v>
      </c>
      <c r="EM71" s="22">
        <f t="shared" si="73"/>
        <v>571.15528690457643</v>
      </c>
      <c r="EN71" s="60">
        <f t="shared" si="74"/>
        <v>864.4886202379098</v>
      </c>
      <c r="EO71" s="60">
        <f ca="1">AVERAGE(OFFSET($EN$3,0,0,'Données projet'!$E$15+1,1))-AVERAGE(OFFSET($H$3,0,0,'Données projet'!$E$15+1,1))</f>
        <v>323.92137573760789</v>
      </c>
      <c r="EP71" s="60">
        <f t="shared" si="100"/>
        <v>389.53897948144339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1.6</v>
      </c>
      <c r="FE71" s="13">
        <f>IF('Données projet'!$A$218&gt;35,FE70+FD71-FM70,IF(A71&lt;'Données projet'!$A$218,$FB$205^A71,IF(A71='Données projet'!$A$218,'Données projet'!$B$218,FE70+FD71-FM70)))</f>
        <v>259.80000000000013</v>
      </c>
      <c r="FF71" s="18">
        <f>FE71*VLOOKUP('Données projet'!$B$16,Paramètres!$A$1:$I$89,3,0)*VLOOKUP('Données projet'!$B$16,Paramètres!$A$1:$I$89,5,0)</f>
        <v>206.69688000000014</v>
      </c>
      <c r="FG71" s="14">
        <f t="shared" si="101"/>
        <v>51.213106197404478</v>
      </c>
      <c r="FH71" s="22">
        <f t="shared" si="76"/>
        <v>449.19322596047977</v>
      </c>
      <c r="FI71" s="60">
        <f t="shared" si="77"/>
        <v>742.52655929381308</v>
      </c>
      <c r="FJ71" s="60">
        <f ca="1">AVERAGE(OFFSET($FI$3,0,0,'Données projet'!$E$16+1,1))-AVERAGE(OFFSET($H$3,0,0,'Données projet'!$E$16+1,1))</f>
        <v>219.61164494001008</v>
      </c>
      <c r="FK71" s="60">
        <f t="shared" si="102"/>
        <v>219.59799863414111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9.8717948717948705</v>
      </c>
      <c r="FZ71" s="13">
        <f>IF('Données projet'!$A$244&gt;35,FZ70+FY71-GH70,IF(A71&lt;'Données projet'!$A$244,$FW$205^A71,IF(A71='Données projet'!$A$244,'Données projet'!$B$244,FZ70+FY71-GH70)))</f>
        <v>291.66666666666657</v>
      </c>
      <c r="GA71" s="18">
        <f>FZ71*VLOOKUP('Données projet'!$B$17,Paramètres!$A$1:$I$89,3,0)*VLOOKUP('Données projet'!$B$17,Paramètres!$A$1:$I$89,5,0)</f>
        <v>136.49999999999994</v>
      </c>
      <c r="GB71" s="14">
        <f t="shared" si="103"/>
        <v>35.494027024087352</v>
      </c>
      <c r="GC71" s="22">
        <f t="shared" si="79"/>
        <v>299.55626373361866</v>
      </c>
      <c r="GD71" s="60">
        <f t="shared" si="80"/>
        <v>592.88959706695198</v>
      </c>
      <c r="GE71" s="60">
        <f ca="1">AVERAGE(OFFSET($GD$3,0,0,'Données projet'!$E$17+1,1))-AVERAGE(OFFSET($H$3,0,0,'Données projet'!$E$17+1,1))</f>
        <v>147.5699668214238</v>
      </c>
      <c r="GF71" s="60">
        <f t="shared" si="104"/>
        <v>70.653739864908346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>
        <f>GU71*VLOOKUP('Données projet'!$B$18,Paramètres!$A$1:$I$89,3,0)*VLOOKUP('Données projet'!$B$18,Paramètres!$A$1:$I$89,5,0)</f>
        <v>0</v>
      </c>
      <c r="GW71" s="14" t="e">
        <f t="shared" si="105"/>
        <v>#NUM!</v>
      </c>
      <c r="GX71" s="22" t="e">
        <f t="shared" si="82"/>
        <v>#NUM!</v>
      </c>
      <c r="GY71" s="60" t="e">
        <f t="shared" si="83"/>
        <v>#NUM!</v>
      </c>
      <c r="GZ71" s="60">
        <f ca="1">AVERAGE(OFFSET($GY$3,0,0,'Données projet'!$E$18+1,1))-AVERAGE(OFFSET($H$3,0,0,'Données projet'!$E$18+1,1))</f>
        <v>136.03899433512379</v>
      </c>
      <c r="HA71" s="60">
        <f t="shared" si="106"/>
        <v>316.56646692826882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35.181932674784719</v>
      </c>
      <c r="HH71" s="23">
        <f>EXP(-LN(2)/25)*HH70+(1-EXP(-LN(2)/25))/(LN(2)/25)*Calculateur!HC71*Calculateur!HE71*VLOOKUP('Données projet'!$B$18,Paramètres!$A$1:$I$89,3,0)*0.475*44/12</f>
        <v>3.515358948123021</v>
      </c>
      <c r="HI71" s="23">
        <f>EXP(-LN(2)/2)*HI70+(1-EXP(-LN(2)/2))/(LN(2)/2)*HC71*HF71*VLOOKUP('Données projet'!$B$18,Paramètres!$A$1:$I$89,3,0)*0.475*44/12</f>
        <v>5.5765506753490318E-6</v>
      </c>
      <c r="HJ71" s="24">
        <f t="shared" si="84"/>
        <v>38.697297199458419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867.72416854456674</v>
      </c>
      <c r="S72" s="60">
        <f ca="1">AVERAGE(OFFSET($R$3,0,0,'Données projet'!$E$9+1,1))-AVERAGE(OFFSET($H$3,0,0,'Données projet'!$E$9+1,1))</f>
        <v>384.44848355636935</v>
      </c>
      <c r="T72" s="60">
        <f t="shared" si="88"/>
        <v>203.5274665601915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0">
        <f t="shared" si="59"/>
        <v>795.77556027438573</v>
      </c>
      <c r="AN72" s="60">
        <f ca="1">AVERAGE(OFFSET($AM$3,0,0,'Données projet'!$E$10+1,1))-AVERAGE(OFFSET($H$3,0,0,'Données projet'!$E$10+1,1))</f>
        <v>303.73499739059076</v>
      </c>
      <c r="AO72" s="60">
        <f t="shared" si="90"/>
        <v>172.32171001882188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247.49712</v>
      </c>
      <c r="BF72" s="14">
        <f t="shared" si="91"/>
        <v>60.049673316050104</v>
      </c>
      <c r="BG72" s="22">
        <f t="shared" si="61"/>
        <v>535.64399835878714</v>
      </c>
      <c r="BH72" s="60">
        <f t="shared" si="62"/>
        <v>828.97733169212052</v>
      </c>
      <c r="BI72" s="60">
        <f ca="1">AVERAGE(OFFSET($BH$3,0,0,'Données projet'!$E$11+1,1))-AVERAGE(OFFSET($H$3,0,0,'Données projet'!$E$11+1,1))</f>
        <v>352.29660374042186</v>
      </c>
      <c r="BJ72" s="60">
        <f t="shared" si="92"/>
        <v>187.26439695305618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215.82287999999997</v>
      </c>
      <c r="CA72" s="14">
        <f t="shared" si="93"/>
        <v>53.205998928315829</v>
      </c>
      <c r="CB72" s="22">
        <f t="shared" si="64"/>
        <v>468.55863080015001</v>
      </c>
      <c r="CC72" s="60">
        <f t="shared" si="65"/>
        <v>761.89196413348327</v>
      </c>
      <c r="CD72" s="60">
        <f ca="1">AVERAGE(OFFSET($CC$3,0,0,'Données projet'!$E$12+1,1))-AVERAGE(OFFSET($H$3,0,0,'Données projet'!$E$12+1,1))</f>
        <v>277.03735509061545</v>
      </c>
      <c r="CE72" s="60">
        <f t="shared" si="94"/>
        <v>158.16416492761959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259.78679999999997</v>
      </c>
      <c r="CV72" s="14">
        <f t="shared" si="95"/>
        <v>62.676930162260739</v>
      </c>
      <c r="CW72" s="22">
        <f t="shared" si="67"/>
        <v>561.62433003260401</v>
      </c>
      <c r="CX72" s="60">
        <f t="shared" si="68"/>
        <v>854.95766336593738</v>
      </c>
      <c r="CY72" s="60">
        <f ca="1">AVERAGE(OFFSET($CX$3,0,0,'Données projet'!$E$13+1,1))-AVERAGE(OFFSET($H$3,0,0,'Données projet'!$E$13+1,1))</f>
        <v>350.3652766444938</v>
      </c>
      <c r="CZ72" s="60">
        <f t="shared" si="96"/>
        <v>197.04549436738586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8.4</v>
      </c>
      <c r="DO72" s="13">
        <f>IF('Données projet'!$A$166&gt;35,DO71+DN72-DW71,IF(A72&lt;'Données projet'!$A$166,$DL$205^A72,IF(A72='Données projet'!$A$166,'Données projet'!$B$166,DO71+DN72-DW71)))</f>
        <v>372.60000000000025</v>
      </c>
      <c r="DP72" s="18">
        <f>DO72*VLOOKUP('Données projet'!$B$14,Paramètres!$A$1:$I$89,3,0)*VLOOKUP('Données projet'!$B$14,Paramètres!$A$1:$I$89,5,0)</f>
        <v>296.44056000000018</v>
      </c>
      <c r="DQ72" s="14">
        <f t="shared" si="97"/>
        <v>70.429750571344741</v>
      </c>
      <c r="DR72" s="22">
        <f t="shared" si="70"/>
        <v>638.96579091175909</v>
      </c>
      <c r="DS72" s="60">
        <f t="shared" si="71"/>
        <v>932.29912424509234</v>
      </c>
      <c r="DT72" s="60">
        <f ca="1">AVERAGE(OFFSET($DS$3,0,0,'Données projet'!$E$14+1,1))-AVERAGE(OFFSET($H$3,0,0,'Données projet'!$E$14+1,1))</f>
        <v>382.01991140382955</v>
      </c>
      <c r="DU72" s="60">
        <f t="shared" si="98"/>
        <v>389.53897948144339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4.4000000000000004</v>
      </c>
      <c r="EJ72" s="13">
        <f>IF('Données projet'!$A$192&gt;35,EJ71+EI72-ER71,IF(A72&lt;'Données projet'!$A$192,$EG$205^A72,IF(A72='Données projet'!$A$192,'Données projet'!$B$192,EJ71+EI72-ER71)))</f>
        <v>336.60000000000019</v>
      </c>
      <c r="EK72" s="18">
        <f>EJ72*VLOOKUP('Données projet'!$B$15,Paramètres!$A$1:$I$89,3,0)*VLOOKUP('Données projet'!$B$15,Paramètres!$A$1:$I$89,5,0)</f>
        <v>267.79896000000019</v>
      </c>
      <c r="EL72" s="14">
        <f t="shared" si="99"/>
        <v>64.381930752466133</v>
      </c>
      <c r="EM72" s="22">
        <f t="shared" si="73"/>
        <v>578.54838472721212</v>
      </c>
      <c r="EN72" s="60">
        <f t="shared" si="74"/>
        <v>871.88171806054538</v>
      </c>
      <c r="EO72" s="60">
        <f ca="1">AVERAGE(OFFSET($EN$3,0,0,'Données projet'!$E$15+1,1))-AVERAGE(OFFSET($H$3,0,0,'Données projet'!$E$15+1,1))</f>
        <v>323.92137573760789</v>
      </c>
      <c r="EP72" s="60">
        <f t="shared" si="100"/>
        <v>389.53897948144339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1.6</v>
      </c>
      <c r="FE72" s="13">
        <f>IF('Données projet'!$A$218&gt;35,FE71+FD72-FM71,IF(A72&lt;'Données projet'!$A$218,$FB$205^A72,IF(A72='Données projet'!$A$218,'Données projet'!$B$218,FE71+FD72-FM71)))</f>
        <v>261.40000000000015</v>
      </c>
      <c r="FF72" s="18">
        <f>FE72*VLOOKUP('Données projet'!$B$16,Paramètres!$A$1:$I$89,3,0)*VLOOKUP('Données projet'!$B$16,Paramètres!$A$1:$I$89,5,0)</f>
        <v>207.96984000000012</v>
      </c>
      <c r="FG72" s="14">
        <f t="shared" si="101"/>
        <v>51.491694145480423</v>
      </c>
      <c r="FH72" s="22">
        <f t="shared" si="76"/>
        <v>451.89550530337857</v>
      </c>
      <c r="FI72" s="60">
        <f t="shared" si="77"/>
        <v>745.22883863671188</v>
      </c>
      <c r="FJ72" s="60">
        <f ca="1">AVERAGE(OFFSET($FI$3,0,0,'Données projet'!$E$16+1,1))-AVERAGE(OFFSET($H$3,0,0,'Données projet'!$E$16+1,1))</f>
        <v>219.61164494001008</v>
      </c>
      <c r="FK72" s="60">
        <f t="shared" si="102"/>
        <v>219.59799863414111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9.8717948717948705</v>
      </c>
      <c r="FZ72" s="13">
        <f>IF('Données projet'!$A$244&gt;35,FZ71+FY72-GH71,IF(A72&lt;'Données projet'!$A$244,$FW$205^A72,IF(A72='Données projet'!$A$244,'Données projet'!$B$244,FZ71+FY72-GH71)))</f>
        <v>301.53846153846143</v>
      </c>
      <c r="GA72" s="18">
        <f>FZ72*VLOOKUP('Données projet'!$B$17,Paramètres!$A$1:$I$89,3,0)*VLOOKUP('Données projet'!$B$17,Paramètres!$A$1:$I$89,5,0)</f>
        <v>141.11999999999995</v>
      </c>
      <c r="GB72" s="14">
        <f t="shared" si="103"/>
        <v>36.553462659686843</v>
      </c>
      <c r="GC72" s="22">
        <f t="shared" si="79"/>
        <v>309.4479474656211</v>
      </c>
      <c r="GD72" s="60">
        <f t="shared" si="80"/>
        <v>602.78128079895441</v>
      </c>
      <c r="GE72" s="60">
        <f ca="1">AVERAGE(OFFSET($GD$3,0,0,'Données projet'!$E$17+1,1))-AVERAGE(OFFSET($H$3,0,0,'Données projet'!$E$17+1,1))</f>
        <v>147.5699668214238</v>
      </c>
      <c r="GF72" s="60">
        <f t="shared" si="104"/>
        <v>70.653739864908346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>
        <f>GU72*VLOOKUP('Données projet'!$B$18,Paramètres!$A$1:$I$89,3,0)*VLOOKUP('Données projet'!$B$18,Paramètres!$A$1:$I$89,5,0)</f>
        <v>0</v>
      </c>
      <c r="GW72" s="14" t="e">
        <f t="shared" si="105"/>
        <v>#NUM!</v>
      </c>
      <c r="GX72" s="22" t="e">
        <f t="shared" si="82"/>
        <v>#NUM!</v>
      </c>
      <c r="GY72" s="60" t="e">
        <f t="shared" si="83"/>
        <v>#NUM!</v>
      </c>
      <c r="GZ72" s="60">
        <f ca="1">AVERAGE(OFFSET($GY$3,0,0,'Données projet'!$E$18+1,1))-AVERAGE(OFFSET($H$3,0,0,'Données projet'!$E$18+1,1))</f>
        <v>136.03899433512379</v>
      </c>
      <c r="HA72" s="60">
        <f t="shared" si="106"/>
        <v>316.56646692826882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34.492036433892238</v>
      </c>
      <c r="HH72" s="23">
        <f>EXP(-LN(2)/25)*HH71+(1-EXP(-LN(2)/25))/(LN(2)/25)*Calculateur!HC72*Calculateur!HE72*VLOOKUP('Données projet'!$B$18,Paramètres!$A$1:$I$89,3,0)*0.475*44/12</f>
        <v>3.4192312728219045</v>
      </c>
      <c r="HI72" s="23">
        <f>EXP(-LN(2)/2)*HI71+(1-EXP(-LN(2)/2))/(LN(2)/2)*HC72*HF72*VLOOKUP('Données projet'!$B$18,Paramètres!$A$1:$I$89,3,0)*0.475*44/12</f>
        <v>3.9432167981697216E-6</v>
      </c>
      <c r="HJ72" s="24">
        <f t="shared" si="84"/>
        <v>37.911271649930939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883.38916182135404</v>
      </c>
      <c r="S73" s="60">
        <f ca="1">AVERAGE(OFFSET($R$3,0,0,'Données projet'!$E$9+1,1))-AVERAGE(OFFSET($H$3,0,0,'Données projet'!$E$9+1,1))</f>
        <v>384.44848355636935</v>
      </c>
      <c r="T73" s="60">
        <f t="shared" si="88"/>
        <v>203.5274665601915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0">
        <f t="shared" si="59"/>
        <v>808.80277120001347</v>
      </c>
      <c r="AN73" s="60">
        <f ca="1">AVERAGE(OFFSET($AM$3,0,0,'Données projet'!$E$10+1,1))-AVERAGE(OFFSET($H$3,0,0,'Données projet'!$E$10+1,1))</f>
        <v>303.73499739059076</v>
      </c>
      <c r="AO73" s="60">
        <f t="shared" si="90"/>
        <v>172.32171001882188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254.40479999999999</v>
      </c>
      <c r="BF73" s="14">
        <f t="shared" si="91"/>
        <v>61.52820154571765</v>
      </c>
      <c r="BG73" s="22">
        <f t="shared" si="61"/>
        <v>550.24997769212484</v>
      </c>
      <c r="BH73" s="60">
        <f t="shared" si="62"/>
        <v>843.58331102545822</v>
      </c>
      <c r="BI73" s="60">
        <f ca="1">AVERAGE(OFFSET($BH$3,0,0,'Données projet'!$E$11+1,1))-AVERAGE(OFFSET($H$3,0,0,'Données projet'!$E$11+1,1))</f>
        <v>352.29660374042186</v>
      </c>
      <c r="BJ73" s="60">
        <f t="shared" si="92"/>
        <v>187.26439695305618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221.55119999999997</v>
      </c>
      <c r="CA73" s="14">
        <f t="shared" si="93"/>
        <v>54.451893386016494</v>
      </c>
      <c r="CB73" s="22">
        <f t="shared" si="64"/>
        <v>480.70538764731208</v>
      </c>
      <c r="CC73" s="60">
        <f t="shared" si="65"/>
        <v>774.03872098064539</v>
      </c>
      <c r="CD73" s="60">
        <f ca="1">AVERAGE(OFFSET($CC$3,0,0,'Données projet'!$E$12+1,1))-AVERAGE(OFFSET($H$3,0,0,'Données projet'!$E$12+1,1))</f>
        <v>277.03735509061545</v>
      </c>
      <c r="CE73" s="60">
        <f t="shared" si="94"/>
        <v>158.16416492761959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266.68199999999996</v>
      </c>
      <c r="CV73" s="14">
        <f t="shared" si="95"/>
        <v>64.144600001897771</v>
      </c>
      <c r="CW73" s="22">
        <f t="shared" si="67"/>
        <v>576.189661669972</v>
      </c>
      <c r="CX73" s="60">
        <f t="shared" si="68"/>
        <v>869.52299500330537</v>
      </c>
      <c r="CY73" s="60">
        <f ca="1">AVERAGE(OFFSET($CX$3,0,0,'Données projet'!$E$13+1,1))-AVERAGE(OFFSET($H$3,0,0,'Données projet'!$E$13+1,1))</f>
        <v>350.3652766444938</v>
      </c>
      <c r="CZ73" s="60">
        <f t="shared" si="96"/>
        <v>197.04549436738586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381</v>
      </c>
      <c r="DM73" s="13">
        <f>VLOOKUP(A73,'Données projet'!$A$165:$I$185,9,0)</f>
        <v>8.4</v>
      </c>
      <c r="DN73" s="13">
        <f t="array" ref="DN73">INDEX(DM:DM,MIN(IF(ISNUMBER(DM73:DM269),ROW(DM73:DM269),"")))</f>
        <v>8.4</v>
      </c>
      <c r="DO73" s="13">
        <f>IF('Données projet'!$A$166&gt;35,DO72+DN73-DW72,IF(A73&lt;'Données projet'!$A$166,$DL$205^A73,IF(A73='Données projet'!$A$166,'Données projet'!$B$166,DO72+DN73-DW72)))</f>
        <v>381.00000000000023</v>
      </c>
      <c r="DP73" s="18">
        <f>DO73*VLOOKUP('Données projet'!$B$14,Paramètres!$A$1:$I$89,3,0)*VLOOKUP('Données projet'!$B$14,Paramètres!$A$1:$I$89,5,0)</f>
        <v>303.12360000000018</v>
      </c>
      <c r="DQ73" s="14">
        <f t="shared" si="97"/>
        <v>71.830894732837749</v>
      </c>
      <c r="DR73" s="22">
        <f t="shared" si="70"/>
        <v>653.04574499302601</v>
      </c>
      <c r="DS73" s="60">
        <f t="shared" si="71"/>
        <v>946.37907832635938</v>
      </c>
      <c r="DT73" s="60">
        <f ca="1">AVERAGE(OFFSET($DS$3,0,0,'Données projet'!$E$14+1,1))-AVERAGE(OFFSET($H$3,0,0,'Données projet'!$E$14+1,1))</f>
        <v>382.01991140382955</v>
      </c>
      <c r="DU73" s="60">
        <f t="shared" si="98"/>
        <v>389.53897948144339</v>
      </c>
      <c r="DV73" s="16">
        <f>IF(ISNA(VLOOKUP(A73,'Données projet'!$A$165:$I$185,3,0)),0,VLOOKUP(A73,'Données projet'!$A$165:$I$185,3,0))</f>
        <v>7</v>
      </c>
      <c r="DW73" s="16">
        <f>IF(ISNA(VLOOKUP(A73,'Données projet'!$A$165:$I$185,4,0)),0,VLOOKUP(A73,'Données projet'!$A$165:$I$185,4,0))</f>
        <v>15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341</v>
      </c>
      <c r="EH73" s="13">
        <f>VLOOKUP(A73,'Données projet'!$A$191:$I$211,9,0)</f>
        <v>4.4000000000000004</v>
      </c>
      <c r="EI73" s="13">
        <f t="array" ref="EI73">INDEX(EH:EH,MIN(IF(ISNUMBER(EH73:EH269),ROW(EH73:EH269),"")))</f>
        <v>4.4000000000000004</v>
      </c>
      <c r="EJ73" s="13">
        <f>IF('Données projet'!$A$192&gt;35,EJ72+EI73-ER72,IF(A73&lt;'Données projet'!$A$192,$EG$205^A73,IF(A73='Données projet'!$A$192,'Données projet'!$B$192,EJ72+EI73-ER72)))</f>
        <v>341.00000000000017</v>
      </c>
      <c r="EK73" s="18">
        <f>EJ73*VLOOKUP('Données projet'!$B$15,Paramètres!$A$1:$I$89,3,0)*VLOOKUP('Données projet'!$B$15,Paramètres!$A$1:$I$89,5,0)</f>
        <v>271.29960000000011</v>
      </c>
      <c r="EL73" s="14">
        <f t="shared" si="99"/>
        <v>65.125000081857934</v>
      </c>
      <c r="EM73" s="22">
        <f t="shared" si="73"/>
        <v>585.93951180923602</v>
      </c>
      <c r="EN73" s="60">
        <f t="shared" si="74"/>
        <v>879.27284514256939</v>
      </c>
      <c r="EO73" s="60">
        <f ca="1">AVERAGE(OFFSET($EN$3,0,0,'Données projet'!$E$15+1,1))-AVERAGE(OFFSET($H$3,0,0,'Données projet'!$E$15+1,1))</f>
        <v>323.92137573760789</v>
      </c>
      <c r="EP73" s="60">
        <f t="shared" si="100"/>
        <v>389.53897948144339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26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263</v>
      </c>
      <c r="FC73" s="13">
        <f>VLOOKUP(A73,'Données projet'!$A$217:$I$237,9,0)</f>
        <v>1.6</v>
      </c>
      <c r="FD73" s="13">
        <f t="array" ref="FD73">INDEX(FC:FC,MIN(IF(ISNUMBER(FC73:FC269),ROW(FC73:FC269),"")))</f>
        <v>1.6</v>
      </c>
      <c r="FE73" s="13">
        <f>IF('Données projet'!$A$218&gt;35,FE72+FD73-FM72,IF(A73&lt;'Données projet'!$A$218,$FB$205^A73,IF(A73='Données projet'!$A$218,'Données projet'!$B$218,FE72+FD73-FM72)))</f>
        <v>263.00000000000017</v>
      </c>
      <c r="FF73" s="18">
        <f>FE73*VLOOKUP('Données projet'!$B$16,Paramètres!$A$1:$I$89,3,0)*VLOOKUP('Données projet'!$B$16,Paramètres!$A$1:$I$89,5,0)</f>
        <v>209.24280000000013</v>
      </c>
      <c r="FG73" s="14">
        <f t="shared" si="101"/>
        <v>51.770083677016856</v>
      </c>
      <c r="FH73" s="22">
        <f t="shared" si="76"/>
        <v>454.59743907080457</v>
      </c>
      <c r="FI73" s="60">
        <f t="shared" si="77"/>
        <v>747.93077240413788</v>
      </c>
      <c r="FJ73" s="60">
        <f ca="1">AVERAGE(OFFSET($FI$3,0,0,'Données projet'!$E$16+1,1))-AVERAGE(OFFSET($H$3,0,0,'Données projet'!$E$16+1,1))</f>
        <v>219.61164494001008</v>
      </c>
      <c r="FK73" s="60">
        <f t="shared" si="102"/>
        <v>219.59799863414111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21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9.8717948717948705</v>
      </c>
      <c r="FZ73" s="13">
        <f>IF('Données projet'!$A$244&gt;35,FZ72+FY73-GH72,IF(A73&lt;'Données projet'!$A$244,$FW$205^A73,IF(A73='Données projet'!$A$244,'Données projet'!$B$244,FZ72+FY73-GH72)))</f>
        <v>311.4102564102563</v>
      </c>
      <c r="GA73" s="18">
        <f>FZ73*VLOOKUP('Données projet'!$B$17,Paramètres!$A$1:$I$89,3,0)*VLOOKUP('Données projet'!$B$17,Paramètres!$A$1:$I$89,5,0)</f>
        <v>145.73999999999995</v>
      </c>
      <c r="GB73" s="14">
        <f t="shared" si="103"/>
        <v>37.608868010754726</v>
      </c>
      <c r="GC73" s="22">
        <f t="shared" si="79"/>
        <v>319.33261178539772</v>
      </c>
      <c r="GD73" s="60">
        <f t="shared" si="80"/>
        <v>612.66594511873109</v>
      </c>
      <c r="GE73" s="60">
        <f ca="1">AVERAGE(OFFSET($GD$3,0,0,'Données projet'!$E$17+1,1))-AVERAGE(OFFSET($H$3,0,0,'Données projet'!$E$17+1,1))</f>
        <v>147.5699668214238</v>
      </c>
      <c r="GF73" s="60">
        <f t="shared" si="104"/>
        <v>70.653739864908346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>
        <f>GU73*VLOOKUP('Données projet'!$B$18,Paramètres!$A$1:$I$89,3,0)*VLOOKUP('Données projet'!$B$18,Paramètres!$A$1:$I$89,5,0)</f>
        <v>0</v>
      </c>
      <c r="GW73" s="14" t="e">
        <f t="shared" si="105"/>
        <v>#NUM!</v>
      </c>
      <c r="GX73" s="22" t="e">
        <f t="shared" si="82"/>
        <v>#NUM!</v>
      </c>
      <c r="GY73" s="60" t="e">
        <f t="shared" si="83"/>
        <v>#NUM!</v>
      </c>
      <c r="GZ73" s="60">
        <f ca="1">AVERAGE(OFFSET($GY$3,0,0,'Données projet'!$E$18+1,1))-AVERAGE(OFFSET($H$3,0,0,'Données projet'!$E$18+1,1))</f>
        <v>136.03899433512379</v>
      </c>
      <c r="HA73" s="60">
        <f t="shared" si="106"/>
        <v>316.56646692826882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33.8156686374885</v>
      </c>
      <c r="HH73" s="23">
        <f>EXP(-LN(2)/25)*HH72+(1-EXP(-LN(2)/25))/(LN(2)/25)*Calculateur!HC73*Calculateur!HE73*VLOOKUP('Données projet'!$B$18,Paramètres!$A$1:$I$89,3,0)*0.475*44/12</f>
        <v>3.3257322138570315</v>
      </c>
      <c r="HI73" s="23">
        <f>EXP(-LN(2)/2)*HI72+(1-EXP(-LN(2)/2))/(LN(2)/2)*HC73*HF73*VLOOKUP('Données projet'!$B$18,Paramètres!$A$1:$I$89,3,0)*0.475*44/12</f>
        <v>2.7882753376745159E-6</v>
      </c>
      <c r="HJ73" s="24">
        <f t="shared" si="84"/>
        <v>37.141403639620869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897.90020079058013</v>
      </c>
      <c r="S74" s="60">
        <f ca="1">AVERAGE(OFFSET($R$3,0,0,'Données projet'!$E$9+1,1))-AVERAGE(OFFSET($H$3,0,0,'Données projet'!$E$9+1,1))</f>
        <v>384.44848355636935</v>
      </c>
      <c r="T74" s="60">
        <f t="shared" si="88"/>
        <v>203.5274665601915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0">
        <f t="shared" si="59"/>
        <v>740.13528187395309</v>
      </c>
      <c r="AN74" s="60">
        <f ca="1">AVERAGE(OFFSET($AM$3,0,0,'Données projet'!$E$10+1,1))-AVERAGE(OFFSET($H$3,0,0,'Données projet'!$E$10+1,1))</f>
        <v>303.73499739059076</v>
      </c>
      <c r="AO74" s="60">
        <f t="shared" si="90"/>
        <v>172.32171001882188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309.59999999999997</v>
      </c>
      <c r="BE74" s="14">
        <f>BD74*VLOOKUP('Données projet'!$B$11,Paramètres!$A$1:$I$89,3,0)*VLOOKUP('Données projet'!$B$11,Paramètres!$A$1:$I$89,5,0)</f>
        <v>260.80704000000003</v>
      </c>
      <c r="BF74" s="14">
        <f t="shared" si="91"/>
        <v>62.89437522937974</v>
      </c>
      <c r="BG74" s="22">
        <f t="shared" si="61"/>
        <v>563.77996485783649</v>
      </c>
      <c r="BH74" s="60">
        <f t="shared" si="62"/>
        <v>857.11329819116986</v>
      </c>
      <c r="BI74" s="60">
        <f ca="1">AVERAGE(OFFSET($BH$3,0,0,'Données projet'!$E$11+1,1))-AVERAGE(OFFSET($H$3,0,0,'Données projet'!$E$11+1,1))</f>
        <v>352.29660374042186</v>
      </c>
      <c r="BJ74" s="60">
        <f t="shared" si="92"/>
        <v>187.26439695305618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191.39327999999998</v>
      </c>
      <c r="CA74" s="14">
        <f t="shared" si="93"/>
        <v>47.847856170442952</v>
      </c>
      <c r="CB74" s="22">
        <f t="shared" si="64"/>
        <v>416.67831216352141</v>
      </c>
      <c r="CC74" s="60">
        <f t="shared" si="65"/>
        <v>710.01164549685473</v>
      </c>
      <c r="CD74" s="60">
        <f ca="1">AVERAGE(OFFSET($CC$3,0,0,'Données projet'!$E$12+1,1))-AVERAGE(OFFSET($H$3,0,0,'Données projet'!$E$12+1,1))</f>
        <v>277.03735509061545</v>
      </c>
      <c r="CE74" s="60">
        <f t="shared" si="94"/>
        <v>158.16416492761959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230.38079999999994</v>
      </c>
      <c r="CV74" s="14">
        <f t="shared" si="95"/>
        <v>56.365011465139979</v>
      </c>
      <c r="CW74" s="22">
        <f t="shared" si="67"/>
        <v>499.41562163511867</v>
      </c>
      <c r="CX74" s="60">
        <f t="shared" si="68"/>
        <v>792.74895496845193</v>
      </c>
      <c r="CY74" s="60">
        <f ca="1">AVERAGE(OFFSET($CX$3,0,0,'Données projet'!$E$13+1,1))-AVERAGE(OFFSET($H$3,0,0,'Données projet'!$E$13+1,1))</f>
        <v>350.3652766444938</v>
      </c>
      <c r="CZ74" s="60">
        <f t="shared" si="96"/>
        <v>197.04549436738586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4.5999999999999996</v>
      </c>
      <c r="DO74" s="13">
        <f>IF('Données projet'!$A$166&gt;35,DO73+DN74-DW73,IF(A74&lt;'Données projet'!$A$166,$DL$205^A74,IF(A74='Données projet'!$A$166,'Données projet'!$B$166,DO73+DN74-DW73)))</f>
        <v>370.60000000000025</v>
      </c>
      <c r="DP74" s="18">
        <f>DO74*VLOOKUP('Données projet'!$B$14,Paramètres!$A$1:$I$89,3,0)*VLOOKUP('Données projet'!$B$14,Paramètres!$A$1:$I$89,5,0)</f>
        <v>294.84936000000022</v>
      </c>
      <c r="DQ74" s="14">
        <f t="shared" si="97"/>
        <v>70.095605602473441</v>
      </c>
      <c r="DR74" s="22">
        <f t="shared" si="70"/>
        <v>635.6124817576416</v>
      </c>
      <c r="DS74" s="60">
        <f t="shared" si="71"/>
        <v>928.94581509097497</v>
      </c>
      <c r="DT74" s="60">
        <f ca="1">AVERAGE(OFFSET($DS$3,0,0,'Données projet'!$E$14+1,1))-AVERAGE(OFFSET($H$3,0,0,'Données projet'!$E$14+1,1))</f>
        <v>382.01991140382955</v>
      </c>
      <c r="DU74" s="60">
        <f t="shared" si="98"/>
        <v>389.53897948144339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4.2</v>
      </c>
      <c r="EJ74" s="13">
        <f>IF('Données projet'!$A$192&gt;35,EJ73+EI74-ER73,IF(A74&lt;'Données projet'!$A$192,$EG$205^A74,IF(A74='Données projet'!$A$192,'Données projet'!$B$192,EJ73+EI74-ER73)))</f>
        <v>319.20000000000016</v>
      </c>
      <c r="EK74" s="18">
        <f>EJ74*VLOOKUP('Données projet'!$B$15,Paramètres!$A$1:$I$89,3,0)*VLOOKUP('Données projet'!$B$15,Paramètres!$A$1:$I$89,5,0)</f>
        <v>253.95552000000015</v>
      </c>
      <c r="EL74" s="14">
        <f t="shared" si="99"/>
        <v>61.432180511879309</v>
      </c>
      <c r="EM74" s="22">
        <f t="shared" si="73"/>
        <v>549.30024505819006</v>
      </c>
      <c r="EN74" s="60">
        <f t="shared" si="74"/>
        <v>842.63357839152332</v>
      </c>
      <c r="EO74" s="60">
        <f ca="1">AVERAGE(OFFSET($EN$3,0,0,'Données projet'!$E$15+1,1))-AVERAGE(OFFSET($H$3,0,0,'Données projet'!$E$15+1,1))</f>
        <v>323.92137573760789</v>
      </c>
      <c r="EP74" s="60">
        <f t="shared" si="100"/>
        <v>389.53897948144339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5.6</v>
      </c>
      <c r="FE74" s="13">
        <f>IF('Données projet'!$A$218&gt;35,FE73+FD74-FM73,IF(A74&lt;'Données projet'!$A$218,$FB$205^A74,IF(A74='Données projet'!$A$218,'Données projet'!$B$218,FE73+FD74-FM73)))</f>
        <v>247.60000000000019</v>
      </c>
      <c r="FF74" s="18">
        <f>FE74*VLOOKUP('Données projet'!$B$16,Paramètres!$A$1:$I$89,3,0)*VLOOKUP('Données projet'!$B$16,Paramètres!$A$1:$I$89,5,0)</f>
        <v>196.99056000000016</v>
      </c>
      <c r="FG74" s="14">
        <f t="shared" si="101"/>
        <v>49.082201425782451</v>
      </c>
      <c r="FH74" s="22">
        <f t="shared" si="76"/>
        <v>428.57672614990469</v>
      </c>
      <c r="FI74" s="60">
        <f t="shared" si="77"/>
        <v>721.910059483238</v>
      </c>
      <c r="FJ74" s="60">
        <f ca="1">AVERAGE(OFFSET($FI$3,0,0,'Données projet'!$E$16+1,1))-AVERAGE(OFFSET($H$3,0,0,'Données projet'!$E$16+1,1))</f>
        <v>219.61164494001008</v>
      </c>
      <c r="FK74" s="60">
        <f t="shared" si="102"/>
        <v>219.59799863414111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9.8717948717948705</v>
      </c>
      <c r="FZ74" s="13">
        <f>IF('Données projet'!$A$244&gt;35,FZ73+FY74-GH73,IF(A74&lt;'Données projet'!$A$244,$FW$205^A74,IF(A74='Données projet'!$A$244,'Données projet'!$B$244,FZ73+FY74-GH73)))</f>
        <v>321.28205128205116</v>
      </c>
      <c r="GA74" s="18">
        <f>FZ74*VLOOKUP('Données projet'!$B$17,Paramètres!$A$1:$I$89,3,0)*VLOOKUP('Données projet'!$B$17,Paramètres!$A$1:$I$89,5,0)</f>
        <v>150.35999999999993</v>
      </c>
      <c r="GB74" s="14">
        <f t="shared" si="103"/>
        <v>38.660385495456531</v>
      </c>
      <c r="GC74" s="22">
        <f t="shared" si="79"/>
        <v>329.21050473791996</v>
      </c>
      <c r="GD74" s="60">
        <f t="shared" si="80"/>
        <v>622.54383807125328</v>
      </c>
      <c r="GE74" s="60">
        <f ca="1">AVERAGE(OFFSET($GD$3,0,0,'Données projet'!$E$17+1,1))-AVERAGE(OFFSET($H$3,0,0,'Données projet'!$E$17+1,1))</f>
        <v>147.5699668214238</v>
      </c>
      <c r="GF74" s="60">
        <f t="shared" si="104"/>
        <v>70.653739864908346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>
        <f>GU74*VLOOKUP('Données projet'!$B$18,Paramètres!$A$1:$I$89,3,0)*VLOOKUP('Données projet'!$B$18,Paramètres!$A$1:$I$89,5,0)</f>
        <v>0</v>
      </c>
      <c r="GW74" s="14" t="e">
        <f t="shared" si="105"/>
        <v>#NUM!</v>
      </c>
      <c r="GX74" s="22" t="e">
        <f t="shared" si="82"/>
        <v>#NUM!</v>
      </c>
      <c r="GY74" s="60" t="e">
        <f t="shared" si="83"/>
        <v>#NUM!</v>
      </c>
      <c r="GZ74" s="60">
        <f ca="1">AVERAGE(OFFSET($GY$3,0,0,'Données projet'!$E$18+1,1))-AVERAGE(OFFSET($H$3,0,0,'Données projet'!$E$18+1,1))</f>
        <v>136.03899433512379</v>
      </c>
      <c r="HA74" s="60">
        <f t="shared" si="106"/>
        <v>316.56646692826882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33.152564001028615</v>
      </c>
      <c r="HH74" s="23">
        <f>EXP(-LN(2)/25)*HH73+(1-EXP(-LN(2)/25))/(LN(2)/25)*Calculateur!HC74*Calculateur!HE74*VLOOKUP('Données projet'!$B$18,Paramètres!$A$1:$I$89,3,0)*0.475*44/12</f>
        <v>3.234789891576455</v>
      </c>
      <c r="HI74" s="23">
        <f>EXP(-LN(2)/2)*HI73+(1-EXP(-LN(2)/2))/(LN(2)/2)*HC74*HF74*VLOOKUP('Données projet'!$B$18,Paramètres!$A$1:$I$89,3,0)*0.475*44/12</f>
        <v>1.9716083990848608E-6</v>
      </c>
      <c r="HJ74" s="24">
        <f t="shared" si="84"/>
        <v>36.387355864213468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912.40400733040633</v>
      </c>
      <c r="S75" s="60">
        <f ca="1">AVERAGE(OFFSET($R$3,0,0,'Données projet'!$E$9+1,1))-AVERAGE(OFFSET($H$3,0,0,'Données projet'!$E$9+1,1))</f>
        <v>384.44848355636935</v>
      </c>
      <c r="T75" s="60">
        <f t="shared" si="88"/>
        <v>203.5274665601915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0">
        <f t="shared" si="59"/>
        <v>752.04261652954642</v>
      </c>
      <c r="AN75" s="60">
        <f ca="1">AVERAGE(OFFSET($AM$3,0,0,'Données projet'!$E$10+1,1))-AVERAGE(OFFSET($H$3,0,0,'Données projet'!$E$10+1,1))</f>
        <v>303.73499739059076</v>
      </c>
      <c r="AO75" s="60">
        <f t="shared" si="90"/>
        <v>172.32171001882188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317.2</v>
      </c>
      <c r="BE75" s="14">
        <f>BD75*VLOOKUP('Données projet'!$B$11,Paramètres!$A$1:$I$89,3,0)*VLOOKUP('Données projet'!$B$11,Paramètres!$A$1:$I$89,5,0)</f>
        <v>267.20928000000004</v>
      </c>
      <c r="BF75" s="14">
        <f t="shared" si="91"/>
        <v>64.256650415058076</v>
      </c>
      <c r="BG75" s="22">
        <f t="shared" si="61"/>
        <v>577.3031621395595</v>
      </c>
      <c r="BH75" s="60">
        <f t="shared" si="62"/>
        <v>870.63649547289288</v>
      </c>
      <c r="BI75" s="60">
        <f ca="1">AVERAGE(OFFSET($BH$3,0,0,'Données projet'!$E$11+1,1))-AVERAGE(OFFSET($H$3,0,0,'Données projet'!$E$11+1,1))</f>
        <v>352.29660374042186</v>
      </c>
      <c r="BJ75" s="60">
        <f t="shared" si="92"/>
        <v>187.26439695305618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196.61615999999995</v>
      </c>
      <c r="CA75" s="14">
        <f t="shared" si="93"/>
        <v>48.999765174076551</v>
      </c>
      <c r="CB75" s="22">
        <f t="shared" si="64"/>
        <v>427.7810696781832</v>
      </c>
      <c r="CC75" s="60">
        <f t="shared" si="65"/>
        <v>721.11440301151652</v>
      </c>
      <c r="CD75" s="60">
        <f ca="1">AVERAGE(OFFSET($CC$3,0,0,'Données projet'!$E$12+1,1))-AVERAGE(OFFSET($H$3,0,0,'Données projet'!$E$12+1,1))</f>
        <v>277.03735509061545</v>
      </c>
      <c r="CE75" s="60">
        <f t="shared" si="94"/>
        <v>158.16416492761959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236.66759999999994</v>
      </c>
      <c r="CV75" s="14">
        <f t="shared" si="95"/>
        <v>57.721965974560838</v>
      </c>
      <c r="CW75" s="22">
        <f t="shared" si="67"/>
        <v>512.72849407235992</v>
      </c>
      <c r="CX75" s="60">
        <f t="shared" si="68"/>
        <v>806.06182740569329</v>
      </c>
      <c r="CY75" s="60">
        <f ca="1">AVERAGE(OFFSET($CX$3,0,0,'Données projet'!$E$13+1,1))-AVERAGE(OFFSET($H$3,0,0,'Données projet'!$E$13+1,1))</f>
        <v>350.3652766444938</v>
      </c>
      <c r="CZ75" s="60">
        <f t="shared" si="96"/>
        <v>197.04549436738586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4.5999999999999996</v>
      </c>
      <c r="DO75" s="13">
        <f>IF('Données projet'!$A$166&gt;35,DO74+DN75-DW74,IF(A75&lt;'Données projet'!$A$166,$DL$205^A75,IF(A75='Données projet'!$A$166,'Données projet'!$B$166,DO74+DN75-DW74)))</f>
        <v>375.20000000000027</v>
      </c>
      <c r="DP75" s="18">
        <f>DO75*VLOOKUP('Données projet'!$B$14,Paramètres!$A$1:$I$89,3,0)*VLOOKUP('Données projet'!$B$14,Paramètres!$A$1:$I$89,5,0)</f>
        <v>298.50912000000022</v>
      </c>
      <c r="DQ75" s="14">
        <f t="shared" si="97"/>
        <v>70.863827196915565</v>
      </c>
      <c r="DR75" s="22">
        <f t="shared" si="70"/>
        <v>643.32454970129493</v>
      </c>
      <c r="DS75" s="60">
        <f t="shared" si="71"/>
        <v>936.65788303462818</v>
      </c>
      <c r="DT75" s="60">
        <f ca="1">AVERAGE(OFFSET($DS$3,0,0,'Données projet'!$E$14+1,1))-AVERAGE(OFFSET($H$3,0,0,'Données projet'!$E$14+1,1))</f>
        <v>382.01991140382955</v>
      </c>
      <c r="DU75" s="60">
        <f t="shared" si="98"/>
        <v>389.53897948144339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4.2</v>
      </c>
      <c r="EJ75" s="13">
        <f>IF('Données projet'!$A$192&gt;35,EJ74+EI75-ER74,IF(A75&lt;'Données projet'!$A$192,$EG$205^A75,IF(A75='Données projet'!$A$192,'Données projet'!$B$192,EJ74+EI75-ER74)))</f>
        <v>323.40000000000015</v>
      </c>
      <c r="EK75" s="18">
        <f>EJ75*VLOOKUP('Données projet'!$B$15,Paramètres!$A$1:$I$89,3,0)*VLOOKUP('Données projet'!$B$15,Paramètres!$A$1:$I$89,5,0)</f>
        <v>257.29704000000015</v>
      </c>
      <c r="EL75" s="14">
        <f t="shared" si="99"/>
        <v>62.145866152025413</v>
      </c>
      <c r="EM75" s="22">
        <f t="shared" si="73"/>
        <v>556.3630615481112</v>
      </c>
      <c r="EN75" s="60">
        <f t="shared" si="74"/>
        <v>849.69639488144458</v>
      </c>
      <c r="EO75" s="60">
        <f ca="1">AVERAGE(OFFSET($EN$3,0,0,'Données projet'!$E$15+1,1))-AVERAGE(OFFSET($H$3,0,0,'Données projet'!$E$15+1,1))</f>
        <v>323.92137573760789</v>
      </c>
      <c r="EP75" s="60">
        <f t="shared" si="100"/>
        <v>389.53897948144339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5.6</v>
      </c>
      <c r="FE75" s="13">
        <f>IF('Données projet'!$A$218&gt;35,FE74+FD75-FM74,IF(A75&lt;'Données projet'!$A$218,$FB$205^A75,IF(A75='Données projet'!$A$218,'Données projet'!$B$218,FE74+FD75-FM74)))</f>
        <v>253.20000000000019</v>
      </c>
      <c r="FF75" s="18">
        <f>FE75*VLOOKUP('Données projet'!$B$16,Paramètres!$A$1:$I$89,3,0)*VLOOKUP('Données projet'!$B$16,Paramètres!$A$1:$I$89,5,0)</f>
        <v>201.44592000000014</v>
      </c>
      <c r="FG75" s="14">
        <f t="shared" si="101"/>
        <v>50.061803830547262</v>
      </c>
      <c r="FH75" s="22">
        <f t="shared" si="76"/>
        <v>438.04261900487001</v>
      </c>
      <c r="FI75" s="60">
        <f t="shared" si="77"/>
        <v>731.37595233820332</v>
      </c>
      <c r="FJ75" s="60">
        <f ca="1">AVERAGE(OFFSET($FI$3,0,0,'Données projet'!$E$16+1,1))-AVERAGE(OFFSET($H$3,0,0,'Données projet'!$E$16+1,1))</f>
        <v>219.61164494001008</v>
      </c>
      <c r="FK75" s="60">
        <f t="shared" si="102"/>
        <v>219.59799863414111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9.8717948717948705</v>
      </c>
      <c r="FZ75" s="13">
        <f>IF('Données projet'!$A$244&gt;35,FZ74+FY75-GH74,IF(A75&lt;'Données projet'!$A$244,$FW$205^A75,IF(A75='Données projet'!$A$244,'Données projet'!$B$244,FZ74+FY75-GH74)))</f>
        <v>331.15384615384602</v>
      </c>
      <c r="GA75" s="18">
        <f>FZ75*VLOOKUP('Données projet'!$B$17,Paramètres!$A$1:$I$89,3,0)*VLOOKUP('Données projet'!$B$17,Paramètres!$A$1:$I$89,5,0)</f>
        <v>154.97999999999993</v>
      </c>
      <c r="GB75" s="14">
        <f t="shared" si="103"/>
        <v>39.708148282768228</v>
      </c>
      <c r="GC75" s="22">
        <f t="shared" si="79"/>
        <v>339.08185825915456</v>
      </c>
      <c r="GD75" s="60">
        <f t="shared" si="80"/>
        <v>632.41519159248787</v>
      </c>
      <c r="GE75" s="60">
        <f ca="1">AVERAGE(OFFSET($GD$3,0,0,'Données projet'!$E$17+1,1))-AVERAGE(OFFSET($H$3,0,0,'Données projet'!$E$17+1,1))</f>
        <v>147.5699668214238</v>
      </c>
      <c r="GF75" s="60">
        <f t="shared" si="104"/>
        <v>70.653739864908346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>
        <f>GU75*VLOOKUP('Données projet'!$B$18,Paramètres!$A$1:$I$89,3,0)*VLOOKUP('Données projet'!$B$18,Paramètres!$A$1:$I$89,5,0)</f>
        <v>0</v>
      </c>
      <c r="GW75" s="14" t="e">
        <f t="shared" si="105"/>
        <v>#NUM!</v>
      </c>
      <c r="GX75" s="22" t="e">
        <f t="shared" si="82"/>
        <v>#NUM!</v>
      </c>
      <c r="GY75" s="60" t="e">
        <f t="shared" si="83"/>
        <v>#NUM!</v>
      </c>
      <c r="GZ75" s="60">
        <f ca="1">AVERAGE(OFFSET($GY$3,0,0,'Données projet'!$E$18+1,1))-AVERAGE(OFFSET($H$3,0,0,'Données projet'!$E$18+1,1))</f>
        <v>136.03899433512379</v>
      </c>
      <c r="HA75" s="60">
        <f t="shared" si="106"/>
        <v>316.56646692826882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32.502462442035821</v>
      </c>
      <c r="HH75" s="23">
        <f>EXP(-LN(2)/25)*HH74+(1-EXP(-LN(2)/25))/(LN(2)/25)*Calculateur!HC75*Calculateur!HE75*VLOOKUP('Données projet'!$B$18,Paramètres!$A$1:$I$89,3,0)*0.475*44/12</f>
        <v>3.1463343918810898</v>
      </c>
      <c r="HI75" s="23">
        <f>EXP(-LN(2)/2)*HI74+(1-EXP(-LN(2)/2))/(LN(2)/2)*HC75*HF75*VLOOKUP('Données projet'!$B$18,Paramètres!$A$1:$I$89,3,0)*0.475*44/12</f>
        <v>1.3941376688372579E-6</v>
      </c>
      <c r="HJ75" s="24">
        <f t="shared" si="84"/>
        <v>35.648798228054581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926.90077466569664</v>
      </c>
      <c r="S76" s="60">
        <f ca="1">AVERAGE(OFFSET($R$3,0,0,'Données projet'!$E$9+1,1))-AVERAGE(OFFSET($H$3,0,0,'Données projet'!$E$9+1,1))</f>
        <v>384.44848355636935</v>
      </c>
      <c r="T76" s="60">
        <f t="shared" si="88"/>
        <v>203.5274665601915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0">
        <f t="shared" si="59"/>
        <v>763.94335289202195</v>
      </c>
      <c r="AN76" s="60">
        <f ca="1">AVERAGE(OFFSET($AM$3,0,0,'Données projet'!$E$10+1,1))-AVERAGE(OFFSET($H$3,0,0,'Données projet'!$E$10+1,1))</f>
        <v>303.73499739059076</v>
      </c>
      <c r="AO76" s="60">
        <f t="shared" si="90"/>
        <v>172.32171001882188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324.8</v>
      </c>
      <c r="BE76" s="14">
        <f>BD76*VLOOKUP('Données projet'!$B$11,Paramètres!$A$1:$I$89,3,0)*VLOOKUP('Données projet'!$B$11,Paramètres!$A$1:$I$89,5,0)</f>
        <v>273.61152000000004</v>
      </c>
      <c r="BF76" s="14">
        <f t="shared" si="91"/>
        <v>65.615131256792893</v>
      </c>
      <c r="BG76" s="22">
        <f t="shared" si="61"/>
        <v>590.81975093891435</v>
      </c>
      <c r="BH76" s="60">
        <f t="shared" si="62"/>
        <v>884.15308427224772</v>
      </c>
      <c r="BI76" s="60">
        <f ca="1">AVERAGE(OFFSET($BH$3,0,0,'Données projet'!$E$11+1,1))-AVERAGE(OFFSET($H$3,0,0,'Données projet'!$E$11+1,1))</f>
        <v>352.29660374042186</v>
      </c>
      <c r="BJ76" s="60">
        <f t="shared" si="92"/>
        <v>187.26439695305618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201.83903999999995</v>
      </c>
      <c r="CA76" s="14">
        <f t="shared" si="93"/>
        <v>50.148117498343801</v>
      </c>
      <c r="CB76" s="22">
        <f t="shared" si="64"/>
        <v>438.87763264294864</v>
      </c>
      <c r="CC76" s="60">
        <f t="shared" si="65"/>
        <v>732.21096597628195</v>
      </c>
      <c r="CD76" s="60">
        <f ca="1">AVERAGE(OFFSET($CC$3,0,0,'Données projet'!$E$12+1,1))-AVERAGE(OFFSET($H$3,0,0,'Données projet'!$E$12+1,1))</f>
        <v>277.03735509061545</v>
      </c>
      <c r="CE76" s="60">
        <f t="shared" si="94"/>
        <v>158.16416492761959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242.95439999999994</v>
      </c>
      <c r="CV76" s="14">
        <f t="shared" si="95"/>
        <v>59.074730698078945</v>
      </c>
      <c r="CW76" s="22">
        <f t="shared" si="67"/>
        <v>526.034069299154</v>
      </c>
      <c r="CX76" s="60">
        <f t="shared" si="68"/>
        <v>819.36740263248726</v>
      </c>
      <c r="CY76" s="60">
        <f ca="1">AVERAGE(OFFSET($CX$3,0,0,'Données projet'!$E$13+1,1))-AVERAGE(OFFSET($H$3,0,0,'Données projet'!$E$13+1,1))</f>
        <v>350.3652766444938</v>
      </c>
      <c r="CZ76" s="60">
        <f t="shared" si="96"/>
        <v>197.04549436738586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4.5999999999999996</v>
      </c>
      <c r="DO76" s="13">
        <f>IF('Données projet'!$A$166&gt;35,DO75+DN76-DW75,IF(A76&lt;'Données projet'!$A$166,$DL$205^A76,IF(A76='Données projet'!$A$166,'Données projet'!$B$166,DO75+DN76-DW75)))</f>
        <v>379.8000000000003</v>
      </c>
      <c r="DP76" s="18">
        <f>DO76*VLOOKUP('Données projet'!$B$14,Paramètres!$A$1:$I$89,3,0)*VLOOKUP('Données projet'!$B$14,Paramètres!$A$1:$I$89,5,0)</f>
        <v>302.16888000000023</v>
      </c>
      <c r="DQ76" s="14">
        <f t="shared" si="97"/>
        <v>71.630953231403566</v>
      </c>
      <c r="DR76" s="22">
        <f t="shared" si="70"/>
        <v>651.03470954469492</v>
      </c>
      <c r="DS76" s="60">
        <f t="shared" si="71"/>
        <v>944.36804287802829</v>
      </c>
      <c r="DT76" s="60">
        <f ca="1">AVERAGE(OFFSET($DS$3,0,0,'Données projet'!$E$14+1,1))-AVERAGE(OFFSET($H$3,0,0,'Données projet'!$E$14+1,1))</f>
        <v>382.01991140382955</v>
      </c>
      <c r="DU76" s="60">
        <f t="shared" si="98"/>
        <v>389.53897948144339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4.2</v>
      </c>
      <c r="EJ76" s="13">
        <f>IF('Données projet'!$A$192&gt;35,EJ75+EI76-ER75,IF(A76&lt;'Données projet'!$A$192,$EG$205^A76,IF(A76='Données projet'!$A$192,'Données projet'!$B$192,EJ75+EI76-ER75)))</f>
        <v>327.60000000000014</v>
      </c>
      <c r="EK76" s="18">
        <f>EJ76*VLOOKUP('Données projet'!$B$15,Paramètres!$A$1:$I$89,3,0)*VLOOKUP('Données projet'!$B$15,Paramètres!$A$1:$I$89,5,0)</f>
        <v>260.63856000000015</v>
      </c>
      <c r="EL76" s="14">
        <f t="shared" si="99"/>
        <v>62.858473704931896</v>
      </c>
      <c r="EM76" s="22">
        <f t="shared" si="73"/>
        <v>563.42400036942331</v>
      </c>
      <c r="EN76" s="60">
        <f t="shared" si="74"/>
        <v>856.75733370275657</v>
      </c>
      <c r="EO76" s="60">
        <f ca="1">AVERAGE(OFFSET($EN$3,0,0,'Données projet'!$E$15+1,1))-AVERAGE(OFFSET($H$3,0,0,'Données projet'!$E$15+1,1))</f>
        <v>323.92137573760789</v>
      </c>
      <c r="EP76" s="60">
        <f t="shared" si="100"/>
        <v>389.53897948144339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5.6</v>
      </c>
      <c r="FE76" s="13">
        <f>IF('Données projet'!$A$218&gt;35,FE75+FD76-FM75,IF(A76&lt;'Données projet'!$A$218,$FB$205^A76,IF(A76='Données projet'!$A$218,'Données projet'!$B$218,FE75+FD76-FM75)))</f>
        <v>258.80000000000018</v>
      </c>
      <c r="FF76" s="18">
        <f>FE76*VLOOKUP('Données projet'!$B$16,Paramètres!$A$1:$I$89,3,0)*VLOOKUP('Données projet'!$B$16,Paramètres!$A$1:$I$89,5,0)</f>
        <v>205.90128000000013</v>
      </c>
      <c r="FG76" s="14">
        <f t="shared" si="101"/>
        <v>51.038887365811256</v>
      </c>
      <c r="FH76" s="22">
        <f t="shared" si="76"/>
        <v>447.50412482878806</v>
      </c>
      <c r="FI76" s="60">
        <f t="shared" si="77"/>
        <v>740.83745816212138</v>
      </c>
      <c r="FJ76" s="60">
        <f ca="1">AVERAGE(OFFSET($FI$3,0,0,'Données projet'!$E$16+1,1))-AVERAGE(OFFSET($H$3,0,0,'Données projet'!$E$16+1,1))</f>
        <v>219.61164494001008</v>
      </c>
      <c r="FK76" s="60">
        <f t="shared" si="102"/>
        <v>219.59799863414111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9.8717948717948705</v>
      </c>
      <c r="FZ76" s="13">
        <f>IF('Données projet'!$A$244&gt;35,FZ75+FY76-GH75,IF(A76&lt;'Données projet'!$A$244,$FW$205^A76,IF(A76='Données projet'!$A$244,'Données projet'!$B$244,FZ75+FY76-GH75)))</f>
        <v>341.02564102564088</v>
      </c>
      <c r="GA76" s="18">
        <f>FZ76*VLOOKUP('Données projet'!$B$17,Paramètres!$A$1:$I$89,3,0)*VLOOKUP('Données projet'!$B$17,Paramètres!$A$1:$I$89,5,0)</f>
        <v>159.59999999999994</v>
      </c>
      <c r="GB76" s="14">
        <f t="shared" si="103"/>
        <v>40.752281150761135</v>
      </c>
      <c r="GC76" s="22">
        <f t="shared" si="79"/>
        <v>348.94688967090889</v>
      </c>
      <c r="GD76" s="60">
        <f t="shared" si="80"/>
        <v>642.2802230042422</v>
      </c>
      <c r="GE76" s="60">
        <f ca="1">AVERAGE(OFFSET($GD$3,0,0,'Données projet'!$E$17+1,1))-AVERAGE(OFFSET($H$3,0,0,'Données projet'!$E$17+1,1))</f>
        <v>147.5699668214238</v>
      </c>
      <c r="GF76" s="60">
        <f t="shared" si="104"/>
        <v>70.653739864908346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>
        <f>GU76*VLOOKUP('Données projet'!$B$18,Paramètres!$A$1:$I$89,3,0)*VLOOKUP('Données projet'!$B$18,Paramètres!$A$1:$I$89,5,0)</f>
        <v>0</v>
      </c>
      <c r="GW76" s="14" t="e">
        <f t="shared" si="105"/>
        <v>#NUM!</v>
      </c>
      <c r="GX76" s="22" t="e">
        <f t="shared" si="82"/>
        <v>#NUM!</v>
      </c>
      <c r="GY76" s="60" t="e">
        <f t="shared" si="83"/>
        <v>#NUM!</v>
      </c>
      <c r="GZ76" s="60">
        <f ca="1">AVERAGE(OFFSET($GY$3,0,0,'Données projet'!$E$18+1,1))-AVERAGE(OFFSET($H$3,0,0,'Données projet'!$E$18+1,1))</f>
        <v>136.03899433512379</v>
      </c>
      <c r="HA76" s="60">
        <f t="shared" si="106"/>
        <v>316.56646692826882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31.865108978092078</v>
      </c>
      <c r="HH76" s="23">
        <f>EXP(-LN(2)/25)*HH75+(1-EXP(-LN(2)/25))/(LN(2)/25)*Calculateur!HC76*Calculateur!HE76*VLOOKUP('Données projet'!$B$18,Paramètres!$A$1:$I$89,3,0)*0.475*44/12</f>
        <v>3.0602977124765669</v>
      </c>
      <c r="HI76" s="23">
        <f>EXP(-LN(2)/2)*HI75+(1-EXP(-LN(2)/2))/(LN(2)/2)*HC76*HF76*VLOOKUP('Données projet'!$B$18,Paramètres!$A$1:$I$89,3,0)*0.475*44/12</f>
        <v>9.8580419954243041E-7</v>
      </c>
      <c r="HJ76" s="24">
        <f t="shared" si="84"/>
        <v>34.925407676372842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941.39068646288956</v>
      </c>
      <c r="S77" s="60">
        <f ca="1">AVERAGE(OFFSET($R$3,0,0,'Données projet'!$E$9+1,1))-AVERAGE(OFFSET($H$3,0,0,'Données projet'!$E$9+1,1))</f>
        <v>384.44848355636935</v>
      </c>
      <c r="T77" s="60">
        <f t="shared" si="88"/>
        <v>203.5274665601915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0">
        <f t="shared" si="59"/>
        <v>775.83768133226158</v>
      </c>
      <c r="AN77" s="60">
        <f ca="1">AVERAGE(OFFSET($AM$3,0,0,'Données projet'!$E$10+1,1))-AVERAGE(OFFSET($H$3,0,0,'Données projet'!$E$10+1,1))</f>
        <v>303.73499739059076</v>
      </c>
      <c r="AO77" s="60">
        <f t="shared" si="90"/>
        <v>172.32171001882188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332.40000000000003</v>
      </c>
      <c r="BE77" s="14">
        <f>BD77*VLOOKUP('Données projet'!$B$11,Paramètres!$A$1:$I$89,3,0)*VLOOKUP('Données projet'!$B$11,Paramètres!$A$1:$I$89,5,0)</f>
        <v>280.01376000000005</v>
      </c>
      <c r="BF77" s="14">
        <f t="shared" si="91"/>
        <v>66.969916756344503</v>
      </c>
      <c r="BG77" s="22">
        <f t="shared" si="61"/>
        <v>604.32990368396679</v>
      </c>
      <c r="BH77" s="60">
        <f t="shared" si="62"/>
        <v>897.66323701730016</v>
      </c>
      <c r="BI77" s="60">
        <f ca="1">AVERAGE(OFFSET($BH$3,0,0,'Données projet'!$E$11+1,1))-AVERAGE(OFFSET($H$3,0,0,'Données projet'!$E$11+1,1))</f>
        <v>352.29660374042186</v>
      </c>
      <c r="BJ77" s="60">
        <f t="shared" si="92"/>
        <v>187.26439695305618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207.06191999999993</v>
      </c>
      <c r="CA77" s="14">
        <f t="shared" si="93"/>
        <v>51.293015758902222</v>
      </c>
      <c r="CB77" s="22">
        <f t="shared" si="64"/>
        <v>449.96817978008789</v>
      </c>
      <c r="CC77" s="60">
        <f t="shared" si="65"/>
        <v>743.30151311342115</v>
      </c>
      <c r="CD77" s="60">
        <f ca="1">AVERAGE(OFFSET($CC$3,0,0,'Données projet'!$E$12+1,1))-AVERAGE(OFFSET($H$3,0,0,'Données projet'!$E$12+1,1))</f>
        <v>277.03735509061545</v>
      </c>
      <c r="CE77" s="60">
        <f t="shared" si="94"/>
        <v>158.16416492761959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249.24119999999988</v>
      </c>
      <c r="CV77" s="14">
        <f t="shared" si="95"/>
        <v>60.42342651744687</v>
      </c>
      <c r="CW77" s="22">
        <f t="shared" si="67"/>
        <v>539.3325578512198</v>
      </c>
      <c r="CX77" s="60">
        <f t="shared" si="68"/>
        <v>832.66589118455317</v>
      </c>
      <c r="CY77" s="60">
        <f ca="1">AVERAGE(OFFSET($CX$3,0,0,'Données projet'!$E$13+1,1))-AVERAGE(OFFSET($H$3,0,0,'Données projet'!$E$13+1,1))</f>
        <v>350.3652766444938</v>
      </c>
      <c r="CZ77" s="60">
        <f t="shared" si="96"/>
        <v>197.04549436738586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4.5999999999999996</v>
      </c>
      <c r="DO77" s="13">
        <f>IF('Données projet'!$A$166&gt;35,DO76+DN77-DW76,IF(A77&lt;'Données projet'!$A$166,$DL$205^A77,IF(A77='Données projet'!$A$166,'Données projet'!$B$166,DO76+DN77-DW76)))</f>
        <v>384.40000000000032</v>
      </c>
      <c r="DP77" s="18">
        <f>DO77*VLOOKUP('Données projet'!$B$14,Paramètres!$A$1:$I$89,3,0)*VLOOKUP('Données projet'!$B$14,Paramètres!$A$1:$I$89,5,0)</f>
        <v>305.82864000000023</v>
      </c>
      <c r="DQ77" s="14">
        <f t="shared" si="97"/>
        <v>72.396998509767812</v>
      </c>
      <c r="DR77" s="22">
        <f t="shared" si="70"/>
        <v>658.7429870711793</v>
      </c>
      <c r="DS77" s="60">
        <f t="shared" si="71"/>
        <v>952.07632040451267</v>
      </c>
      <c r="DT77" s="60">
        <f ca="1">AVERAGE(OFFSET($DS$3,0,0,'Données projet'!$E$14+1,1))-AVERAGE(OFFSET($H$3,0,0,'Données projet'!$E$14+1,1))</f>
        <v>382.01991140382955</v>
      </c>
      <c r="DU77" s="60">
        <f t="shared" si="98"/>
        <v>389.53897948144339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4.2</v>
      </c>
      <c r="EJ77" s="13">
        <f>IF('Données projet'!$A$192&gt;35,EJ76+EI77-ER76,IF(A77&lt;'Données projet'!$A$192,$EG$205^A77,IF(A77='Données projet'!$A$192,'Données projet'!$B$192,EJ76+EI77-ER76)))</f>
        <v>331.80000000000013</v>
      </c>
      <c r="EK77" s="18">
        <f>EJ77*VLOOKUP('Données projet'!$B$15,Paramètres!$A$1:$I$89,3,0)*VLOOKUP('Données projet'!$B$15,Paramètres!$A$1:$I$89,5,0)</f>
        <v>263.9800800000001</v>
      </c>
      <c r="EL77" s="14">
        <f t="shared" si="99"/>
        <v>63.57001859040966</v>
      </c>
      <c r="EM77" s="22">
        <f t="shared" si="73"/>
        <v>570.483088378297</v>
      </c>
      <c r="EN77" s="60">
        <f t="shared" si="74"/>
        <v>863.81642171163026</v>
      </c>
      <c r="EO77" s="60">
        <f ca="1">AVERAGE(OFFSET($EN$3,0,0,'Données projet'!$E$15+1,1))-AVERAGE(OFFSET($H$3,0,0,'Données projet'!$E$15+1,1))</f>
        <v>323.92137573760789</v>
      </c>
      <c r="EP77" s="60">
        <f t="shared" si="100"/>
        <v>389.53897948144339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5.6</v>
      </c>
      <c r="FE77" s="13">
        <f>IF('Données projet'!$A$218&gt;35,FE76+FD77-FM76,IF(A77&lt;'Données projet'!$A$218,$FB$205^A77,IF(A77='Données projet'!$A$218,'Données projet'!$B$218,FE76+FD77-FM76)))</f>
        <v>264.4000000000002</v>
      </c>
      <c r="FF77" s="18">
        <f>FE77*VLOOKUP('Données projet'!$B$16,Paramètres!$A$1:$I$89,3,0)*VLOOKUP('Données projet'!$B$16,Paramètres!$A$1:$I$89,5,0)</f>
        <v>210.35664000000017</v>
      </c>
      <c r="FG77" s="14">
        <f t="shared" si="101"/>
        <v>52.013512813001839</v>
      </c>
      <c r="FH77" s="22">
        <f t="shared" si="76"/>
        <v>456.96134948264512</v>
      </c>
      <c r="FI77" s="60">
        <f t="shared" si="77"/>
        <v>750.29468281597838</v>
      </c>
      <c r="FJ77" s="60">
        <f ca="1">AVERAGE(OFFSET($FI$3,0,0,'Données projet'!$E$16+1,1))-AVERAGE(OFFSET($H$3,0,0,'Données projet'!$E$16+1,1))</f>
        <v>219.61164494001008</v>
      </c>
      <c r="FK77" s="60">
        <f t="shared" si="102"/>
        <v>219.59799863414111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9.8717948717948705</v>
      </c>
      <c r="FZ77" s="13">
        <f>IF('Données projet'!$A$244&gt;35,FZ76+FY77-GH76,IF(A77&lt;'Données projet'!$A$244,$FW$205^A77,IF(A77='Données projet'!$A$244,'Données projet'!$B$244,FZ76+FY77-GH76)))</f>
        <v>350.89743589743574</v>
      </c>
      <c r="GA77" s="18">
        <f>FZ77*VLOOKUP('Données projet'!$B$17,Paramètres!$A$1:$I$89,3,0)*VLOOKUP('Données projet'!$B$17,Paramètres!$A$1:$I$89,5,0)</f>
        <v>164.21999999999994</v>
      </c>
      <c r="GB77" s="14">
        <f t="shared" si="103"/>
        <v>41.792901242713462</v>
      </c>
      <c r="GC77" s="22">
        <f t="shared" si="79"/>
        <v>358.80580299772583</v>
      </c>
      <c r="GD77" s="60">
        <f t="shared" si="80"/>
        <v>652.13913633105915</v>
      </c>
      <c r="GE77" s="60">
        <f ca="1">AVERAGE(OFFSET($GD$3,0,0,'Données projet'!$E$17+1,1))-AVERAGE(OFFSET($H$3,0,0,'Données projet'!$E$17+1,1))</f>
        <v>147.5699668214238</v>
      </c>
      <c r="GF77" s="60">
        <f t="shared" si="104"/>
        <v>70.653739864908346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>
        <f>GU77*VLOOKUP('Données projet'!$B$18,Paramètres!$A$1:$I$89,3,0)*VLOOKUP('Données projet'!$B$18,Paramètres!$A$1:$I$89,5,0)</f>
        <v>0</v>
      </c>
      <c r="GW77" s="14" t="e">
        <f t="shared" si="105"/>
        <v>#NUM!</v>
      </c>
      <c r="GX77" s="22" t="e">
        <f t="shared" si="82"/>
        <v>#NUM!</v>
      </c>
      <c r="GY77" s="60" t="e">
        <f t="shared" si="83"/>
        <v>#NUM!</v>
      </c>
      <c r="GZ77" s="60">
        <f ca="1">AVERAGE(OFFSET($GY$3,0,0,'Données projet'!$E$18+1,1))-AVERAGE(OFFSET($H$3,0,0,'Données projet'!$E$18+1,1))</f>
        <v>136.03899433512379</v>
      </c>
      <c r="HA77" s="60">
        <f t="shared" si="106"/>
        <v>316.56646692826882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31.240253626829045</v>
      </c>
      <c r="HH77" s="23">
        <f>EXP(-LN(2)/25)*HH76+(1-EXP(-LN(2)/25))/(LN(2)/25)*Calculateur!HC77*Calculateur!HE77*VLOOKUP('Données projet'!$B$18,Paramètres!$A$1:$I$89,3,0)*0.475*44/12</f>
        <v>2.9766137105948327</v>
      </c>
      <c r="HI77" s="23">
        <f>EXP(-LN(2)/2)*HI76+(1-EXP(-LN(2)/2))/(LN(2)/2)*HC77*HF77*VLOOKUP('Données projet'!$B$18,Paramètres!$A$1:$I$89,3,0)*0.475*44/12</f>
        <v>6.9706883441862897E-7</v>
      </c>
      <c r="HJ77" s="24">
        <f t="shared" si="84"/>
        <v>34.216868034492713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955.87391751040263</v>
      </c>
      <c r="S78" s="60">
        <f ca="1">AVERAGE(OFFSET($R$3,0,0,'Données projet'!$E$9+1,1))-AVERAGE(OFFSET($H$3,0,0,'Données projet'!$E$9+1,1))</f>
        <v>384.44848355636935</v>
      </c>
      <c r="T78" s="60">
        <f t="shared" si="88"/>
        <v>203.5274665601915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0">
        <f t="shared" si="59"/>
        <v>787.72578207012918</v>
      </c>
      <c r="AN78" s="60">
        <f ca="1">AVERAGE(OFFSET($AM$3,0,0,'Données projet'!$E$10+1,1))-AVERAGE(OFFSET($H$3,0,0,'Données projet'!$E$10+1,1))</f>
        <v>303.73499739059076</v>
      </c>
      <c r="AO78" s="60">
        <f t="shared" si="90"/>
        <v>172.32171001882188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340.00000000000006</v>
      </c>
      <c r="BE78" s="14">
        <f>BD78*VLOOKUP('Données projet'!$B$11,Paramètres!$A$1:$I$89,3,0)*VLOOKUP('Données projet'!$B$11,Paramètres!$A$1:$I$89,5,0)</f>
        <v>286.41600000000011</v>
      </c>
      <c r="BF78" s="14">
        <f t="shared" si="91"/>
        <v>68.321101129951245</v>
      </c>
      <c r="BG78" s="22">
        <f t="shared" si="61"/>
        <v>617.83378446799861</v>
      </c>
      <c r="BH78" s="60">
        <f t="shared" si="62"/>
        <v>911.16711780133187</v>
      </c>
      <c r="BI78" s="60">
        <f ca="1">AVERAGE(OFFSET($BH$3,0,0,'Données projet'!$E$11+1,1))-AVERAGE(OFFSET($H$3,0,0,'Données projet'!$E$11+1,1))</f>
        <v>352.29660374042186</v>
      </c>
      <c r="BJ78" s="60">
        <f t="shared" si="92"/>
        <v>187.26439695305618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212.28479999999993</v>
      </c>
      <c r="CA78" s="14">
        <f t="shared" si="93"/>
        <v>52.434557099704143</v>
      </c>
      <c r="CB78" s="22">
        <f t="shared" si="64"/>
        <v>461.05288028198464</v>
      </c>
      <c r="CC78" s="60">
        <f t="shared" si="65"/>
        <v>754.38621361531796</v>
      </c>
      <c r="CD78" s="60">
        <f ca="1">AVERAGE(OFFSET($CC$3,0,0,'Données projet'!$E$12+1,1))-AVERAGE(OFFSET($H$3,0,0,'Données projet'!$E$12+1,1))</f>
        <v>277.03735509061545</v>
      </c>
      <c r="CE78" s="60">
        <f t="shared" si="94"/>
        <v>158.16416492761959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255.52799999999991</v>
      </c>
      <c r="CV78" s="14">
        <f t="shared" si="95"/>
        <v>61.768167868721477</v>
      </c>
      <c r="CW78" s="22">
        <f t="shared" si="67"/>
        <v>552.62415903802309</v>
      </c>
      <c r="CX78" s="60">
        <f t="shared" si="68"/>
        <v>845.95749237135647</v>
      </c>
      <c r="CY78" s="60">
        <f ca="1">AVERAGE(OFFSET($CX$3,0,0,'Données projet'!$E$13+1,1))-AVERAGE(OFFSET($H$3,0,0,'Données projet'!$E$13+1,1))</f>
        <v>350.3652766444938</v>
      </c>
      <c r="CZ78" s="60">
        <f t="shared" si="96"/>
        <v>197.04549436738586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389</v>
      </c>
      <c r="DM78" s="13">
        <f>VLOOKUP(A78,'Données projet'!$A$165:$I$185,9,0)</f>
        <v>4.5999999999999996</v>
      </c>
      <c r="DN78" s="13">
        <f t="array" ref="DN78">INDEX(DM:DM,MIN(IF(ISNUMBER(DM78:DM274),ROW(DM78:DM274),"")))</f>
        <v>4.5999999999999996</v>
      </c>
      <c r="DO78" s="13">
        <f>IF('Données projet'!$A$166&gt;35,DO77+DN78-DW77,IF(A78&lt;'Données projet'!$A$166,$DL$205^A78,IF(A78='Données projet'!$A$166,'Données projet'!$B$166,DO77+DN78-DW77)))</f>
        <v>389.00000000000034</v>
      </c>
      <c r="DP78" s="18">
        <f>DO78*VLOOKUP('Données projet'!$B$14,Paramètres!$A$1:$I$89,3,0)*VLOOKUP('Données projet'!$B$14,Paramètres!$A$1:$I$89,5,0)</f>
        <v>309.4884000000003</v>
      </c>
      <c r="DQ78" s="14">
        <f t="shared" si="97"/>
        <v>73.16197746114662</v>
      </c>
      <c r="DR78" s="22">
        <f t="shared" si="70"/>
        <v>666.44940741149765</v>
      </c>
      <c r="DS78" s="60">
        <f t="shared" si="71"/>
        <v>959.78274074483102</v>
      </c>
      <c r="DT78" s="60">
        <f ca="1">AVERAGE(OFFSET($DS$3,0,0,'Données projet'!$E$14+1,1))-AVERAGE(OFFSET($H$3,0,0,'Données projet'!$E$14+1,1))</f>
        <v>382.01991140382955</v>
      </c>
      <c r="DU78" s="60">
        <f t="shared" si="98"/>
        <v>389.53897948144339</v>
      </c>
      <c r="DV78" s="16">
        <f>IF(ISNA(VLOOKUP(A78,'Données projet'!$A$165:$I$185,3,0)),0,VLOOKUP(A78,'Données projet'!$A$165:$I$185,3,0))</f>
        <v>8</v>
      </c>
      <c r="DW78" s="16">
        <f>IF(ISNA(VLOOKUP(A78,'Données projet'!$A$165:$I$185,4,0)),0,VLOOKUP(A78,'Données projet'!$A$165:$I$185,4,0))</f>
        <v>14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336</v>
      </c>
      <c r="EH78" s="13">
        <f>VLOOKUP(A78,'Données projet'!$A$191:$I$211,9,0)</f>
        <v>4.2</v>
      </c>
      <c r="EI78" s="13">
        <f t="array" ref="EI78">INDEX(EH:EH,MIN(IF(ISNUMBER(EH78:EH274),ROW(EH78:EH274),"")))</f>
        <v>4.2</v>
      </c>
      <c r="EJ78" s="13">
        <f>IF('Données projet'!$A$192&gt;35,EJ77+EI78-ER77,IF(A78&lt;'Données projet'!$A$192,$EG$205^A78,IF(A78='Données projet'!$A$192,'Données projet'!$B$192,EJ77+EI78-ER77)))</f>
        <v>336.00000000000011</v>
      </c>
      <c r="EK78" s="18">
        <f>EJ78*VLOOKUP('Données projet'!$B$15,Paramètres!$A$1:$I$89,3,0)*VLOOKUP('Données projet'!$B$15,Paramètres!$A$1:$I$89,5,0)</f>
        <v>267.3216000000001</v>
      </c>
      <c r="EL78" s="14">
        <f t="shared" si="99"/>
        <v>64.280515815446378</v>
      </c>
      <c r="EM78" s="22">
        <f t="shared" si="73"/>
        <v>577.54035171190264</v>
      </c>
      <c r="EN78" s="60">
        <f t="shared" si="74"/>
        <v>870.87368504523602</v>
      </c>
      <c r="EO78" s="60">
        <f ca="1">AVERAGE(OFFSET($EN$3,0,0,'Données projet'!$E$15+1,1))-AVERAGE(OFFSET($H$3,0,0,'Données projet'!$E$15+1,1))</f>
        <v>323.92137573760789</v>
      </c>
      <c r="EP78" s="60">
        <f t="shared" si="100"/>
        <v>389.53897948144339</v>
      </c>
      <c r="EQ78" s="16">
        <f>IF(ISNA(VLOOKUP(A78,'Données projet'!$A$191:$I$211,3,0)),0,VLOOKUP(A78,'Données projet'!$A$191:$I$211,3,0))</f>
        <v>7</v>
      </c>
      <c r="ER78" s="16">
        <f>IF(ISNA(VLOOKUP(A78,'Données projet'!$A$191:$I$211,4,0)),0,VLOOKUP(A78,'Données projet'!$A$191:$I$211,4,0))</f>
        <v>12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270</v>
      </c>
      <c r="FC78" s="13">
        <f>VLOOKUP(A78,'Données projet'!$A$217:$I$237,9,0)</f>
        <v>5.6</v>
      </c>
      <c r="FD78" s="13">
        <f t="array" ref="FD78">INDEX(FC:FC,MIN(IF(ISNUMBER(FC78:FC274),ROW(FC78:FC274),"")))</f>
        <v>5.6</v>
      </c>
      <c r="FE78" s="13">
        <f>IF('Données projet'!$A$218&gt;35,FE77+FD78-FM77,IF(A78&lt;'Données projet'!$A$218,$FB$205^A78,IF(A78='Données projet'!$A$218,'Données projet'!$B$218,FE77+FD78-FM77)))</f>
        <v>270.00000000000023</v>
      </c>
      <c r="FF78" s="18">
        <f>FE78*VLOOKUP('Données projet'!$B$16,Paramètres!$A$1:$I$89,3,0)*VLOOKUP('Données projet'!$B$16,Paramètres!$A$1:$I$89,5,0)</f>
        <v>214.81200000000021</v>
      </c>
      <c r="FG78" s="14">
        <f t="shared" si="101"/>
        <v>52.985738231738104</v>
      </c>
      <c r="FH78" s="22">
        <f t="shared" si="76"/>
        <v>466.41439408694424</v>
      </c>
      <c r="FI78" s="60">
        <f t="shared" si="77"/>
        <v>759.74772742027756</v>
      </c>
      <c r="FJ78" s="60">
        <f ca="1">AVERAGE(OFFSET($FI$3,0,0,'Données projet'!$E$16+1,1))-AVERAGE(OFFSET($H$3,0,0,'Données projet'!$E$16+1,1))</f>
        <v>219.61164494001008</v>
      </c>
      <c r="FK78" s="60">
        <f t="shared" si="102"/>
        <v>219.59799863414111</v>
      </c>
      <c r="FL78" s="16">
        <f>IF(ISNA(VLOOKUP(A78,'Données projet'!$A$217:$I$237,3,0)),0,VLOOKUP(A78,'Données projet'!$A$217:$I$237,3,0))</f>
        <v>7</v>
      </c>
      <c r="FM78" s="16">
        <f>IF(ISNA(VLOOKUP(A78,'Données projet'!$A$217:$I$237,4,0)),0,VLOOKUP(A78,'Données projet'!$A$217:$I$237,4,0))</f>
        <v>9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360.76923076923077</v>
      </c>
      <c r="FX78" s="13">
        <f>VLOOKUP(A78,'Données projet'!$A$243:$I$263,9,0)</f>
        <v>9.8717948717948705</v>
      </c>
      <c r="FY78" s="13">
        <f t="array" ref="FY78">INDEX(FX:FX,MIN(IF(ISNUMBER(FX78:FX274),ROW(FX78:FX274),"")))</f>
        <v>9.8717948717948705</v>
      </c>
      <c r="FZ78" s="13">
        <f>IF('Données projet'!$A$244&gt;35,FZ77+FY78-GH77,IF(A78&lt;'Données projet'!$A$244,$FW$205^A78,IF(A78='Données projet'!$A$244,'Données projet'!$B$244,FZ77+FY78-GH77)))</f>
        <v>360.7692307692306</v>
      </c>
      <c r="GA78" s="18">
        <f>FZ78*VLOOKUP('Données projet'!$B$17,Paramètres!$A$1:$I$89,3,0)*VLOOKUP('Données projet'!$B$17,Paramètres!$A$1:$I$89,5,0)</f>
        <v>168.83999999999995</v>
      </c>
      <c r="GB78" s="14">
        <f t="shared" si="103"/>
        <v>42.830118735743163</v>
      </c>
      <c r="GC78" s="22">
        <f t="shared" si="79"/>
        <v>368.65879013141921</v>
      </c>
      <c r="GD78" s="60">
        <f t="shared" si="80"/>
        <v>661.99212346475247</v>
      </c>
      <c r="GE78" s="60">
        <f ca="1">AVERAGE(OFFSET($GD$3,0,0,'Données projet'!$E$17+1,1))-AVERAGE(OFFSET($H$3,0,0,'Données projet'!$E$17+1,1))</f>
        <v>147.5699668214238</v>
      </c>
      <c r="GF78" s="60">
        <f t="shared" si="104"/>
        <v>70.653739864908346</v>
      </c>
      <c r="GG78" s="16">
        <f>IF(ISNA(VLOOKUP(A78,'Données projet'!$A$243:$I$263,3,0)),0,VLOOKUP(A78,'Données projet'!$A$243:$I$263,3,0))</f>
        <v>3</v>
      </c>
      <c r="GH78" s="16">
        <f>IF(ISNA(VLOOKUP(A78,'Données projet'!$A$243:$I$263,4,0)),0,VLOOKUP(A78,'Données projet'!$A$243:$I$263,4,0))</f>
        <v>85.384615384615415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>
        <f>GU78*VLOOKUP('Données projet'!$B$18,Paramètres!$A$1:$I$89,3,0)*VLOOKUP('Données projet'!$B$18,Paramètres!$A$1:$I$89,5,0)</f>
        <v>0</v>
      </c>
      <c r="GW78" s="14" t="e">
        <f t="shared" si="105"/>
        <v>#NUM!</v>
      </c>
      <c r="GX78" s="22" t="e">
        <f t="shared" si="82"/>
        <v>#NUM!</v>
      </c>
      <c r="GY78" s="60" t="e">
        <f t="shared" si="83"/>
        <v>#NUM!</v>
      </c>
      <c r="GZ78" s="60">
        <f ca="1">AVERAGE(OFFSET($GY$3,0,0,'Données projet'!$E$18+1,1))-AVERAGE(OFFSET($H$3,0,0,'Données projet'!$E$18+1,1))</f>
        <v>136.03899433512379</v>
      </c>
      <c r="HA78" s="60">
        <f t="shared" si="106"/>
        <v>316.56646692826882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30.627651307880146</v>
      </c>
      <c r="HH78" s="23">
        <f>EXP(-LN(2)/25)*HH77+(1-EXP(-LN(2)/25))/(LN(2)/25)*Calculateur!HC78*Calculateur!HE78*VLOOKUP('Données projet'!$B$18,Paramètres!$A$1:$I$89,3,0)*0.475*44/12</f>
        <v>2.8952180521453053</v>
      </c>
      <c r="HI78" s="23">
        <f>EXP(-LN(2)/2)*HI77+(1-EXP(-LN(2)/2))/(LN(2)/2)*HC78*HF78*VLOOKUP('Données projet'!$B$18,Paramètres!$A$1:$I$89,3,0)*0.475*44/12</f>
        <v>4.929020997712152E-7</v>
      </c>
      <c r="HJ78" s="24">
        <f t="shared" si="84"/>
        <v>33.522869852927556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0">
        <f t="shared" si="55"/>
        <v>862.75536878254502</v>
      </c>
      <c r="S79" s="60">
        <f ca="1">AVERAGE(OFFSET($R$3,0,0,'Données projet'!$E$9+1,1))-AVERAGE(OFFSET($H$3,0,0,'Données projet'!$E$9+1,1))</f>
        <v>384.44848355636935</v>
      </c>
      <c r="T79" s="60">
        <f t="shared" si="88"/>
        <v>203.5274665601915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0">
        <f t="shared" si="59"/>
        <v>799.22462707153909</v>
      </c>
      <c r="AN79" s="60">
        <f ca="1">AVERAGE(OFFSET($AM$3,0,0,'Données projet'!$E$10+1,1))-AVERAGE(OFFSET($H$3,0,0,'Données projet'!$E$10+1,1))</f>
        <v>303.73499739059076</v>
      </c>
      <c r="AO79" s="60">
        <f t="shared" si="90"/>
        <v>172.32171001882188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245.30688000000009</v>
      </c>
      <c r="BF79" s="14">
        <f t="shared" si="91"/>
        <v>59.579874112906374</v>
      </c>
      <c r="BG79" s="22">
        <f t="shared" si="61"/>
        <v>531.01109674664542</v>
      </c>
      <c r="BH79" s="60">
        <f t="shared" si="62"/>
        <v>824.34443007997879</v>
      </c>
      <c r="BI79" s="60">
        <f ca="1">AVERAGE(OFFSET($BH$3,0,0,'Données projet'!$E$11+1,1))-AVERAGE(OFFSET($H$3,0,0,'Données projet'!$E$11+1,1))</f>
        <v>352.29660374042186</v>
      </c>
      <c r="BJ79" s="60">
        <f t="shared" si="92"/>
        <v>187.26439695305618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217.33919999999992</v>
      </c>
      <c r="CA79" s="14">
        <f t="shared" si="93"/>
        <v>53.536165068020416</v>
      </c>
      <c r="CB79" s="22">
        <f t="shared" si="64"/>
        <v>471.77459416013545</v>
      </c>
      <c r="CC79" s="60">
        <f t="shared" si="65"/>
        <v>765.10792749346876</v>
      </c>
      <c r="CD79" s="60">
        <f ca="1">AVERAGE(OFFSET($CC$3,0,0,'Données projet'!$E$12+1,1))-AVERAGE(OFFSET($H$3,0,0,'Données projet'!$E$12+1,1))</f>
        <v>277.03735509061545</v>
      </c>
      <c r="CE79" s="60">
        <f t="shared" si="94"/>
        <v>158.16416492761959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261.61199999999991</v>
      </c>
      <c r="CV79" s="14">
        <f t="shared" si="95"/>
        <v>63.065867509496442</v>
      </c>
      <c r="CW79" s="22">
        <f t="shared" si="67"/>
        <v>565.48061924570618</v>
      </c>
      <c r="CX79" s="60">
        <f t="shared" si="68"/>
        <v>858.81395257903955</v>
      </c>
      <c r="CY79" s="60">
        <f ca="1">AVERAGE(OFFSET($CX$3,0,0,'Données projet'!$E$13+1,1))-AVERAGE(OFFSET($H$3,0,0,'Données projet'!$E$13+1,1))</f>
        <v>350.3652766444938</v>
      </c>
      <c r="CZ79" s="60">
        <f t="shared" si="96"/>
        <v>197.04549436738586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</v>
      </c>
      <c r="DO79" s="13">
        <f>IF('Données projet'!$A$166&gt;35,DO78+DN79-DW78,IF(A79&lt;'Données projet'!$A$166,$DL$205^A79,IF(A79='Données projet'!$A$166,'Données projet'!$B$166,DO78+DN79-DW78)))</f>
        <v>379.00000000000034</v>
      </c>
      <c r="DP79" s="18">
        <f>DO79*VLOOKUP('Données projet'!$B$14,Paramètres!$A$1:$I$89,3,0)*VLOOKUP('Données projet'!$B$14,Paramètres!$A$1:$I$89,5,0)</f>
        <v>301.53240000000034</v>
      </c>
      <c r="DQ79" s="14">
        <f t="shared" si="97"/>
        <v>71.497618053900794</v>
      </c>
      <c r="DR79" s="22">
        <f t="shared" si="70"/>
        <v>649.6939481105444</v>
      </c>
      <c r="DS79" s="60">
        <f t="shared" si="71"/>
        <v>943.02728144387765</v>
      </c>
      <c r="DT79" s="60">
        <f ca="1">AVERAGE(OFFSET($DS$3,0,0,'Données projet'!$E$14+1,1))-AVERAGE(OFFSET($H$3,0,0,'Données projet'!$E$14+1,1))</f>
        <v>382.01991140382955</v>
      </c>
      <c r="DU79" s="60">
        <f t="shared" si="98"/>
        <v>389.53897948144339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3.4</v>
      </c>
      <c r="EJ79" s="13">
        <f>IF('Données projet'!$A$192&gt;35,EJ78+EI79-ER78,IF(A79&lt;'Données projet'!$A$192,$EG$205^A79,IF(A79='Données projet'!$A$192,'Données projet'!$B$192,EJ78+EI79-ER78)))</f>
        <v>327.40000000000009</v>
      </c>
      <c r="EK79" s="18">
        <f>EJ79*VLOOKUP('Données projet'!$B$15,Paramètres!$A$1:$I$89,3,0)*VLOOKUP('Données projet'!$B$15,Paramètres!$A$1:$I$89,5,0)</f>
        <v>260.47944000000007</v>
      </c>
      <c r="EL79" s="14">
        <f t="shared" si="99"/>
        <v>62.824564229183707</v>
      </c>
      <c r="EM79" s="22">
        <f t="shared" si="73"/>
        <v>563.08780736582833</v>
      </c>
      <c r="EN79" s="60">
        <f t="shared" si="74"/>
        <v>856.4211406991617</v>
      </c>
      <c r="EO79" s="60">
        <f ca="1">AVERAGE(OFFSET($EN$3,0,0,'Données projet'!$E$15+1,1))-AVERAGE(OFFSET($H$3,0,0,'Données projet'!$E$15+1,1))</f>
        <v>323.92137573760789</v>
      </c>
      <c r="EP79" s="60">
        <f t="shared" si="100"/>
        <v>389.53897948144339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</v>
      </c>
      <c r="FE79" s="13">
        <f>IF('Données projet'!$A$218&gt;35,FE78+FD79-FM78,IF(A79&lt;'Données projet'!$A$218,$FB$205^A79,IF(A79='Données projet'!$A$218,'Données projet'!$B$218,FE78+FD79-FM78)))</f>
        <v>264.00000000000023</v>
      </c>
      <c r="FF79" s="18">
        <f>FE79*VLOOKUP('Données projet'!$B$16,Paramètres!$A$1:$I$89,3,0)*VLOOKUP('Données projet'!$B$16,Paramètres!$A$1:$I$89,5,0)</f>
        <v>210.03840000000019</v>
      </c>
      <c r="FG79" s="14">
        <f t="shared" si="101"/>
        <v>51.943976975133673</v>
      </c>
      <c r="FH79" s="22">
        <f t="shared" si="76"/>
        <v>456.28597323169151</v>
      </c>
      <c r="FI79" s="60">
        <f t="shared" si="77"/>
        <v>749.61930656502477</v>
      </c>
      <c r="FJ79" s="60">
        <f ca="1">AVERAGE(OFFSET($FI$3,0,0,'Données projet'!$E$16+1,1))-AVERAGE(OFFSET($H$3,0,0,'Données projet'!$E$16+1,1))</f>
        <v>219.61164494001008</v>
      </c>
      <c r="FK79" s="60">
        <f t="shared" si="102"/>
        <v>219.59799863414111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8.9743589743589727</v>
      </c>
      <c r="FZ79" s="13">
        <f>IF('Données projet'!$A$244&gt;35,FZ78+FY79-GH78,IF(A79&lt;'Données projet'!$A$244,$FW$205^A79,IF(A79='Données projet'!$A$244,'Données projet'!$B$244,FZ78+FY79-GH78)))</f>
        <v>284.35897435897414</v>
      </c>
      <c r="GA79" s="18">
        <f>FZ79*VLOOKUP('Données projet'!$B$17,Paramètres!$A$1:$I$89,3,0)*VLOOKUP('Données projet'!$B$17,Paramètres!$A$1:$I$89,5,0)</f>
        <v>133.0799999999999</v>
      </c>
      <c r="GB79" s="14">
        <f t="shared" si="103"/>
        <v>34.707084092439132</v>
      </c>
      <c r="GC79" s="22">
        <f t="shared" si="79"/>
        <v>292.22917146099797</v>
      </c>
      <c r="GD79" s="60">
        <f t="shared" si="80"/>
        <v>585.56250479433129</v>
      </c>
      <c r="GE79" s="60">
        <f ca="1">AVERAGE(OFFSET($GD$3,0,0,'Données projet'!$E$17+1,1))-AVERAGE(OFFSET($H$3,0,0,'Données projet'!$E$17+1,1))</f>
        <v>147.5699668214238</v>
      </c>
      <c r="GF79" s="60">
        <f t="shared" si="104"/>
        <v>70.653739864908346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>
        <f>GU79*VLOOKUP('Données projet'!$B$18,Paramètres!$A$1:$I$89,3,0)*VLOOKUP('Données projet'!$B$18,Paramètres!$A$1:$I$89,5,0)</f>
        <v>0</v>
      </c>
      <c r="GW79" s="14" t="e">
        <f t="shared" si="105"/>
        <v>#NUM!</v>
      </c>
      <c r="GX79" s="22" t="e">
        <f t="shared" si="82"/>
        <v>#NUM!</v>
      </c>
      <c r="GY79" s="60" t="e">
        <f t="shared" si="83"/>
        <v>#NUM!</v>
      </c>
      <c r="GZ79" s="60">
        <f ca="1">AVERAGE(OFFSET($GY$3,0,0,'Données projet'!$E$18+1,1))-AVERAGE(OFFSET($H$3,0,0,'Données projet'!$E$18+1,1))</f>
        <v>136.03899433512379</v>
      </c>
      <c r="HA79" s="60">
        <f t="shared" si="106"/>
        <v>316.56646692826882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30.027061746755315</v>
      </c>
      <c r="HH79" s="23">
        <f>EXP(-LN(2)/25)*HH78+(1-EXP(-LN(2)/25))/(LN(2)/25)*Calculateur!HC79*Calculateur!HE79*VLOOKUP('Données projet'!$B$18,Paramètres!$A$1:$I$89,3,0)*0.475*44/12</f>
        <v>2.8160481622564917</v>
      </c>
      <c r="HI79" s="23">
        <f>EXP(-LN(2)/2)*HI78+(1-EXP(-LN(2)/2))/(LN(2)/2)*HC79*HF79*VLOOKUP('Données projet'!$B$18,Paramètres!$A$1:$I$89,3,0)*0.475*44/12</f>
        <v>3.4853441720931449E-7</v>
      </c>
      <c r="HJ79" s="24">
        <f t="shared" si="84"/>
        <v>32.843110257546222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0">
        <f t="shared" si="55"/>
        <v>876.51292928016551</v>
      </c>
      <c r="S80" s="60">
        <f ca="1">AVERAGE(OFFSET($R$3,0,0,'Données projet'!$E$9+1,1))-AVERAGE(OFFSET($H$3,0,0,'Données projet'!$E$9+1,1))</f>
        <v>384.44848355636935</v>
      </c>
      <c r="T80" s="60">
        <f t="shared" si="88"/>
        <v>203.5274665601915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0">
        <f t="shared" si="59"/>
        <v>810.71794681982283</v>
      </c>
      <c r="AN80" s="60">
        <f ca="1">AVERAGE(OFFSET($AM$3,0,0,'Données projet'!$E$10+1,1))-AVERAGE(OFFSET($H$3,0,0,'Données projet'!$E$10+1,1))</f>
        <v>303.73499739059076</v>
      </c>
      <c r="AO80" s="60">
        <f t="shared" si="90"/>
        <v>172.32171001882188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251.37216000000004</v>
      </c>
      <c r="BF80" s="14">
        <f t="shared" si="91"/>
        <v>60.879674595707343</v>
      </c>
      <c r="BG80" s="22">
        <f t="shared" si="61"/>
        <v>543.83861192085692</v>
      </c>
      <c r="BH80" s="60">
        <f t="shared" si="62"/>
        <v>837.17194525419018</v>
      </c>
      <c r="BI80" s="60">
        <f ca="1">AVERAGE(OFFSET($BH$3,0,0,'Données projet'!$E$11+1,1))-AVERAGE(OFFSET($H$3,0,0,'Données projet'!$E$11+1,1))</f>
        <v>352.29660374042186</v>
      </c>
      <c r="BJ80" s="60">
        <f t="shared" si="92"/>
        <v>187.26439695305618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222.39359999999994</v>
      </c>
      <c r="CA80" s="14">
        <f t="shared" si="93"/>
        <v>54.634794757949287</v>
      </c>
      <c r="CB80" s="22">
        <f t="shared" si="64"/>
        <v>482.4911208700949</v>
      </c>
      <c r="CC80" s="60">
        <f t="shared" si="65"/>
        <v>775.82445420342822</v>
      </c>
      <c r="CD80" s="60">
        <f ca="1">AVERAGE(OFFSET($CC$3,0,0,'Données projet'!$E$12+1,1))-AVERAGE(OFFSET($H$3,0,0,'Données projet'!$E$12+1,1))</f>
        <v>277.03735509061545</v>
      </c>
      <c r="CE80" s="60">
        <f t="shared" si="94"/>
        <v>158.16416492761959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267.69599999999991</v>
      </c>
      <c r="CV80" s="14">
        <f t="shared" si="95"/>
        <v>64.360058723585439</v>
      </c>
      <c r="CW80" s="22">
        <f t="shared" si="67"/>
        <v>578.33096894357777</v>
      </c>
      <c r="CX80" s="60">
        <f t="shared" si="68"/>
        <v>871.66430227691103</v>
      </c>
      <c r="CY80" s="60">
        <f ca="1">AVERAGE(OFFSET($CX$3,0,0,'Données projet'!$E$13+1,1))-AVERAGE(OFFSET($H$3,0,0,'Données projet'!$E$13+1,1))</f>
        <v>350.3652766444938</v>
      </c>
      <c r="CZ80" s="60">
        <f t="shared" si="96"/>
        <v>197.04549436738586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</v>
      </c>
      <c r="DO80" s="13">
        <f>IF('Données projet'!$A$166&gt;35,DO79+DN80-DW79,IF(A80&lt;'Données projet'!$A$166,$DL$205^A80,IF(A80='Données projet'!$A$166,'Données projet'!$B$166,DO79+DN80-DW79)))</f>
        <v>383.00000000000034</v>
      </c>
      <c r="DP80" s="18">
        <f>DO80*VLOOKUP('Données projet'!$B$14,Paramètres!$A$1:$I$89,3,0)*VLOOKUP('Données projet'!$B$14,Paramètres!$A$1:$I$89,5,0)</f>
        <v>304.71480000000031</v>
      </c>
      <c r="DQ80" s="14">
        <f t="shared" si="97"/>
        <v>72.163967833063893</v>
      </c>
      <c r="DR80" s="22">
        <f t="shared" si="70"/>
        <v>656.39718730925347</v>
      </c>
      <c r="DS80" s="60">
        <f t="shared" si="71"/>
        <v>949.73052064258673</v>
      </c>
      <c r="DT80" s="60">
        <f ca="1">AVERAGE(OFFSET($DS$3,0,0,'Données projet'!$E$14+1,1))-AVERAGE(OFFSET($H$3,0,0,'Données projet'!$E$14+1,1))</f>
        <v>382.01991140382955</v>
      </c>
      <c r="DU80" s="60">
        <f t="shared" si="98"/>
        <v>389.53897948144339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3.4</v>
      </c>
      <c r="EJ80" s="13">
        <f>IF('Données projet'!$A$192&gt;35,EJ79+EI80-ER79,IF(A80&lt;'Données projet'!$A$192,$EG$205^A80,IF(A80='Données projet'!$A$192,'Données projet'!$B$192,EJ79+EI80-ER79)))</f>
        <v>330.80000000000007</v>
      </c>
      <c r="EK80" s="18">
        <f>EJ80*VLOOKUP('Données projet'!$B$15,Paramètres!$A$1:$I$89,3,0)*VLOOKUP('Données projet'!$B$15,Paramètres!$A$1:$I$89,5,0)</f>
        <v>263.18448000000006</v>
      </c>
      <c r="EL80" s="14">
        <f t="shared" si="99"/>
        <v>63.400698722475134</v>
      </c>
      <c r="EM80" s="22">
        <f t="shared" si="73"/>
        <v>568.80251960831094</v>
      </c>
      <c r="EN80" s="60">
        <f t="shared" si="74"/>
        <v>862.13585294164432</v>
      </c>
      <c r="EO80" s="60">
        <f ca="1">AVERAGE(OFFSET($EN$3,0,0,'Données projet'!$E$15+1,1))-AVERAGE(OFFSET($H$3,0,0,'Données projet'!$E$15+1,1))</f>
        <v>323.92137573760789</v>
      </c>
      <c r="EP80" s="60">
        <f t="shared" si="100"/>
        <v>389.53897948144339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</v>
      </c>
      <c r="FE80" s="13">
        <f>IF('Données projet'!$A$218&gt;35,FE79+FD80-FM79,IF(A80&lt;'Données projet'!$A$218,$FB$205^A80,IF(A80='Données projet'!$A$218,'Données projet'!$B$218,FE79+FD80-FM79)))</f>
        <v>267.00000000000023</v>
      </c>
      <c r="FF80" s="18">
        <f>FE80*VLOOKUP('Données projet'!$B$16,Paramètres!$A$1:$I$89,3,0)*VLOOKUP('Données projet'!$B$16,Paramètres!$A$1:$I$89,5,0)</f>
        <v>212.42520000000022</v>
      </c>
      <c r="FG80" s="14">
        <f t="shared" si="101"/>
        <v>52.465198231787234</v>
      </c>
      <c r="FH80" s="22">
        <f t="shared" si="76"/>
        <v>461.35077692036316</v>
      </c>
      <c r="FI80" s="60">
        <f t="shared" si="77"/>
        <v>754.68411025369642</v>
      </c>
      <c r="FJ80" s="60">
        <f ca="1">AVERAGE(OFFSET($FI$3,0,0,'Données projet'!$E$16+1,1))-AVERAGE(OFFSET($H$3,0,0,'Données projet'!$E$16+1,1))</f>
        <v>219.61164494001008</v>
      </c>
      <c r="FK80" s="60">
        <f t="shared" si="102"/>
        <v>219.59799863414111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8.9743589743589727</v>
      </c>
      <c r="FZ80" s="13">
        <f>IF('Données projet'!$A$244&gt;35,FZ79+FY80-GH79,IF(A80&lt;'Données projet'!$A$244,$FW$205^A80,IF(A80='Données projet'!$A$244,'Données projet'!$B$244,FZ79+FY80-GH79)))</f>
        <v>293.33333333333309</v>
      </c>
      <c r="GA80" s="18">
        <f>FZ80*VLOOKUP('Données projet'!$B$17,Paramètres!$A$1:$I$89,3,0)*VLOOKUP('Données projet'!$B$17,Paramètres!$A$1:$I$89,5,0)</f>
        <v>137.27999999999989</v>
      </c>
      <c r="GB80" s="14">
        <f t="shared" si="103"/>
        <v>35.673181961873411</v>
      </c>
      <c r="GC80" s="22">
        <f t="shared" si="79"/>
        <v>301.22679191692936</v>
      </c>
      <c r="GD80" s="60">
        <f t="shared" si="80"/>
        <v>594.56012525026267</v>
      </c>
      <c r="GE80" s="60">
        <f ca="1">AVERAGE(OFFSET($GD$3,0,0,'Données projet'!$E$17+1,1))-AVERAGE(OFFSET($H$3,0,0,'Données projet'!$E$17+1,1))</f>
        <v>147.5699668214238</v>
      </c>
      <c r="GF80" s="60">
        <f t="shared" si="104"/>
        <v>70.653739864908346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>
        <f>GU80*VLOOKUP('Données projet'!$B$18,Paramètres!$A$1:$I$89,3,0)*VLOOKUP('Données projet'!$B$18,Paramètres!$A$1:$I$89,5,0)</f>
        <v>0</v>
      </c>
      <c r="GW80" s="14" t="e">
        <f t="shared" si="105"/>
        <v>#NUM!</v>
      </c>
      <c r="GX80" s="22" t="e">
        <f t="shared" si="82"/>
        <v>#NUM!</v>
      </c>
      <c r="GY80" s="60" t="e">
        <f t="shared" si="83"/>
        <v>#NUM!</v>
      </c>
      <c r="GZ80" s="60">
        <f ca="1">AVERAGE(OFFSET($GY$3,0,0,'Données projet'!$E$18+1,1))-AVERAGE(OFFSET($H$3,0,0,'Données projet'!$E$18+1,1))</f>
        <v>136.03899433512379</v>
      </c>
      <c r="HA80" s="60">
        <f t="shared" si="106"/>
        <v>316.56646692826882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29.438249380600684</v>
      </c>
      <c r="HH80" s="23">
        <f>EXP(-LN(2)/25)*HH79+(1-EXP(-LN(2)/25))/(LN(2)/25)*Calculateur!HC80*Calculateur!HE80*VLOOKUP('Données projet'!$B$18,Paramètres!$A$1:$I$89,3,0)*0.475*44/12</f>
        <v>2.7390431771700512</v>
      </c>
      <c r="HI80" s="23">
        <f>EXP(-LN(2)/2)*HI79+(1-EXP(-LN(2)/2))/(LN(2)/2)*HC80*HF80*VLOOKUP('Données projet'!$B$18,Paramètres!$A$1:$I$89,3,0)*0.475*44/12</f>
        <v>2.464510498856076E-7</v>
      </c>
      <c r="HJ80" s="24">
        <f t="shared" si="84"/>
        <v>32.177292804221786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0">
        <f t="shared" si="55"/>
        <v>890.26372606671134</v>
      </c>
      <c r="S81" s="60">
        <f ca="1">AVERAGE(OFFSET($R$3,0,0,'Données projet'!$E$9+1,1))-AVERAGE(OFFSET($H$3,0,0,'Données projet'!$E$9+1,1))</f>
        <v>384.44848355636935</v>
      </c>
      <c r="T81" s="60">
        <f t="shared" si="88"/>
        <v>203.5274665601915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0">
        <f t="shared" si="59"/>
        <v>822.20588134481159</v>
      </c>
      <c r="AN81" s="60">
        <f ca="1">AVERAGE(OFFSET($AM$3,0,0,'Données projet'!$E$10+1,1))-AVERAGE(OFFSET($H$3,0,0,'Données projet'!$E$10+1,1))</f>
        <v>303.73499739059076</v>
      </c>
      <c r="AO81" s="60">
        <f t="shared" si="90"/>
        <v>172.32171001882188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257.43744000000004</v>
      </c>
      <c r="BF81" s="14">
        <f t="shared" si="91"/>
        <v>62.175829233865038</v>
      </c>
      <c r="BG81" s="22">
        <f t="shared" si="61"/>
        <v>556.65977724898164</v>
      </c>
      <c r="BH81" s="60">
        <f t="shared" si="62"/>
        <v>849.99311058231501</v>
      </c>
      <c r="BI81" s="60">
        <f ca="1">AVERAGE(OFFSET($BH$3,0,0,'Données projet'!$E$11+1,1))-AVERAGE(OFFSET($H$3,0,0,'Données projet'!$E$11+1,1))</f>
        <v>352.29660374042186</v>
      </c>
      <c r="BJ81" s="60">
        <f t="shared" si="92"/>
        <v>187.26439695305618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227.44799999999995</v>
      </c>
      <c r="CA81" s="14">
        <f t="shared" si="93"/>
        <v>55.730521649800686</v>
      </c>
      <c r="CB81" s="22">
        <f t="shared" si="64"/>
        <v>493.20259187340275</v>
      </c>
      <c r="CC81" s="60">
        <f t="shared" si="65"/>
        <v>786.53592520673601</v>
      </c>
      <c r="CD81" s="60">
        <f ca="1">AVERAGE(OFFSET($CC$3,0,0,'Données projet'!$E$12+1,1))-AVERAGE(OFFSET($H$3,0,0,'Données projet'!$E$12+1,1))</f>
        <v>277.03735509061545</v>
      </c>
      <c r="CE81" s="60">
        <f t="shared" si="94"/>
        <v>158.16416492761959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273.77999999999992</v>
      </c>
      <c r="CV81" s="14">
        <f t="shared" si="95"/>
        <v>65.650830427167435</v>
      </c>
      <c r="CW81" s="22">
        <f t="shared" si="67"/>
        <v>591.17536299398307</v>
      </c>
      <c r="CX81" s="60">
        <f t="shared" si="68"/>
        <v>884.50869632731633</v>
      </c>
      <c r="CY81" s="60">
        <f ca="1">AVERAGE(OFFSET($CX$3,0,0,'Données projet'!$E$13+1,1))-AVERAGE(OFFSET($H$3,0,0,'Données projet'!$E$13+1,1))</f>
        <v>350.3652766444938</v>
      </c>
      <c r="CZ81" s="60">
        <f t="shared" si="96"/>
        <v>197.04549436738586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</v>
      </c>
      <c r="DO81" s="13">
        <f>IF('Données projet'!$A$166&gt;35,DO80+DN81-DW80,IF(A81&lt;'Données projet'!$A$166,$DL$205^A81,IF(A81='Données projet'!$A$166,'Données projet'!$B$166,DO80+DN81-DW80)))</f>
        <v>387.00000000000034</v>
      </c>
      <c r="DP81" s="18">
        <f>DO81*VLOOKUP('Données projet'!$B$14,Paramètres!$A$1:$I$89,3,0)*VLOOKUP('Données projet'!$B$14,Paramètres!$A$1:$I$89,5,0)</f>
        <v>307.89720000000028</v>
      </c>
      <c r="DQ81" s="14">
        <f t="shared" si="97"/>
        <v>72.829508030207904</v>
      </c>
      <c r="DR81" s="22">
        <f t="shared" si="70"/>
        <v>663.09901648594598</v>
      </c>
      <c r="DS81" s="60">
        <f t="shared" si="71"/>
        <v>956.43234981927935</v>
      </c>
      <c r="DT81" s="60">
        <f ca="1">AVERAGE(OFFSET($DS$3,0,0,'Données projet'!$E$14+1,1))-AVERAGE(OFFSET($H$3,0,0,'Données projet'!$E$14+1,1))</f>
        <v>382.01991140382955</v>
      </c>
      <c r="DU81" s="60">
        <f t="shared" si="98"/>
        <v>389.53897948144339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3.4</v>
      </c>
      <c r="EJ81" s="13">
        <f>IF('Données projet'!$A$192&gt;35,EJ80+EI81-ER80,IF(A81&lt;'Données projet'!$A$192,$EG$205^A81,IF(A81='Données projet'!$A$192,'Données projet'!$B$192,EJ80+EI81-ER80)))</f>
        <v>334.20000000000005</v>
      </c>
      <c r="EK81" s="18">
        <f>EJ81*VLOOKUP('Données projet'!$B$15,Paramètres!$A$1:$I$89,3,0)*VLOOKUP('Données projet'!$B$15,Paramètres!$A$1:$I$89,5,0)</f>
        <v>265.88952000000006</v>
      </c>
      <c r="EL81" s="14">
        <f t="shared" si="99"/>
        <v>63.976144343663627</v>
      </c>
      <c r="EM81" s="22">
        <f t="shared" si="73"/>
        <v>574.51603206521429</v>
      </c>
      <c r="EN81" s="60">
        <f t="shared" si="74"/>
        <v>867.84936539854766</v>
      </c>
      <c r="EO81" s="60">
        <f ca="1">AVERAGE(OFFSET($EN$3,0,0,'Données projet'!$E$15+1,1))-AVERAGE(OFFSET($H$3,0,0,'Données projet'!$E$15+1,1))</f>
        <v>323.92137573760789</v>
      </c>
      <c r="EP81" s="60">
        <f t="shared" si="100"/>
        <v>389.53897948144339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</v>
      </c>
      <c r="FE81" s="13">
        <f>IF('Données projet'!$A$218&gt;35,FE80+FD81-FM80,IF(A81&lt;'Données projet'!$A$218,$FB$205^A81,IF(A81='Données projet'!$A$218,'Données projet'!$B$218,FE80+FD81-FM80)))</f>
        <v>270.00000000000023</v>
      </c>
      <c r="FF81" s="18">
        <f>FE81*VLOOKUP('Données projet'!$B$16,Paramètres!$A$1:$I$89,3,0)*VLOOKUP('Données projet'!$B$16,Paramètres!$A$1:$I$89,5,0)</f>
        <v>214.81200000000021</v>
      </c>
      <c r="FG81" s="14">
        <f t="shared" si="101"/>
        <v>52.985738231738104</v>
      </c>
      <c r="FH81" s="22">
        <f t="shared" si="76"/>
        <v>466.41439408694424</v>
      </c>
      <c r="FI81" s="60">
        <f t="shared" si="77"/>
        <v>759.74772742027756</v>
      </c>
      <c r="FJ81" s="60">
        <f ca="1">AVERAGE(OFFSET($FI$3,0,0,'Données projet'!$E$16+1,1))-AVERAGE(OFFSET($H$3,0,0,'Données projet'!$E$16+1,1))</f>
        <v>219.61164494001008</v>
      </c>
      <c r="FK81" s="60">
        <f t="shared" si="102"/>
        <v>219.59799863414111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8.9743589743589727</v>
      </c>
      <c r="FZ81" s="13">
        <f>IF('Données projet'!$A$244&gt;35,FZ80+FY81-GH80,IF(A81&lt;'Données projet'!$A$244,$FW$205^A81,IF(A81='Données projet'!$A$244,'Données projet'!$B$244,FZ80+FY81-GH80)))</f>
        <v>302.30769230769204</v>
      </c>
      <c r="GA81" s="18">
        <f>FZ81*VLOOKUP('Données projet'!$B$17,Paramètres!$A$1:$I$89,3,0)*VLOOKUP('Données projet'!$B$17,Paramètres!$A$1:$I$89,5,0)</f>
        <v>141.47999999999988</v>
      </c>
      <c r="GB81" s="14">
        <f t="shared" si="103"/>
        <v>36.635844927016009</v>
      </c>
      <c r="GC81" s="22">
        <f t="shared" si="79"/>
        <v>310.21842991455259</v>
      </c>
      <c r="GD81" s="60">
        <f t="shared" si="80"/>
        <v>603.5517632478859</v>
      </c>
      <c r="GE81" s="60">
        <f ca="1">AVERAGE(OFFSET($GD$3,0,0,'Données projet'!$E$17+1,1))-AVERAGE(OFFSET($H$3,0,0,'Données projet'!$E$17+1,1))</f>
        <v>147.5699668214238</v>
      </c>
      <c r="GF81" s="60">
        <f t="shared" si="104"/>
        <v>70.653739864908346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>
        <f>GU81*VLOOKUP('Données projet'!$B$18,Paramètres!$A$1:$I$89,3,0)*VLOOKUP('Données projet'!$B$18,Paramètres!$A$1:$I$89,5,0)</f>
        <v>0</v>
      </c>
      <c r="GW81" s="14" t="e">
        <f t="shared" si="105"/>
        <v>#NUM!</v>
      </c>
      <c r="GX81" s="22" t="e">
        <f t="shared" si="82"/>
        <v>#NUM!</v>
      </c>
      <c r="GY81" s="60" t="e">
        <f t="shared" si="83"/>
        <v>#NUM!</v>
      </c>
      <c r="GZ81" s="60">
        <f ca="1">AVERAGE(OFFSET($GY$3,0,0,'Données projet'!$E$18+1,1))-AVERAGE(OFFSET($H$3,0,0,'Données projet'!$E$18+1,1))</f>
        <v>136.03899433512379</v>
      </c>
      <c r="HA81" s="60">
        <f t="shared" si="106"/>
        <v>316.56646692826882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28.860983265806261</v>
      </c>
      <c r="HH81" s="23">
        <f>EXP(-LN(2)/25)*HH80+(1-EXP(-LN(2)/25))/(LN(2)/25)*Calculateur!HC81*Calculateur!HE81*VLOOKUP('Données projet'!$B$18,Paramètres!$A$1:$I$89,3,0)*0.475*44/12</f>
        <v>2.6641438974503155</v>
      </c>
      <c r="HI81" s="23">
        <f>EXP(-LN(2)/2)*HI80+(1-EXP(-LN(2)/2))/(LN(2)/2)*HC81*HF81*VLOOKUP('Données projet'!$B$18,Paramètres!$A$1:$I$89,3,0)*0.475*44/12</f>
        <v>1.7426720860465724E-7</v>
      </c>
      <c r="HJ81" s="24">
        <f t="shared" si="84"/>
        <v>31.525127337523784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0">
        <f t="shared" si="55"/>
        <v>904.00793683500501</v>
      </c>
      <c r="S82" s="60">
        <f ca="1">AVERAGE(OFFSET($R$3,0,0,'Données projet'!$E$9+1,1))-AVERAGE(OFFSET($H$3,0,0,'Données projet'!$E$9+1,1))</f>
        <v>384.44848355636935</v>
      </c>
      <c r="T82" s="60">
        <f t="shared" si="88"/>
        <v>203.5274665601915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0">
        <f t="shared" si="59"/>
        <v>833.68856409746058</v>
      </c>
      <c r="AN82" s="60">
        <f ca="1">AVERAGE(OFFSET($AM$3,0,0,'Données projet'!$E$10+1,1))-AVERAGE(OFFSET($H$3,0,0,'Données projet'!$E$10+1,1))</f>
        <v>303.73499739059076</v>
      </c>
      <c r="AO82" s="60">
        <f t="shared" si="90"/>
        <v>172.32171001882188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263.50272000000001</v>
      </c>
      <c r="BF82" s="14">
        <f t="shared" si="91"/>
        <v>63.468433809179743</v>
      </c>
      <c r="BG82" s="22">
        <f t="shared" si="61"/>
        <v>569.4747595509881</v>
      </c>
      <c r="BH82" s="60">
        <f t="shared" si="62"/>
        <v>862.80809288432147</v>
      </c>
      <c r="BI82" s="60">
        <f ca="1">AVERAGE(OFFSET($BH$3,0,0,'Données projet'!$E$11+1,1))-AVERAGE(OFFSET($H$3,0,0,'Données projet'!$E$11+1,1))</f>
        <v>352.29660374042186</v>
      </c>
      <c r="BJ82" s="60">
        <f t="shared" si="92"/>
        <v>187.26439695305618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232.50239999999991</v>
      </c>
      <c r="CA82" s="14">
        <f t="shared" si="93"/>
        <v>56.823417677671891</v>
      </c>
      <c r="CB82" s="22">
        <f t="shared" si="64"/>
        <v>503.90913245527832</v>
      </c>
      <c r="CC82" s="60">
        <f t="shared" si="65"/>
        <v>797.24246578861164</v>
      </c>
      <c r="CD82" s="60">
        <f ca="1">AVERAGE(OFFSET($CC$3,0,0,'Données projet'!$E$12+1,1))-AVERAGE(OFFSET($H$3,0,0,'Données projet'!$E$12+1,1))</f>
        <v>277.03735509061545</v>
      </c>
      <c r="CE82" s="60">
        <f t="shared" si="94"/>
        <v>158.16416492761959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279.86399999999986</v>
      </c>
      <c r="CV82" s="14">
        <f t="shared" si="95"/>
        <v>66.938267358965007</v>
      </c>
      <c r="CW82" s="22">
        <f t="shared" si="67"/>
        <v>604.01394898353044</v>
      </c>
      <c r="CX82" s="60">
        <f t="shared" si="68"/>
        <v>897.34728231686381</v>
      </c>
      <c r="CY82" s="60">
        <f ca="1">AVERAGE(OFFSET($CX$3,0,0,'Données projet'!$E$13+1,1))-AVERAGE(OFFSET($H$3,0,0,'Données projet'!$E$13+1,1))</f>
        <v>350.3652766444938</v>
      </c>
      <c r="CZ82" s="60">
        <f t="shared" si="96"/>
        <v>197.04549436738586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</v>
      </c>
      <c r="DO82" s="13">
        <f>IF('Données projet'!$A$166&gt;35,DO81+DN82-DW81,IF(A82&lt;'Données projet'!$A$166,$DL$205^A82,IF(A82='Données projet'!$A$166,'Données projet'!$B$166,DO81+DN82-DW81)))</f>
        <v>391.00000000000034</v>
      </c>
      <c r="DP82" s="18">
        <f>DO82*VLOOKUP('Données projet'!$B$14,Paramètres!$A$1:$I$89,3,0)*VLOOKUP('Données projet'!$B$14,Paramètres!$A$1:$I$89,5,0)</f>
        <v>311.07960000000026</v>
      </c>
      <c r="DQ82" s="14">
        <f t="shared" si="97"/>
        <v>73.494247981831251</v>
      </c>
      <c r="DR82" s="22">
        <f t="shared" si="70"/>
        <v>669.79945190168985</v>
      </c>
      <c r="DS82" s="60">
        <f t="shared" si="71"/>
        <v>963.13278523502322</v>
      </c>
      <c r="DT82" s="60">
        <f ca="1">AVERAGE(OFFSET($DS$3,0,0,'Données projet'!$E$14+1,1))-AVERAGE(OFFSET($H$3,0,0,'Données projet'!$E$14+1,1))</f>
        <v>382.01991140382955</v>
      </c>
      <c r="DU82" s="60">
        <f t="shared" si="98"/>
        <v>389.53897948144339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3.4</v>
      </c>
      <c r="EJ82" s="13">
        <f>IF('Données projet'!$A$192&gt;35,EJ81+EI82-ER81,IF(A82&lt;'Données projet'!$A$192,$EG$205^A82,IF(A82='Données projet'!$A$192,'Données projet'!$B$192,EJ81+EI82-ER81)))</f>
        <v>337.6</v>
      </c>
      <c r="EK82" s="18">
        <f>EJ82*VLOOKUP('Données projet'!$B$15,Paramètres!$A$1:$I$89,3,0)*VLOOKUP('Données projet'!$B$15,Paramètres!$A$1:$I$89,5,0)</f>
        <v>268.59456000000006</v>
      </c>
      <c r="EL82" s="14">
        <f t="shared" si="99"/>
        <v>64.550908912426436</v>
      </c>
      <c r="EM82" s="22">
        <f t="shared" si="73"/>
        <v>580.22835835580952</v>
      </c>
      <c r="EN82" s="60">
        <f t="shared" si="74"/>
        <v>873.56169168914289</v>
      </c>
      <c r="EO82" s="60">
        <f ca="1">AVERAGE(OFFSET($EN$3,0,0,'Données projet'!$E$15+1,1))-AVERAGE(OFFSET($H$3,0,0,'Données projet'!$E$15+1,1))</f>
        <v>323.92137573760789</v>
      </c>
      <c r="EP82" s="60">
        <f t="shared" si="100"/>
        <v>389.53897948144339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</v>
      </c>
      <c r="FE82" s="13">
        <f>IF('Données projet'!$A$218&gt;35,FE81+FD82-FM81,IF(A82&lt;'Données projet'!$A$218,$FB$205^A82,IF(A82='Données projet'!$A$218,'Données projet'!$B$218,FE81+FD82-FM81)))</f>
        <v>273.00000000000023</v>
      </c>
      <c r="FF82" s="18">
        <f>FE82*VLOOKUP('Données projet'!$B$16,Paramètres!$A$1:$I$89,3,0)*VLOOKUP('Données projet'!$B$16,Paramètres!$A$1:$I$89,5,0)</f>
        <v>217.1988000000002</v>
      </c>
      <c r="FG82" s="14">
        <f t="shared" si="101"/>
        <v>53.505605420484088</v>
      </c>
      <c r="FH82" s="22">
        <f t="shared" si="76"/>
        <v>471.47683944067677</v>
      </c>
      <c r="FI82" s="60">
        <f t="shared" si="77"/>
        <v>764.81017277401008</v>
      </c>
      <c r="FJ82" s="60">
        <f ca="1">AVERAGE(OFFSET($FI$3,0,0,'Données projet'!$E$16+1,1))-AVERAGE(OFFSET($H$3,0,0,'Données projet'!$E$16+1,1))</f>
        <v>219.61164494001008</v>
      </c>
      <c r="FK82" s="60">
        <f t="shared" si="102"/>
        <v>219.59799863414111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8.9743589743589727</v>
      </c>
      <c r="FZ82" s="13">
        <f>IF('Données projet'!$A$244&gt;35,FZ81+FY82-GH81,IF(A82&lt;'Données projet'!$A$244,$FW$205^A82,IF(A82='Données projet'!$A$244,'Données projet'!$B$244,FZ81+FY82-GH81)))</f>
        <v>311.28205128205099</v>
      </c>
      <c r="GA82" s="18">
        <f>FZ82*VLOOKUP('Données projet'!$B$17,Paramètres!$A$1:$I$89,3,0)*VLOOKUP('Données projet'!$B$17,Paramètres!$A$1:$I$89,5,0)</f>
        <v>145.67999999999986</v>
      </c>
      <c r="GB82" s="14">
        <f t="shared" si="103"/>
        <v>37.595186663644121</v>
      </c>
      <c r="GC82" s="22">
        <f t="shared" si="79"/>
        <v>319.2042834391799</v>
      </c>
      <c r="GD82" s="60">
        <f t="shared" si="80"/>
        <v>612.53761677251327</v>
      </c>
      <c r="GE82" s="60">
        <f ca="1">AVERAGE(OFFSET($GD$3,0,0,'Données projet'!$E$17+1,1))-AVERAGE(OFFSET($H$3,0,0,'Données projet'!$E$17+1,1))</f>
        <v>147.5699668214238</v>
      </c>
      <c r="GF82" s="60">
        <f t="shared" si="104"/>
        <v>70.653739864908346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>
        <f>GU82*VLOOKUP('Données projet'!$B$18,Paramètres!$A$1:$I$89,3,0)*VLOOKUP('Données projet'!$B$18,Paramètres!$A$1:$I$89,5,0)</f>
        <v>0</v>
      </c>
      <c r="GW82" s="14" t="e">
        <f t="shared" si="105"/>
        <v>#NUM!</v>
      </c>
      <c r="GX82" s="22" t="e">
        <f t="shared" si="82"/>
        <v>#NUM!</v>
      </c>
      <c r="GY82" s="60" t="e">
        <f t="shared" si="83"/>
        <v>#NUM!</v>
      </c>
      <c r="GZ82" s="60">
        <f ca="1">AVERAGE(OFFSET($GY$3,0,0,'Données projet'!$E$18+1,1))-AVERAGE(OFFSET($H$3,0,0,'Données projet'!$E$18+1,1))</f>
        <v>136.03899433512379</v>
      </c>
      <c r="HA82" s="60">
        <f t="shared" si="106"/>
        <v>316.56646692826882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28.295036987425394</v>
      </c>
      <c r="HH82" s="23">
        <f>EXP(-LN(2)/25)*HH81+(1-EXP(-LN(2)/25))/(LN(2)/25)*Calculateur!HC82*Calculateur!HE82*VLOOKUP('Données projet'!$B$18,Paramètres!$A$1:$I$89,3,0)*0.475*44/12</f>
        <v>2.5912927424732981</v>
      </c>
      <c r="HI82" s="23">
        <f>EXP(-LN(2)/2)*HI81+(1-EXP(-LN(2)/2))/(LN(2)/2)*HC82*HF82*VLOOKUP('Données projet'!$B$18,Paramètres!$A$1:$I$89,3,0)*0.475*44/12</f>
        <v>1.232255249428038E-7</v>
      </c>
      <c r="HJ82" s="24">
        <f t="shared" si="84"/>
        <v>30.886329853124217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0">
        <f t="shared" si="55"/>
        <v>917.74573063083562</v>
      </c>
      <c r="S83" s="60">
        <f ca="1">AVERAGE(OFFSET($R$3,0,0,'Données projet'!$E$9+1,1))-AVERAGE(OFFSET($H$3,0,0,'Données projet'!$E$9+1,1))</f>
        <v>384.44848355636935</v>
      </c>
      <c r="T83" s="60">
        <f t="shared" si="88"/>
        <v>203.5274665601915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0">
        <f t="shared" si="59"/>
        <v>845.16612239513029</v>
      </c>
      <c r="AN83" s="60">
        <f ca="1">AVERAGE(OFFSET($AM$3,0,0,'Données projet'!$E$10+1,1))-AVERAGE(OFFSET($H$3,0,0,'Données projet'!$E$10+1,1))</f>
        <v>303.73499739059076</v>
      </c>
      <c r="AO83" s="60">
        <f t="shared" si="90"/>
        <v>172.32171001882188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269.56800000000004</v>
      </c>
      <c r="BF83" s="14">
        <f t="shared" si="91"/>
        <v>64.757579442439862</v>
      </c>
      <c r="BG83" s="22">
        <f t="shared" si="61"/>
        <v>582.28371752891621</v>
      </c>
      <c r="BH83" s="60">
        <f t="shared" si="62"/>
        <v>875.61705086224947</v>
      </c>
      <c r="BI83" s="60">
        <f ca="1">AVERAGE(OFFSET($BH$3,0,0,'Données projet'!$E$11+1,1))-AVERAGE(OFFSET($H$3,0,0,'Données projet'!$E$11+1,1))</f>
        <v>352.29660374042186</v>
      </c>
      <c r="BJ83" s="60">
        <f t="shared" si="92"/>
        <v>187.26439695305618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237.55679999999992</v>
      </c>
      <c r="CA83" s="14">
        <f t="shared" si="93"/>
        <v>57.913551469467308</v>
      </c>
      <c r="CB83" s="22">
        <f t="shared" si="64"/>
        <v>514.61086214265538</v>
      </c>
      <c r="CC83" s="60">
        <f t="shared" si="65"/>
        <v>807.94419547598864</v>
      </c>
      <c r="CD83" s="60">
        <f ca="1">AVERAGE(OFFSET($CC$3,0,0,'Données projet'!$E$12+1,1))-AVERAGE(OFFSET($H$3,0,0,'Données projet'!$E$12+1,1))</f>
        <v>277.03735509061545</v>
      </c>
      <c r="CE83" s="60">
        <f t="shared" si="94"/>
        <v>158.16416492761959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285.94799999999992</v>
      </c>
      <c r="CV83" s="14">
        <f t="shared" si="95"/>
        <v>68.222450362989363</v>
      </c>
      <c r="CW83" s="22">
        <f t="shared" si="67"/>
        <v>616.84686771553959</v>
      </c>
      <c r="CX83" s="60">
        <f t="shared" si="68"/>
        <v>910.18020104887296</v>
      </c>
      <c r="CY83" s="60">
        <f ca="1">AVERAGE(OFFSET($CX$3,0,0,'Données projet'!$E$13+1,1))-AVERAGE(OFFSET($H$3,0,0,'Données projet'!$E$13+1,1))</f>
        <v>350.3652766444938</v>
      </c>
      <c r="CZ83" s="60">
        <f t="shared" si="96"/>
        <v>197.04549436738586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395</v>
      </c>
      <c r="DM83" s="13">
        <f>VLOOKUP(A83,'Données projet'!$A$165:$I$185,9,0)</f>
        <v>4</v>
      </c>
      <c r="DN83" s="13">
        <f t="array" ref="DN83">INDEX(DM:DM,MIN(IF(ISNUMBER(DM83:DM279),ROW(DM83:DM279),"")))</f>
        <v>4</v>
      </c>
      <c r="DO83" s="13">
        <f>IF('Données projet'!$A$166&gt;35,DO82+DN83-DW82,IF(A83&lt;'Données projet'!$A$166,$DL$205^A83,IF(A83='Données projet'!$A$166,'Données projet'!$B$166,DO82+DN83-DW82)))</f>
        <v>395.00000000000034</v>
      </c>
      <c r="DP83" s="18">
        <f>DO83*VLOOKUP('Données projet'!$B$14,Paramètres!$A$1:$I$89,3,0)*VLOOKUP('Données projet'!$B$14,Paramètres!$A$1:$I$89,5,0)</f>
        <v>314.26200000000028</v>
      </c>
      <c r="DQ83" s="14">
        <f t="shared" si="97"/>
        <v>74.158196822395979</v>
      </c>
      <c r="DR83" s="22">
        <f t="shared" si="70"/>
        <v>676.49850946567346</v>
      </c>
      <c r="DS83" s="60">
        <f t="shared" si="71"/>
        <v>969.83184279900684</v>
      </c>
      <c r="DT83" s="60">
        <f ca="1">AVERAGE(OFFSET($DS$3,0,0,'Données projet'!$E$14+1,1))-AVERAGE(OFFSET($H$3,0,0,'Données projet'!$E$14+1,1))</f>
        <v>382.01991140382955</v>
      </c>
      <c r="DU83" s="60">
        <f t="shared" si="98"/>
        <v>389.53897948144339</v>
      </c>
      <c r="DV83" s="16">
        <f>IF(ISNA(VLOOKUP(A83,'Données projet'!$A$165:$I$185,3,0)),0,VLOOKUP(A83,'Données projet'!$A$165:$I$185,3,0))</f>
        <v>9</v>
      </c>
      <c r="DW83" s="16">
        <f>IF(ISNA(VLOOKUP(A83,'Données projet'!$A$165:$I$185,4,0)),0,VLOOKUP(A83,'Données projet'!$A$165:$I$185,4,0))</f>
        <v>395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341</v>
      </c>
      <c r="EH83" s="13">
        <f>VLOOKUP(A83,'Données projet'!$A$191:$I$211,9,0)</f>
        <v>3.4</v>
      </c>
      <c r="EI83" s="13">
        <f t="array" ref="EI83">INDEX(EH:EH,MIN(IF(ISNUMBER(EH83:EH279),ROW(EH83:EH279),"")))</f>
        <v>3.4</v>
      </c>
      <c r="EJ83" s="13">
        <f>IF('Données projet'!$A$192&gt;35,EJ82+EI83-ER82,IF(A83&lt;'Données projet'!$A$192,$EG$205^A83,IF(A83='Données projet'!$A$192,'Données projet'!$B$192,EJ82+EI83-ER82)))</f>
        <v>341</v>
      </c>
      <c r="EK83" s="18">
        <f>EJ83*VLOOKUP('Données projet'!$B$15,Paramètres!$A$1:$I$89,3,0)*VLOOKUP('Données projet'!$B$15,Paramètres!$A$1:$I$89,5,0)</f>
        <v>271.2996</v>
      </c>
      <c r="EL83" s="14">
        <f t="shared" si="99"/>
        <v>65.125000081857877</v>
      </c>
      <c r="EM83" s="22">
        <f t="shared" si="73"/>
        <v>585.9395118092358</v>
      </c>
      <c r="EN83" s="60">
        <f t="shared" si="74"/>
        <v>879.27284514256917</v>
      </c>
      <c r="EO83" s="60">
        <f ca="1">AVERAGE(OFFSET($EN$3,0,0,'Données projet'!$E$15+1,1))-AVERAGE(OFFSET($H$3,0,0,'Données projet'!$E$15+1,1))</f>
        <v>323.92137573760789</v>
      </c>
      <c r="EP83" s="60">
        <f t="shared" si="100"/>
        <v>389.53897948144339</v>
      </c>
      <c r="EQ83" s="16">
        <f>IF(ISNA(VLOOKUP(A83,'Données projet'!$A$191:$I$211,3,0)),0,VLOOKUP(A83,'Données projet'!$A$191:$I$211,3,0))</f>
        <v>8</v>
      </c>
      <c r="ER83" s="16">
        <f>IF(ISNA(VLOOKUP(A83,'Données projet'!$A$191:$I$211,4,0)),0,VLOOKUP(A83,'Données projet'!$A$191:$I$211,4,0))</f>
        <v>341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276</v>
      </c>
      <c r="FC83" s="13">
        <f>VLOOKUP(A83,'Données projet'!$A$217:$I$237,9,0)</f>
        <v>3</v>
      </c>
      <c r="FD83" s="13">
        <f t="array" ref="FD83">INDEX(FC:FC,MIN(IF(ISNUMBER(FC83:FC279),ROW(FC83:FC279),"")))</f>
        <v>3</v>
      </c>
      <c r="FE83" s="13">
        <f>IF('Données projet'!$A$218&gt;35,FE82+FD83-FM82,IF(A83&lt;'Données projet'!$A$218,$FB$205^A83,IF(A83='Données projet'!$A$218,'Données projet'!$B$218,FE82+FD83-FM82)))</f>
        <v>276.00000000000023</v>
      </c>
      <c r="FF83" s="18">
        <f>FE83*VLOOKUP('Données projet'!$B$16,Paramètres!$A$1:$I$89,3,0)*VLOOKUP('Données projet'!$B$16,Paramètres!$A$1:$I$89,5,0)</f>
        <v>219.58560000000017</v>
      </c>
      <c r="FG83" s="14">
        <f t="shared" si="101"/>
        <v>54.024808047218592</v>
      </c>
      <c r="FH83" s="22">
        <f t="shared" si="76"/>
        <v>476.5381273489059</v>
      </c>
      <c r="FI83" s="60">
        <f t="shared" si="77"/>
        <v>769.87146068223922</v>
      </c>
      <c r="FJ83" s="60">
        <f ca="1">AVERAGE(OFFSET($FI$3,0,0,'Données projet'!$E$16+1,1))-AVERAGE(OFFSET($H$3,0,0,'Données projet'!$E$16+1,1))</f>
        <v>219.61164494001008</v>
      </c>
      <c r="FK83" s="60">
        <f t="shared" si="102"/>
        <v>219.59799863414111</v>
      </c>
      <c r="FL83" s="16">
        <f>IF(ISNA(VLOOKUP(A83,'Données projet'!$A$217:$I$237,3,0)),0,VLOOKUP(A83,'Données projet'!$A$217:$I$237,3,0))</f>
        <v>8</v>
      </c>
      <c r="FM83" s="16">
        <f>IF(ISNA(VLOOKUP(A83,'Données projet'!$A$217:$I$237,4,0)),0,VLOOKUP(A83,'Données projet'!$A$217:$I$237,4,0))</f>
        <v>276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8.9743589743589727</v>
      </c>
      <c r="FZ83" s="13">
        <f>IF('Données projet'!$A$244&gt;35,FZ82+FY83-GH82,IF(A83&lt;'Données projet'!$A$244,$FW$205^A83,IF(A83='Données projet'!$A$244,'Données projet'!$B$244,FZ82+FY83-GH82)))</f>
        <v>320.25641025640994</v>
      </c>
      <c r="GA83" s="18">
        <f>FZ83*VLOOKUP('Données projet'!$B$17,Paramètres!$A$1:$I$89,3,0)*VLOOKUP('Données projet'!$B$17,Paramètres!$A$1:$I$89,5,0)</f>
        <v>149.87999999999985</v>
      </c>
      <c r="GB83" s="14">
        <f t="shared" si="103"/>
        <v>38.551313920160567</v>
      </c>
      <c r="GC83" s="22">
        <f t="shared" si="79"/>
        <v>328.18453841094606</v>
      </c>
      <c r="GD83" s="60">
        <f t="shared" si="80"/>
        <v>621.51787174427932</v>
      </c>
      <c r="GE83" s="60">
        <f ca="1">AVERAGE(OFFSET($GD$3,0,0,'Données projet'!$E$17+1,1))-AVERAGE(OFFSET($H$3,0,0,'Données projet'!$E$17+1,1))</f>
        <v>147.5699668214238</v>
      </c>
      <c r="GF83" s="60">
        <f t="shared" si="104"/>
        <v>70.653739864908346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>
        <f>GU83*VLOOKUP('Données projet'!$B$18,Paramètres!$A$1:$I$89,3,0)*VLOOKUP('Données projet'!$B$18,Paramètres!$A$1:$I$89,5,0)</f>
        <v>0</v>
      </c>
      <c r="GW83" s="14" t="e">
        <f t="shared" si="105"/>
        <v>#NUM!</v>
      </c>
      <c r="GX83" s="22" t="e">
        <f t="shared" si="82"/>
        <v>#NUM!</v>
      </c>
      <c r="GY83" s="60" t="e">
        <f t="shared" si="83"/>
        <v>#NUM!</v>
      </c>
      <c r="GZ83" s="60">
        <f ca="1">AVERAGE(OFFSET($GY$3,0,0,'Données projet'!$E$18+1,1))-AVERAGE(OFFSET($H$3,0,0,'Données projet'!$E$18+1,1))</f>
        <v>136.03899433512379</v>
      </c>
      <c r="HA83" s="60">
        <f t="shared" si="106"/>
        <v>316.56646692826882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27.740188570370432</v>
      </c>
      <c r="HH83" s="23">
        <f>EXP(-LN(2)/25)*HH82+(1-EXP(-LN(2)/25))/(LN(2)/25)*Calculateur!HC83*Calculateur!HE83*VLOOKUP('Données projet'!$B$18,Paramètres!$A$1:$I$89,3,0)*0.475*44/12</f>
        <v>2.5204337061602029</v>
      </c>
      <c r="HI83" s="23">
        <f>EXP(-LN(2)/2)*HI82+(1-EXP(-LN(2)/2))/(LN(2)/2)*HC83*HF83*VLOOKUP('Données projet'!$B$18,Paramètres!$A$1:$I$89,3,0)*0.475*44/12</f>
        <v>8.7133604302328622E-8</v>
      </c>
      <c r="HJ83" s="24">
        <f t="shared" si="84"/>
        <v>30.260622363664236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3.8</v>
      </c>
      <c r="N84" s="14">
        <f>IF('Données projet'!$A$36&gt;35,N83+M84-V83,IF(A84&lt;'Données projet'!$A$36,$K$205^A84,IF(A84='Données projet'!$A$36,'Données projet'!$B$36,N83+M84-V83)))</f>
        <v>323.8</v>
      </c>
      <c r="O84" s="14">
        <f>N84*VLOOKUP('Données projet'!$B$9,Paramètres!$A$1:$I$89,3,0)*VLOOKUP('Données projet'!$B$9,Paramètres!$A$1:$I$89,5,0)</f>
        <v>292.97424000000001</v>
      </c>
      <c r="P84" s="14">
        <f t="shared" si="87"/>
        <v>69.701569084730806</v>
      </c>
      <c r="Q84" s="22">
        <f t="shared" si="54"/>
        <v>631.66036748923955</v>
      </c>
      <c r="R84" s="60">
        <f t="shared" si="55"/>
        <v>924.99370082257292</v>
      </c>
      <c r="S84" s="60">
        <f ca="1">AVERAGE(OFFSET($R$3,0,0,'Données projet'!$E$9+1,1))-AVERAGE(OFFSET($H$3,0,0,'Données projet'!$E$9+1,1))</f>
        <v>384.44848355636935</v>
      </c>
      <c r="T84" s="60">
        <f t="shared" si="88"/>
        <v>203.5274665601915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222.21887999999993</v>
      </c>
      <c r="AK84" s="14">
        <f t="shared" si="89"/>
        <v>54.596866296848852</v>
      </c>
      <c r="AL84" s="22">
        <f t="shared" si="58"/>
        <v>482.12075813367829</v>
      </c>
      <c r="AM84" s="60">
        <f t="shared" si="59"/>
        <v>775.45409146701161</v>
      </c>
      <c r="AN84" s="60">
        <f ca="1">AVERAGE(OFFSET($AM$3,0,0,'Données projet'!$E$10+1,1))-AVERAGE(OFFSET($H$3,0,0,'Données projet'!$E$10+1,1))</f>
        <v>303.73499739059076</v>
      </c>
      <c r="AO84" s="60">
        <f t="shared" si="90"/>
        <v>172.32171001882188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3.8</v>
      </c>
      <c r="BD84" s="13">
        <f>IF('Données projet'!$A$88&gt;35,BD83+BC84-BL83,IF(A84&lt;'Données projet'!$A$88,$BA$205^A84,IF(A84='Données projet'!$A$88,'Données projet'!$B$88,BD83+BC84-BL83)))</f>
        <v>323.8</v>
      </c>
      <c r="BE84" s="14">
        <f>BD84*VLOOKUP('Données projet'!$B$11,Paramètres!$A$1:$I$89,3,0)*VLOOKUP('Données projet'!$B$11,Paramètres!$A$1:$I$89,5,0)</f>
        <v>272.76912000000004</v>
      </c>
      <c r="BF84" s="14">
        <f t="shared" si="91"/>
        <v>65.436596987299268</v>
      </c>
      <c r="BG84" s="22">
        <f t="shared" si="61"/>
        <v>589.04162375287956</v>
      </c>
      <c r="BH84" s="60">
        <f t="shared" si="62"/>
        <v>882.37495708621282</v>
      </c>
      <c r="BI84" s="60">
        <f ca="1">AVERAGE(OFFSET($BH$3,0,0,'Données projet'!$E$11+1,1))-AVERAGE(OFFSET($H$3,0,0,'Données projet'!$E$11+1,1))</f>
        <v>352.29660374042186</v>
      </c>
      <c r="BJ84" s="60">
        <f t="shared" si="92"/>
        <v>187.26439695305618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206.89343999999994</v>
      </c>
      <c r="CA84" s="14">
        <f t="shared" si="93"/>
        <v>51.256136462199102</v>
      </c>
      <c r="CB84" s="22">
        <f t="shared" si="64"/>
        <v>449.61051233832995</v>
      </c>
      <c r="CC84" s="60">
        <f t="shared" si="65"/>
        <v>742.94384567166321</v>
      </c>
      <c r="CD84" s="60">
        <f ca="1">AVERAGE(OFFSET($CC$3,0,0,'Données projet'!$E$12+1,1))-AVERAGE(OFFSET($H$3,0,0,'Données projet'!$E$12+1,1))</f>
        <v>277.03735509061545</v>
      </c>
      <c r="CE84" s="60">
        <f t="shared" si="94"/>
        <v>158.16416492761959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249.03839999999994</v>
      </c>
      <c r="CV84" s="14">
        <f t="shared" si="95"/>
        <v>60.379982523339947</v>
      </c>
      <c r="CW84" s="22">
        <f t="shared" si="67"/>
        <v>538.90368289481694</v>
      </c>
      <c r="CX84" s="60">
        <f t="shared" si="68"/>
        <v>832.2370162281502</v>
      </c>
      <c r="CY84" s="60">
        <f ca="1">AVERAGE(OFFSET($CX$3,0,0,'Données projet'!$E$13+1,1))-AVERAGE(OFFSET($H$3,0,0,'Données projet'!$E$13+1,1))</f>
        <v>350.3652766444938</v>
      </c>
      <c r="CZ84" s="60">
        <f t="shared" si="96"/>
        <v>197.04549436738586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3.4106051316484809E-13</v>
      </c>
      <c r="DP84" s="18">
        <f>DO84*VLOOKUP('Données projet'!$B$14,Paramètres!$A$1:$I$89,3,0)*VLOOKUP('Données projet'!$B$14,Paramètres!$A$1:$I$89,5,0)</f>
        <v>2.7134774427395314E-13</v>
      </c>
      <c r="DQ84" s="14">
        <f t="shared" si="97"/>
        <v>3.6292411711343559E-12</v>
      </c>
      <c r="DR84" s="22">
        <f t="shared" si="70"/>
        <v>6.7935256943361388E-12</v>
      </c>
      <c r="DS84" s="60">
        <f t="shared" si="71"/>
        <v>293.33333333334014</v>
      </c>
      <c r="DT84" s="60">
        <f ca="1">AVERAGE(OFFSET($DS$3,0,0,'Données projet'!$E$14+1,1))-AVERAGE(OFFSET($H$3,0,0,'Données projet'!$E$14+1,1))</f>
        <v>382.01991140382955</v>
      </c>
      <c r="DU84" s="60">
        <f t="shared" si="98"/>
        <v>389.53897948144339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323.92137573760789</v>
      </c>
      <c r="EP84" s="60">
        <f t="shared" si="100"/>
        <v>389.53897948144339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2.2737367544323206E-13</v>
      </c>
      <c r="FF84" s="18">
        <f>FE84*VLOOKUP('Données projet'!$B$16,Paramètres!$A$1:$I$89,3,0)*VLOOKUP('Données projet'!$B$16,Paramètres!$A$1:$I$89,5,0)</f>
        <v>1.8089849618263545E-13</v>
      </c>
      <c r="FG84" s="14">
        <f t="shared" si="101"/>
        <v>2.536422473342444E-12</v>
      </c>
      <c r="FH84" s="22">
        <f t="shared" si="76"/>
        <v>4.7326673552561798E-12</v>
      </c>
      <c r="FI84" s="60">
        <f t="shared" si="77"/>
        <v>293.33333333333803</v>
      </c>
      <c r="FJ84" s="60">
        <f ca="1">AVERAGE(OFFSET($FI$3,0,0,'Données projet'!$E$16+1,1))-AVERAGE(OFFSET($H$3,0,0,'Données projet'!$E$16+1,1))</f>
        <v>219.61164494001008</v>
      </c>
      <c r="FK84" s="60">
        <f t="shared" si="102"/>
        <v>219.59799863414111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8.9743589743589727</v>
      </c>
      <c r="FZ84" s="13">
        <f>IF('Données projet'!$A$244&gt;35,FZ83+FY84-GH83,IF(A84&lt;'Données projet'!$A$244,$FW$205^A84,IF(A84='Données projet'!$A$244,'Données projet'!$B$244,FZ83+FY84-GH83)))</f>
        <v>329.23076923076889</v>
      </c>
      <c r="GA84" s="18">
        <f>FZ84*VLOOKUP('Données projet'!$B$17,Paramètres!$A$1:$I$89,3,0)*VLOOKUP('Données projet'!$B$17,Paramètres!$A$1:$I$89,5,0)</f>
        <v>154.07999999999984</v>
      </c>
      <c r="GB84" s="14">
        <f t="shared" si="103"/>
        <v>39.504327121889887</v>
      </c>
      <c r="GC84" s="22">
        <f t="shared" si="79"/>
        <v>337.15936973729123</v>
      </c>
      <c r="GD84" s="60">
        <f t="shared" si="80"/>
        <v>630.49270307062454</v>
      </c>
      <c r="GE84" s="60">
        <f ca="1">AVERAGE(OFFSET($GD$3,0,0,'Données projet'!$E$17+1,1))-AVERAGE(OFFSET($H$3,0,0,'Données projet'!$E$17+1,1))</f>
        <v>147.5699668214238</v>
      </c>
      <c r="GF84" s="60">
        <f t="shared" si="104"/>
        <v>70.653739864908346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>
        <f>GU84*VLOOKUP('Données projet'!$B$18,Paramètres!$A$1:$I$89,3,0)*VLOOKUP('Données projet'!$B$18,Paramètres!$A$1:$I$89,5,0)</f>
        <v>0</v>
      </c>
      <c r="GW84" s="14" t="e">
        <f t="shared" si="105"/>
        <v>#NUM!</v>
      </c>
      <c r="GX84" s="22" t="e">
        <f t="shared" si="82"/>
        <v>#NUM!</v>
      </c>
      <c r="GY84" s="60" t="e">
        <f t="shared" si="83"/>
        <v>#NUM!</v>
      </c>
      <c r="GZ84" s="60">
        <f ca="1">AVERAGE(OFFSET($GY$3,0,0,'Données projet'!$E$18+1,1))-AVERAGE(OFFSET($H$3,0,0,'Données projet'!$E$18+1,1))</f>
        <v>136.03899433512379</v>
      </c>
      <c r="HA84" s="60">
        <f t="shared" si="106"/>
        <v>316.56646692826882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27.196220392349801</v>
      </c>
      <c r="HH84" s="23">
        <f>EXP(-LN(2)/25)*HH83+(1-EXP(-LN(2)/25))/(LN(2)/25)*Calculateur!HC84*Calculateur!HE84*VLOOKUP('Données projet'!$B$18,Paramètres!$A$1:$I$89,3,0)*0.475*44/12</f>
        <v>2.4515123139214041</v>
      </c>
      <c r="HI84" s="23">
        <f>EXP(-LN(2)/2)*HI83+(1-EXP(-LN(2)/2))/(LN(2)/2)*HC84*HF84*VLOOKUP('Données projet'!$B$18,Paramètres!$A$1:$I$89,3,0)*0.475*44/12</f>
        <v>6.1612762471401901E-8</v>
      </c>
      <c r="HJ84" s="24">
        <f t="shared" si="84"/>
        <v>29.647732767883969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3.8</v>
      </c>
      <c r="N85" s="14">
        <f>IF('Données projet'!$A$36&gt;35,N84+M85-V84,IF(A85&lt;'Données projet'!$A$36,$K$205^A85,IF(A85='Données projet'!$A$36,'Données projet'!$B$36,N84+M85-V84)))</f>
        <v>327.60000000000002</v>
      </c>
      <c r="O85" s="14">
        <f>N85*VLOOKUP('Données projet'!$B$9,Paramètres!$A$1:$I$89,3,0)*VLOOKUP('Données projet'!$B$9,Paramètres!$A$1:$I$89,5,0)</f>
        <v>296.41248000000002</v>
      </c>
      <c r="P85" s="14">
        <f t="shared" si="87"/>
        <v>70.423855708154761</v>
      </c>
      <c r="Q85" s="22">
        <f t="shared" si="54"/>
        <v>638.90661802503621</v>
      </c>
      <c r="R85" s="60">
        <f t="shared" si="55"/>
        <v>932.23995135836958</v>
      </c>
      <c r="S85" s="60">
        <f ca="1">AVERAGE(OFFSET($R$3,0,0,'Données projet'!$E$9+1,1))-AVERAGE(OFFSET($H$3,0,0,'Données projet'!$E$9+1,1))</f>
        <v>384.44848355636935</v>
      </c>
      <c r="T85" s="60">
        <f t="shared" si="88"/>
        <v>203.5274665601915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227.28575999999993</v>
      </c>
      <c r="AK85" s="14">
        <f t="shared" si="89"/>
        <v>55.695394520076327</v>
      </c>
      <c r="AL85" s="22">
        <f t="shared" si="58"/>
        <v>492.85884412246605</v>
      </c>
      <c r="AM85" s="60">
        <f t="shared" si="59"/>
        <v>786.19217745579931</v>
      </c>
      <c r="AN85" s="60">
        <f ca="1">AVERAGE(OFFSET($AM$3,0,0,'Données projet'!$E$10+1,1))-AVERAGE(OFFSET($H$3,0,0,'Données projet'!$E$10+1,1))</f>
        <v>303.73499739059076</v>
      </c>
      <c r="AO85" s="60">
        <f t="shared" si="90"/>
        <v>172.32171001882188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3.8</v>
      </c>
      <c r="BD85" s="13">
        <f>IF('Données projet'!$A$88&gt;35,BD84+BC85-BL84,IF(A85&lt;'Données projet'!$A$88,$BA$205^A85,IF(A85='Données projet'!$A$88,'Données projet'!$B$88,BD84+BC85-BL84)))</f>
        <v>327.60000000000002</v>
      </c>
      <c r="BE85" s="14">
        <f>BD85*VLOOKUP('Données projet'!$B$11,Paramètres!$A$1:$I$89,3,0)*VLOOKUP('Données projet'!$B$11,Paramètres!$A$1:$I$89,5,0)</f>
        <v>275.97024000000005</v>
      </c>
      <c r="BF85" s="14">
        <f t="shared" si="91"/>
        <v>66.114687585645129</v>
      </c>
      <c r="BG85" s="22">
        <f t="shared" si="61"/>
        <v>595.79791554499855</v>
      </c>
      <c r="BH85" s="60">
        <f t="shared" si="62"/>
        <v>889.13124887833192</v>
      </c>
      <c r="BI85" s="60">
        <f ca="1">AVERAGE(OFFSET($BH$3,0,0,'Données projet'!$E$11+1,1))-AVERAGE(OFFSET($H$3,0,0,'Données projet'!$E$11+1,1))</f>
        <v>352.29660374042186</v>
      </c>
      <c r="BJ85" s="60">
        <f t="shared" si="92"/>
        <v>187.26439695305618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211.61087999999995</v>
      </c>
      <c r="CA85" s="14">
        <f t="shared" si="93"/>
        <v>52.287446798055761</v>
      </c>
      <c r="CB85" s="22">
        <f t="shared" si="64"/>
        <v>459.62291917328042</v>
      </c>
      <c r="CC85" s="60">
        <f t="shared" si="65"/>
        <v>752.95625250661374</v>
      </c>
      <c r="CD85" s="60">
        <f ca="1">AVERAGE(OFFSET($CC$3,0,0,'Données projet'!$E$12+1,1))-AVERAGE(OFFSET($H$3,0,0,'Données projet'!$E$12+1,1))</f>
        <v>277.03735509061545</v>
      </c>
      <c r="CE85" s="60">
        <f t="shared" si="94"/>
        <v>158.16416492761959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254.71679999999992</v>
      </c>
      <c r="CV85" s="14">
        <f t="shared" si="95"/>
        <v>61.594871205031538</v>
      </c>
      <c r="CW85" s="22">
        <f t="shared" si="67"/>
        <v>550.9094940154298</v>
      </c>
      <c r="CX85" s="60">
        <f t="shared" si="68"/>
        <v>844.24282734876306</v>
      </c>
      <c r="CY85" s="60">
        <f ca="1">AVERAGE(OFFSET($CX$3,0,0,'Données projet'!$E$13+1,1))-AVERAGE(OFFSET($H$3,0,0,'Données projet'!$E$13+1,1))</f>
        <v>350.3652766444938</v>
      </c>
      <c r="CZ85" s="60">
        <f t="shared" si="96"/>
        <v>197.04549436738586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3.4106051316484809E-13</v>
      </c>
      <c r="DP85" s="18">
        <f>DO85*VLOOKUP('Données projet'!$B$14,Paramètres!$A$1:$I$89,3,0)*VLOOKUP('Données projet'!$B$14,Paramètres!$A$1:$I$89,5,0)</f>
        <v>2.7134774427395314E-13</v>
      </c>
      <c r="DQ85" s="14">
        <f t="shared" si="97"/>
        <v>3.6292411711343559E-12</v>
      </c>
      <c r="DR85" s="22">
        <f t="shared" si="70"/>
        <v>6.7935256943361388E-12</v>
      </c>
      <c r="DS85" s="60">
        <f t="shared" si="71"/>
        <v>293.33333333334014</v>
      </c>
      <c r="DT85" s="60">
        <f ca="1">AVERAGE(OFFSET($DS$3,0,0,'Données projet'!$E$14+1,1))-AVERAGE(OFFSET($H$3,0,0,'Données projet'!$E$14+1,1))</f>
        <v>382.01991140382955</v>
      </c>
      <c r="DU85" s="60">
        <f t="shared" si="98"/>
        <v>389.53897948144339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323.92137573760789</v>
      </c>
      <c r="EP85" s="60">
        <f t="shared" si="100"/>
        <v>389.53897948144339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2.2737367544323206E-13</v>
      </c>
      <c r="FF85" s="18">
        <f>FE85*VLOOKUP('Données projet'!$B$16,Paramètres!$A$1:$I$89,3,0)*VLOOKUP('Données projet'!$B$16,Paramètres!$A$1:$I$89,5,0)</f>
        <v>1.8089849618263545E-13</v>
      </c>
      <c r="FG85" s="14">
        <f t="shared" si="101"/>
        <v>2.536422473342444E-12</v>
      </c>
      <c r="FH85" s="22">
        <f t="shared" si="76"/>
        <v>4.7326673552561798E-12</v>
      </c>
      <c r="FI85" s="60">
        <f t="shared" si="77"/>
        <v>293.33333333333803</v>
      </c>
      <c r="FJ85" s="60">
        <f ca="1">AVERAGE(OFFSET($FI$3,0,0,'Données projet'!$E$16+1,1))-AVERAGE(OFFSET($H$3,0,0,'Données projet'!$E$16+1,1))</f>
        <v>219.61164494001008</v>
      </c>
      <c r="FK85" s="60">
        <f t="shared" si="102"/>
        <v>219.59799863414111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8.9743589743589727</v>
      </c>
      <c r="FZ85" s="13">
        <f>IF('Données projet'!$A$244&gt;35,FZ84+FY85-GH84,IF(A85&lt;'Données projet'!$A$244,$FW$205^A85,IF(A85='Données projet'!$A$244,'Données projet'!$B$244,FZ84+FY85-GH84)))</f>
        <v>338.20512820512783</v>
      </c>
      <c r="GA85" s="18">
        <f>FZ85*VLOOKUP('Données projet'!$B$17,Paramètres!$A$1:$I$89,3,0)*VLOOKUP('Données projet'!$B$17,Paramètres!$A$1:$I$89,5,0)</f>
        <v>158.27999999999983</v>
      </c>
      <c r="GB85" s="14">
        <f t="shared" si="103"/>
        <v>40.454320907632543</v>
      </c>
      <c r="GC85" s="22">
        <f t="shared" si="79"/>
        <v>346.12894224745969</v>
      </c>
      <c r="GD85" s="60">
        <f t="shared" si="80"/>
        <v>639.46227558079295</v>
      </c>
      <c r="GE85" s="60">
        <f ca="1">AVERAGE(OFFSET($GD$3,0,0,'Données projet'!$E$17+1,1))-AVERAGE(OFFSET($H$3,0,0,'Données projet'!$E$17+1,1))</f>
        <v>147.5699668214238</v>
      </c>
      <c r="GF85" s="60">
        <f t="shared" si="104"/>
        <v>70.653739864908346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>
        <f>GU85*VLOOKUP('Données projet'!$B$18,Paramètres!$A$1:$I$89,3,0)*VLOOKUP('Données projet'!$B$18,Paramètres!$A$1:$I$89,5,0)</f>
        <v>0</v>
      </c>
      <c r="GW85" s="14" t="e">
        <f t="shared" si="105"/>
        <v>#NUM!</v>
      </c>
      <c r="GX85" s="22" t="e">
        <f t="shared" si="82"/>
        <v>#NUM!</v>
      </c>
      <c r="GY85" s="60" t="e">
        <f t="shared" si="83"/>
        <v>#NUM!</v>
      </c>
      <c r="GZ85" s="60">
        <f ca="1">AVERAGE(OFFSET($GY$3,0,0,'Données projet'!$E$18+1,1))-AVERAGE(OFFSET($H$3,0,0,'Données projet'!$E$18+1,1))</f>
        <v>136.03899433512379</v>
      </c>
      <c r="HA85" s="60">
        <f t="shared" si="106"/>
        <v>316.56646692826882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26.662919098512326</v>
      </c>
      <c r="HH85" s="23">
        <f>EXP(-LN(2)/25)*HH84+(1-EXP(-LN(2)/25))/(LN(2)/25)*Calculateur!HC85*Calculateur!HE85*VLOOKUP('Données projet'!$B$18,Paramètres!$A$1:$I$89,3,0)*0.475*44/12</f>
        <v>2.3844755807777935</v>
      </c>
      <c r="HI85" s="23">
        <f>EXP(-LN(2)/2)*HI84+(1-EXP(-LN(2)/2))/(LN(2)/2)*HC85*HF85*VLOOKUP('Données projet'!$B$18,Paramètres!$A$1:$I$89,3,0)*0.475*44/12</f>
        <v>4.3566802151164311E-8</v>
      </c>
      <c r="HJ85" s="24">
        <f t="shared" si="84"/>
        <v>29.047394722856922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3.8</v>
      </c>
      <c r="N86" s="14">
        <f>IF('Données projet'!$A$36&gt;35,N85+M86-V85,IF(A86&lt;'Données projet'!$A$36,$K$205^A86,IF(A86='Données projet'!$A$36,'Données projet'!$B$36,N85+M86-V85)))</f>
        <v>331.40000000000003</v>
      </c>
      <c r="O86" s="14">
        <f>N86*VLOOKUP('Données projet'!$B$9,Paramètres!$A$1:$I$89,3,0)*VLOOKUP('Données projet'!$B$9,Paramètres!$A$1:$I$89,5,0)</f>
        <v>299.85072000000002</v>
      </c>
      <c r="P86" s="14">
        <f t="shared" si="87"/>
        <v>71.145167747304328</v>
      </c>
      <c r="Q86" s="22">
        <f t="shared" si="54"/>
        <v>646.15117115988835</v>
      </c>
      <c r="R86" s="60">
        <f t="shared" si="55"/>
        <v>939.48450449322172</v>
      </c>
      <c r="S86" s="60">
        <f ca="1">AVERAGE(OFFSET($R$3,0,0,'Données projet'!$E$9+1,1))-AVERAGE(OFFSET($H$3,0,0,'Données projet'!$E$9+1,1))</f>
        <v>384.44848355636935</v>
      </c>
      <c r="T86" s="60">
        <f t="shared" si="88"/>
        <v>203.5274665601915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232.35263999999989</v>
      </c>
      <c r="AK86" s="14">
        <f t="shared" si="89"/>
        <v>56.791075613550255</v>
      </c>
      <c r="AL86" s="22">
        <f t="shared" si="58"/>
        <v>503.59197136026643</v>
      </c>
      <c r="AM86" s="60">
        <f t="shared" si="59"/>
        <v>796.92530469359974</v>
      </c>
      <c r="AN86" s="60">
        <f ca="1">AVERAGE(OFFSET($AM$3,0,0,'Données projet'!$E$10+1,1))-AVERAGE(OFFSET($H$3,0,0,'Données projet'!$E$10+1,1))</f>
        <v>303.73499739059076</v>
      </c>
      <c r="AO86" s="60">
        <f t="shared" si="90"/>
        <v>172.32171001882188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3.8</v>
      </c>
      <c r="BD86" s="13">
        <f>IF('Données projet'!$A$88&gt;35,BD85+BC86-BL85,IF(A86&lt;'Données projet'!$A$88,$BA$205^A86,IF(A86='Données projet'!$A$88,'Données projet'!$B$88,BD85+BC86-BL85)))</f>
        <v>331.40000000000003</v>
      </c>
      <c r="BE86" s="14">
        <f>BD86*VLOOKUP('Données projet'!$B$11,Paramètres!$A$1:$I$89,3,0)*VLOOKUP('Données projet'!$B$11,Paramètres!$A$1:$I$89,5,0)</f>
        <v>279.17136000000005</v>
      </c>
      <c r="BF86" s="14">
        <f t="shared" si="91"/>
        <v>66.791863233592721</v>
      </c>
      <c r="BG86" s="22">
        <f t="shared" si="61"/>
        <v>602.55261379850742</v>
      </c>
      <c r="BH86" s="60">
        <f t="shared" si="62"/>
        <v>895.88594713184079</v>
      </c>
      <c r="BI86" s="60">
        <f ca="1">AVERAGE(OFFSET($BH$3,0,0,'Données projet'!$E$11+1,1))-AVERAGE(OFFSET($H$3,0,0,'Données projet'!$E$11+1,1))</f>
        <v>352.29660374042186</v>
      </c>
      <c r="BJ86" s="60">
        <f t="shared" si="92"/>
        <v>187.26439695305618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216.32831999999991</v>
      </c>
      <c r="CA86" s="14">
        <f t="shared" si="93"/>
        <v>53.316084217295149</v>
      </c>
      <c r="CB86" s="22">
        <f t="shared" si="64"/>
        <v>469.6306706784556</v>
      </c>
      <c r="CC86" s="60">
        <f t="shared" si="65"/>
        <v>762.96400401178892</v>
      </c>
      <c r="CD86" s="60">
        <f ca="1">AVERAGE(OFFSET($CC$3,0,0,'Données projet'!$E$12+1,1))-AVERAGE(OFFSET($H$3,0,0,'Données projet'!$E$12+1,1))</f>
        <v>277.03735509061545</v>
      </c>
      <c r="CE86" s="60">
        <f t="shared" si="94"/>
        <v>158.16416492761959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260.39519999999987</v>
      </c>
      <c r="CV86" s="14">
        <f t="shared" si="95"/>
        <v>62.806611177714331</v>
      </c>
      <c r="CW86" s="22">
        <f t="shared" si="67"/>
        <v>562.90982113451889</v>
      </c>
      <c r="CX86" s="60">
        <f t="shared" si="68"/>
        <v>856.24315446785226</v>
      </c>
      <c r="CY86" s="60">
        <f ca="1">AVERAGE(OFFSET($CX$3,0,0,'Données projet'!$E$13+1,1))-AVERAGE(OFFSET($H$3,0,0,'Données projet'!$E$13+1,1))</f>
        <v>350.3652766444938</v>
      </c>
      <c r="CZ86" s="60">
        <f t="shared" si="96"/>
        <v>197.04549436738586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3.4106051316484809E-13</v>
      </c>
      <c r="DP86" s="18">
        <f>DO86*VLOOKUP('Données projet'!$B$14,Paramètres!$A$1:$I$89,3,0)*VLOOKUP('Données projet'!$B$14,Paramètres!$A$1:$I$89,5,0)</f>
        <v>2.7134774427395314E-13</v>
      </c>
      <c r="DQ86" s="14">
        <f t="shared" si="97"/>
        <v>3.6292411711343559E-12</v>
      </c>
      <c r="DR86" s="22">
        <f t="shared" si="70"/>
        <v>6.7935256943361388E-12</v>
      </c>
      <c r="DS86" s="60">
        <f t="shared" si="71"/>
        <v>293.33333333334014</v>
      </c>
      <c r="DT86" s="60">
        <f ca="1">AVERAGE(OFFSET($DS$3,0,0,'Données projet'!$E$14+1,1))-AVERAGE(OFFSET($H$3,0,0,'Données projet'!$E$14+1,1))</f>
        <v>382.01991140382955</v>
      </c>
      <c r="DU86" s="60">
        <f t="shared" si="98"/>
        <v>389.53897948144339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323.92137573760789</v>
      </c>
      <c r="EP86" s="60">
        <f t="shared" si="100"/>
        <v>389.53897948144339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2.2737367544323206E-13</v>
      </c>
      <c r="FF86" s="18">
        <f>FE86*VLOOKUP('Données projet'!$B$16,Paramètres!$A$1:$I$89,3,0)*VLOOKUP('Données projet'!$B$16,Paramètres!$A$1:$I$89,5,0)</f>
        <v>1.8089849618263545E-13</v>
      </c>
      <c r="FG86" s="14">
        <f t="shared" si="101"/>
        <v>2.536422473342444E-12</v>
      </c>
      <c r="FH86" s="22">
        <f t="shared" si="76"/>
        <v>4.7326673552561798E-12</v>
      </c>
      <c r="FI86" s="60">
        <f t="shared" si="77"/>
        <v>293.33333333333803</v>
      </c>
      <c r="FJ86" s="60">
        <f ca="1">AVERAGE(OFFSET($FI$3,0,0,'Données projet'!$E$16+1,1))-AVERAGE(OFFSET($H$3,0,0,'Données projet'!$E$16+1,1))</f>
        <v>219.61164494001008</v>
      </c>
      <c r="FK86" s="60">
        <f t="shared" si="102"/>
        <v>219.59799863414111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8.9743589743589727</v>
      </c>
      <c r="FZ86" s="13">
        <f>IF('Données projet'!$A$244&gt;35,FZ85+FY86-GH85,IF(A86&lt;'Données projet'!$A$244,$FW$205^A86,IF(A86='Données projet'!$A$244,'Données projet'!$B$244,FZ85+FY86-GH85)))</f>
        <v>347.17948717948678</v>
      </c>
      <c r="GA86" s="18">
        <f>FZ86*VLOOKUP('Données projet'!$B$17,Paramètres!$A$1:$I$89,3,0)*VLOOKUP('Données projet'!$B$17,Paramètres!$A$1:$I$89,5,0)</f>
        <v>162.47999999999982</v>
      </c>
      <c r="GB86" s="14">
        <f t="shared" si="103"/>
        <v>41.401384607667218</v>
      </c>
      <c r="GC86" s="22">
        <f t="shared" si="79"/>
        <v>355.09341152502003</v>
      </c>
      <c r="GD86" s="60">
        <f t="shared" si="80"/>
        <v>648.42674485835335</v>
      </c>
      <c r="GE86" s="60">
        <f ca="1">AVERAGE(OFFSET($GD$3,0,0,'Données projet'!$E$17+1,1))-AVERAGE(OFFSET($H$3,0,0,'Données projet'!$E$17+1,1))</f>
        <v>147.5699668214238</v>
      </c>
      <c r="GF86" s="60">
        <f t="shared" si="104"/>
        <v>70.653739864908346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>
        <f>GU86*VLOOKUP('Données projet'!$B$18,Paramètres!$A$1:$I$89,3,0)*VLOOKUP('Données projet'!$B$18,Paramètres!$A$1:$I$89,5,0)</f>
        <v>0</v>
      </c>
      <c r="GW86" s="14" t="e">
        <f t="shared" si="105"/>
        <v>#NUM!</v>
      </c>
      <c r="GX86" s="22" t="e">
        <f t="shared" si="82"/>
        <v>#NUM!</v>
      </c>
      <c r="GY86" s="60" t="e">
        <f t="shared" si="83"/>
        <v>#NUM!</v>
      </c>
      <c r="GZ86" s="60">
        <f ca="1">AVERAGE(OFFSET($GY$3,0,0,'Données projet'!$E$18+1,1))-AVERAGE(OFFSET($H$3,0,0,'Données projet'!$E$18+1,1))</f>
        <v>136.03899433512379</v>
      </c>
      <c r="HA86" s="60">
        <f t="shared" si="106"/>
        <v>316.56646692826882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26.140075517765332</v>
      </c>
      <c r="HH86" s="23">
        <f>EXP(-LN(2)/25)*HH85+(1-EXP(-LN(2)/25))/(LN(2)/25)*Calculateur!HC86*Calculateur!HE86*VLOOKUP('Données projet'!$B$18,Paramètres!$A$1:$I$89,3,0)*0.475*44/12</f>
        <v>2.3192719706273039</v>
      </c>
      <c r="HI86" s="23">
        <f>EXP(-LN(2)/2)*HI85+(1-EXP(-LN(2)/2))/(LN(2)/2)*HC86*HF86*VLOOKUP('Données projet'!$B$18,Paramètres!$A$1:$I$89,3,0)*0.475*44/12</f>
        <v>3.080638123570095E-8</v>
      </c>
      <c r="HJ86" s="24">
        <f t="shared" si="84"/>
        <v>28.459347519199017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3.8</v>
      </c>
      <c r="N87" s="14">
        <f>IF('Données projet'!$A$36&gt;35,N86+M87-V86,IF(A87&lt;'Données projet'!$A$36,$K$205^A87,IF(A87='Données projet'!$A$36,'Données projet'!$B$36,N86+M87-V86)))</f>
        <v>335.20000000000005</v>
      </c>
      <c r="O87" s="14">
        <f>N87*VLOOKUP('Données projet'!$B$9,Paramètres!$A$1:$I$89,3,0)*VLOOKUP('Données projet'!$B$9,Paramètres!$A$1:$I$89,5,0)</f>
        <v>303.28896000000003</v>
      </c>
      <c r="P87" s="14">
        <f t="shared" si="87"/>
        <v>71.865517670261696</v>
      </c>
      <c r="Q87" s="22">
        <f t="shared" si="54"/>
        <v>653.39404860903915</v>
      </c>
      <c r="R87" s="60">
        <f t="shared" si="55"/>
        <v>946.7273819423724</v>
      </c>
      <c r="S87" s="60">
        <f ca="1">AVERAGE(OFFSET($R$3,0,0,'Données projet'!$E$9+1,1))-AVERAGE(OFFSET($H$3,0,0,'Données projet'!$E$9+1,1))</f>
        <v>384.44848355636935</v>
      </c>
      <c r="T87" s="60">
        <f t="shared" si="88"/>
        <v>203.5274665601915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237.41951999999992</v>
      </c>
      <c r="AK87" s="14">
        <f t="shared" si="89"/>
        <v>57.883978814320919</v>
      </c>
      <c r="AL87" s="22">
        <f t="shared" si="58"/>
        <v>514.32026043494204</v>
      </c>
      <c r="AM87" s="60">
        <f t="shared" si="59"/>
        <v>807.65359376827541</v>
      </c>
      <c r="AN87" s="60">
        <f ca="1">AVERAGE(OFFSET($AM$3,0,0,'Données projet'!$E$10+1,1))-AVERAGE(OFFSET($H$3,0,0,'Données projet'!$E$10+1,1))</f>
        <v>303.73499739059076</v>
      </c>
      <c r="AO87" s="60">
        <f t="shared" si="90"/>
        <v>172.32171001882188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3.8</v>
      </c>
      <c r="BD87" s="13">
        <f>IF('Données projet'!$A$88&gt;35,BD86+BC87-BL86,IF(A87&lt;'Données projet'!$A$88,$BA$205^A87,IF(A87='Données projet'!$A$88,'Données projet'!$B$88,BD86+BC87-BL86)))</f>
        <v>335.20000000000005</v>
      </c>
      <c r="BE87" s="14">
        <f>BD87*VLOOKUP('Données projet'!$B$11,Paramètres!$A$1:$I$89,3,0)*VLOOKUP('Données projet'!$B$11,Paramètres!$A$1:$I$89,5,0)</f>
        <v>282.37248000000005</v>
      </c>
      <c r="BF87" s="14">
        <f t="shared" si="91"/>
        <v>67.468135636314216</v>
      </c>
      <c r="BG87" s="22">
        <f t="shared" si="61"/>
        <v>609.30573889991399</v>
      </c>
      <c r="BH87" s="60">
        <f t="shared" si="62"/>
        <v>902.63907223324736</v>
      </c>
      <c r="BI87" s="60">
        <f ca="1">AVERAGE(OFFSET($BH$3,0,0,'Données projet'!$E$11+1,1))-AVERAGE(OFFSET($H$3,0,0,'Données projet'!$E$11+1,1))</f>
        <v>352.29660374042186</v>
      </c>
      <c r="BJ87" s="60">
        <f t="shared" si="92"/>
        <v>187.26439695305618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221.04575999999997</v>
      </c>
      <c r="CA87" s="14">
        <f t="shared" si="93"/>
        <v>54.342113720419057</v>
      </c>
      <c r="CB87" s="22">
        <f t="shared" si="64"/>
        <v>479.63388006306309</v>
      </c>
      <c r="CC87" s="60">
        <f t="shared" si="65"/>
        <v>772.96721339639635</v>
      </c>
      <c r="CD87" s="60">
        <f ca="1">AVERAGE(OFFSET($CC$3,0,0,'Données projet'!$E$12+1,1))-AVERAGE(OFFSET($H$3,0,0,'Données projet'!$E$12+1,1))</f>
        <v>277.03735509061545</v>
      </c>
      <c r="CE87" s="60">
        <f t="shared" si="94"/>
        <v>158.16416492761959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266.07359999999994</v>
      </c>
      <c r="CV87" s="14">
        <f t="shared" si="95"/>
        <v>64.015279012301136</v>
      </c>
      <c r="CW87" s="22">
        <f t="shared" si="67"/>
        <v>574.90479761309098</v>
      </c>
      <c r="CX87" s="60">
        <f t="shared" si="68"/>
        <v>868.23813094642423</v>
      </c>
      <c r="CY87" s="60">
        <f ca="1">AVERAGE(OFFSET($CX$3,0,0,'Données projet'!$E$13+1,1))-AVERAGE(OFFSET($H$3,0,0,'Données projet'!$E$13+1,1))</f>
        <v>350.3652766444938</v>
      </c>
      <c r="CZ87" s="60">
        <f t="shared" si="96"/>
        <v>197.04549436738586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3.4106051316484809E-13</v>
      </c>
      <c r="DP87" s="18">
        <f>DO87*VLOOKUP('Données projet'!$B$14,Paramètres!$A$1:$I$89,3,0)*VLOOKUP('Données projet'!$B$14,Paramètres!$A$1:$I$89,5,0)</f>
        <v>2.7134774427395314E-13</v>
      </c>
      <c r="DQ87" s="14">
        <f t="shared" si="97"/>
        <v>3.6292411711343559E-12</v>
      </c>
      <c r="DR87" s="22">
        <f t="shared" si="70"/>
        <v>6.7935256943361388E-12</v>
      </c>
      <c r="DS87" s="60">
        <f t="shared" si="71"/>
        <v>293.33333333334014</v>
      </c>
      <c r="DT87" s="60">
        <f ca="1">AVERAGE(OFFSET($DS$3,0,0,'Données projet'!$E$14+1,1))-AVERAGE(OFFSET($H$3,0,0,'Données projet'!$E$14+1,1))</f>
        <v>382.01991140382955</v>
      </c>
      <c r="DU87" s="60">
        <f t="shared" si="98"/>
        <v>389.53897948144339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323.92137573760789</v>
      </c>
      <c r="EP87" s="60">
        <f t="shared" si="100"/>
        <v>389.53897948144339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2.2737367544323206E-13</v>
      </c>
      <c r="FF87" s="18">
        <f>FE87*VLOOKUP('Données projet'!$B$16,Paramètres!$A$1:$I$89,3,0)*VLOOKUP('Données projet'!$B$16,Paramètres!$A$1:$I$89,5,0)</f>
        <v>1.8089849618263545E-13</v>
      </c>
      <c r="FG87" s="14">
        <f t="shared" si="101"/>
        <v>2.536422473342444E-12</v>
      </c>
      <c r="FH87" s="22">
        <f t="shared" si="76"/>
        <v>4.7326673552561798E-12</v>
      </c>
      <c r="FI87" s="60">
        <f t="shared" si="77"/>
        <v>293.33333333333803</v>
      </c>
      <c r="FJ87" s="60">
        <f ca="1">AVERAGE(OFFSET($FI$3,0,0,'Données projet'!$E$16+1,1))-AVERAGE(OFFSET($H$3,0,0,'Données projet'!$E$16+1,1))</f>
        <v>219.61164494001008</v>
      </c>
      <c r="FK87" s="60">
        <f t="shared" si="102"/>
        <v>219.59799863414111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8.9743589743589727</v>
      </c>
      <c r="FZ87" s="13">
        <f>IF('Données projet'!$A$244&gt;35,FZ86+FY87-GH86,IF(A87&lt;'Données projet'!$A$244,$FW$205^A87,IF(A87='Données projet'!$A$244,'Données projet'!$B$244,FZ86+FY87-GH86)))</f>
        <v>356.15384615384573</v>
      </c>
      <c r="GA87" s="18">
        <f>FZ87*VLOOKUP('Données projet'!$B$17,Paramètres!$A$1:$I$89,3,0)*VLOOKUP('Données projet'!$B$17,Paramètres!$A$1:$I$89,5,0)</f>
        <v>166.67999999999981</v>
      </c>
      <c r="GB87" s="14">
        <f t="shared" si="103"/>
        <v>42.345602670937915</v>
      </c>
      <c r="GC87" s="22">
        <f t="shared" si="79"/>
        <v>364.05292465188319</v>
      </c>
      <c r="GD87" s="60">
        <f t="shared" si="80"/>
        <v>657.3862579852165</v>
      </c>
      <c r="GE87" s="60">
        <f ca="1">AVERAGE(OFFSET($GD$3,0,0,'Données projet'!$E$17+1,1))-AVERAGE(OFFSET($H$3,0,0,'Données projet'!$E$17+1,1))</f>
        <v>147.5699668214238</v>
      </c>
      <c r="GF87" s="60">
        <f t="shared" si="104"/>
        <v>70.653739864908346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>
        <f>GU87*VLOOKUP('Données projet'!$B$18,Paramètres!$A$1:$I$89,3,0)*VLOOKUP('Données projet'!$B$18,Paramètres!$A$1:$I$89,5,0)</f>
        <v>0</v>
      </c>
      <c r="GW87" s="14" t="e">
        <f t="shared" si="105"/>
        <v>#NUM!</v>
      </c>
      <c r="GX87" s="22" t="e">
        <f t="shared" si="82"/>
        <v>#NUM!</v>
      </c>
      <c r="GY87" s="60" t="e">
        <f t="shared" si="83"/>
        <v>#NUM!</v>
      </c>
      <c r="GZ87" s="60">
        <f ca="1">AVERAGE(OFFSET($GY$3,0,0,'Données projet'!$E$18+1,1))-AVERAGE(OFFSET($H$3,0,0,'Données projet'!$E$18+1,1))</f>
        <v>136.03899433512379</v>
      </c>
      <c r="HA87" s="60">
        <f t="shared" si="106"/>
        <v>316.56646692826882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25.627484580733693</v>
      </c>
      <c r="HH87" s="23">
        <f>EXP(-LN(2)/25)*HH86+(1-EXP(-LN(2)/25))/(LN(2)/25)*Calculateur!HC87*Calculateur!HE87*VLOOKUP('Données projet'!$B$18,Paramètres!$A$1:$I$89,3,0)*0.475*44/12</f>
        <v>2.2558513566252882</v>
      </c>
      <c r="HI87" s="23">
        <f>EXP(-LN(2)/2)*HI86+(1-EXP(-LN(2)/2))/(LN(2)/2)*HC87*HF87*VLOOKUP('Données projet'!$B$18,Paramètres!$A$1:$I$89,3,0)*0.475*44/12</f>
        <v>2.1783401075582155E-8</v>
      </c>
      <c r="HJ87" s="24">
        <f t="shared" si="84"/>
        <v>27.883335959142382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3.8</v>
      </c>
      <c r="N88" s="14">
        <f>IF('Données projet'!$A$36&gt;35,N87+M88-V87,IF(A88&lt;'Données projet'!$A$36,$K$205^A88,IF(A88='Données projet'!$A$36,'Données projet'!$B$36,N87+M88-V87)))</f>
        <v>339.00000000000006</v>
      </c>
      <c r="O88" s="14">
        <f>N88*VLOOKUP('Données projet'!$B$9,Paramètres!$A$1:$I$89,3,0)*VLOOKUP('Données projet'!$B$9,Paramètres!$A$1:$I$89,5,0)</f>
        <v>306.72720000000004</v>
      </c>
      <c r="P88" s="14">
        <f t="shared" si="87"/>
        <v>72.584917646145641</v>
      </c>
      <c r="Q88" s="22">
        <f t="shared" si="54"/>
        <v>660.63527156703708</v>
      </c>
      <c r="R88" s="60">
        <f t="shared" si="55"/>
        <v>953.96860490037034</v>
      </c>
      <c r="S88" s="60">
        <f ca="1">AVERAGE(OFFSET($R$3,0,0,'Données projet'!$E$9+1,1))-AVERAGE(OFFSET($H$3,0,0,'Données projet'!$E$9+1,1))</f>
        <v>384.44848355636935</v>
      </c>
      <c r="T88" s="60">
        <f t="shared" si="88"/>
        <v>203.5274665601915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242.48639999999995</v>
      </c>
      <c r="AK88" s="14">
        <f t="shared" si="89"/>
        <v>58.974170235372419</v>
      </c>
      <c r="AL88" s="22">
        <f t="shared" si="58"/>
        <v>525.04382649327351</v>
      </c>
      <c r="AM88" s="60">
        <f t="shared" si="59"/>
        <v>818.37715982660688</v>
      </c>
      <c r="AN88" s="60">
        <f ca="1">AVERAGE(OFFSET($AM$3,0,0,'Données projet'!$E$10+1,1))-AVERAGE(OFFSET($H$3,0,0,'Données projet'!$E$10+1,1))</f>
        <v>303.73499739059076</v>
      </c>
      <c r="AO88" s="60">
        <f t="shared" si="90"/>
        <v>172.32171001882188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3.8</v>
      </c>
      <c r="BD88" s="13">
        <f>IF('Données projet'!$A$88&gt;35,BD87+BC88-BL87,IF(A88&lt;'Données projet'!$A$88,$BA$205^A88,IF(A88='Données projet'!$A$88,'Données projet'!$B$88,BD87+BC88-BL87)))</f>
        <v>339.00000000000006</v>
      </c>
      <c r="BE88" s="14">
        <f>BD88*VLOOKUP('Données projet'!$B$11,Paramètres!$A$1:$I$89,3,0)*VLOOKUP('Données projet'!$B$11,Paramètres!$A$1:$I$89,5,0)</f>
        <v>285.57360000000006</v>
      </c>
      <c r="BF88" s="14">
        <f t="shared" si="91"/>
        <v>68.143516218311802</v>
      </c>
      <c r="BG88" s="22">
        <f t="shared" si="61"/>
        <v>616.05731074689311</v>
      </c>
      <c r="BH88" s="60">
        <f t="shared" si="62"/>
        <v>909.39064408022637</v>
      </c>
      <c r="BI88" s="60">
        <f ca="1">AVERAGE(OFFSET($BH$3,0,0,'Données projet'!$E$11+1,1))-AVERAGE(OFFSET($H$3,0,0,'Données projet'!$E$11+1,1))</f>
        <v>352.29660374042186</v>
      </c>
      <c r="BJ88" s="60">
        <f t="shared" si="92"/>
        <v>187.26439695305618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225.76319999999996</v>
      </c>
      <c r="CA88" s="14">
        <f t="shared" si="93"/>
        <v>55.365597375021402</v>
      </c>
      <c r="CB88" s="22">
        <f t="shared" si="64"/>
        <v>489.6326554281622</v>
      </c>
      <c r="CC88" s="60">
        <f t="shared" si="65"/>
        <v>782.96598876149551</v>
      </c>
      <c r="CD88" s="60">
        <f ca="1">AVERAGE(OFFSET($CC$3,0,0,'Données projet'!$E$12+1,1))-AVERAGE(OFFSET($H$3,0,0,'Données projet'!$E$12+1,1))</f>
        <v>277.03735509061545</v>
      </c>
      <c r="CE88" s="60">
        <f t="shared" si="94"/>
        <v>158.16416492761959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271.75199999999995</v>
      </c>
      <c r="CV88" s="14">
        <f t="shared" si="95"/>
        <v>65.220947824724931</v>
      </c>
      <c r="CW88" s="22">
        <f t="shared" si="67"/>
        <v>586.89455079472907</v>
      </c>
      <c r="CX88" s="60">
        <f t="shared" si="68"/>
        <v>880.22788412806244</v>
      </c>
      <c r="CY88" s="60">
        <f ca="1">AVERAGE(OFFSET($CX$3,0,0,'Données projet'!$E$13+1,1))-AVERAGE(OFFSET($H$3,0,0,'Données projet'!$E$13+1,1))</f>
        <v>350.3652766444938</v>
      </c>
      <c r="CZ88" s="60">
        <f t="shared" si="96"/>
        <v>197.04549436738586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3.4106051316484809E-13</v>
      </c>
      <c r="DP88" s="18">
        <f>DO88*VLOOKUP('Données projet'!$B$14,Paramètres!$A$1:$I$89,3,0)*VLOOKUP('Données projet'!$B$14,Paramètres!$A$1:$I$89,5,0)</f>
        <v>2.7134774427395314E-13</v>
      </c>
      <c r="DQ88" s="14">
        <f t="shared" si="97"/>
        <v>3.6292411711343559E-12</v>
      </c>
      <c r="DR88" s="22">
        <f t="shared" si="70"/>
        <v>6.7935256943361388E-12</v>
      </c>
      <c r="DS88" s="60">
        <f t="shared" si="71"/>
        <v>293.33333333334014</v>
      </c>
      <c r="DT88" s="60">
        <f ca="1">AVERAGE(OFFSET($DS$3,0,0,'Données projet'!$E$14+1,1))-AVERAGE(OFFSET($H$3,0,0,'Données projet'!$E$14+1,1))</f>
        <v>382.01991140382955</v>
      </c>
      <c r="DU88" s="60">
        <f t="shared" si="98"/>
        <v>389.53897948144339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323.92137573760789</v>
      </c>
      <c r="EP88" s="60">
        <f t="shared" si="100"/>
        <v>389.53897948144339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2.2737367544323206E-13</v>
      </c>
      <c r="FF88" s="18">
        <f>FE88*VLOOKUP('Données projet'!$B$16,Paramètres!$A$1:$I$89,3,0)*VLOOKUP('Données projet'!$B$16,Paramètres!$A$1:$I$89,5,0)</f>
        <v>1.8089849618263545E-13</v>
      </c>
      <c r="FG88" s="14">
        <f t="shared" si="101"/>
        <v>2.536422473342444E-12</v>
      </c>
      <c r="FH88" s="22">
        <f t="shared" si="76"/>
        <v>4.7326673552561798E-12</v>
      </c>
      <c r="FI88" s="60">
        <f t="shared" si="77"/>
        <v>293.33333333333803</v>
      </c>
      <c r="FJ88" s="60">
        <f ca="1">AVERAGE(OFFSET($FI$3,0,0,'Données projet'!$E$16+1,1))-AVERAGE(OFFSET($H$3,0,0,'Données projet'!$E$16+1,1))</f>
        <v>219.61164494001008</v>
      </c>
      <c r="FK88" s="60">
        <f t="shared" si="102"/>
        <v>219.59799863414111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8.9743589743589727</v>
      </c>
      <c r="FZ88" s="13">
        <f>IF('Données projet'!$A$244&gt;35,FZ87+FY88-GH87,IF(A88&lt;'Données projet'!$A$244,$FW$205^A88,IF(A88='Données projet'!$A$244,'Données projet'!$B$244,FZ87+FY88-GH87)))</f>
        <v>365.12820512820468</v>
      </c>
      <c r="GA88" s="18">
        <f>FZ88*VLOOKUP('Données projet'!$B$17,Paramètres!$A$1:$I$89,3,0)*VLOOKUP('Données projet'!$B$17,Paramètres!$A$1:$I$89,5,0)</f>
        <v>170.8799999999998</v>
      </c>
      <c r="GB88" s="14">
        <f t="shared" si="103"/>
        <v>43.287055047972629</v>
      </c>
      <c r="GC88" s="22">
        <f t="shared" si="79"/>
        <v>373.00762087521866</v>
      </c>
      <c r="GD88" s="60">
        <f t="shared" si="80"/>
        <v>666.34095420855192</v>
      </c>
      <c r="GE88" s="60">
        <f ca="1">AVERAGE(OFFSET($GD$3,0,0,'Données projet'!$E$17+1,1))-AVERAGE(OFFSET($H$3,0,0,'Données projet'!$E$17+1,1))</f>
        <v>147.5699668214238</v>
      </c>
      <c r="GF88" s="60">
        <f t="shared" si="104"/>
        <v>70.653739864908346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>
        <f>GU88*VLOOKUP('Données projet'!$B$18,Paramètres!$A$1:$I$89,3,0)*VLOOKUP('Données projet'!$B$18,Paramètres!$A$1:$I$89,5,0)</f>
        <v>0</v>
      </c>
      <c r="GW88" s="14" t="e">
        <f t="shared" si="105"/>
        <v>#NUM!</v>
      </c>
      <c r="GX88" s="22" t="e">
        <f t="shared" si="82"/>
        <v>#NUM!</v>
      </c>
      <c r="GY88" s="60" t="e">
        <f t="shared" si="83"/>
        <v>#NUM!</v>
      </c>
      <c r="GZ88" s="60">
        <f ca="1">AVERAGE(OFFSET($GY$3,0,0,'Données projet'!$E$18+1,1))-AVERAGE(OFFSET($H$3,0,0,'Données projet'!$E$18+1,1))</f>
        <v>136.03899433512379</v>
      </c>
      <c r="HA88" s="60">
        <f t="shared" si="106"/>
        <v>316.56646692826882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25.124945239327644</v>
      </c>
      <c r="HH88" s="23">
        <f>EXP(-LN(2)/25)*HH87+(1-EXP(-LN(2)/25))/(LN(2)/25)*Calculateur!HC88*Calculateur!HE88*VLOOKUP('Données projet'!$B$18,Paramètres!$A$1:$I$89,3,0)*0.475*44/12</f>
        <v>2.1941649826483025</v>
      </c>
      <c r="HI88" s="23">
        <f>EXP(-LN(2)/2)*HI87+(1-EXP(-LN(2)/2))/(LN(2)/2)*HC88*HF88*VLOOKUP('Données projet'!$B$18,Paramètres!$A$1:$I$89,3,0)*0.475*44/12</f>
        <v>1.5403190617850475E-8</v>
      </c>
      <c r="HJ88" s="24">
        <f t="shared" si="84"/>
        <v>27.319110237379139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</v>
      </c>
      <c r="N89" s="14">
        <f>IF('Données projet'!$A$36&gt;35,N88+M89-V88,IF(A89&lt;'Données projet'!$A$36,$K$205^A89,IF(A89='Données projet'!$A$36,'Données projet'!$B$36,N88+M89-V88)))</f>
        <v>342.80000000000007</v>
      </c>
      <c r="O89" s="14">
        <f>N89*VLOOKUP('Données projet'!$B$9,Paramètres!$A$1:$I$89,3,0)*VLOOKUP('Données projet'!$B$9,Paramètres!$A$1:$I$89,5,0)</f>
        <v>310.16544000000005</v>
      </c>
      <c r="P89" s="14">
        <f t="shared" si="87"/>
        <v>73.303379555549114</v>
      </c>
      <c r="Q89" s="22">
        <f t="shared" si="54"/>
        <v>667.87486072591469</v>
      </c>
      <c r="R89" s="60">
        <f t="shared" si="55"/>
        <v>961.20819405924794</v>
      </c>
      <c r="S89" s="60">
        <f ca="1">AVERAGE(OFFSET($R$3,0,0,'Données projet'!$E$9+1,1))-AVERAGE(OFFSET($H$3,0,0,'Données projet'!$E$9+1,1))</f>
        <v>384.44848355636935</v>
      </c>
      <c r="T89" s="60">
        <f t="shared" si="88"/>
        <v>203.5274665601915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247.55327999999994</v>
      </c>
      <c r="AK89" s="14">
        <f t="shared" si="89"/>
        <v>60.061713068870255</v>
      </c>
      <c r="AL89" s="22">
        <f t="shared" si="58"/>
        <v>535.76277959494894</v>
      </c>
      <c r="AM89" s="60">
        <f t="shared" si="59"/>
        <v>829.09611292828231</v>
      </c>
      <c r="AN89" s="60">
        <f ca="1">AVERAGE(OFFSET($AM$3,0,0,'Données projet'!$E$10+1,1))-AVERAGE(OFFSET($H$3,0,0,'Données projet'!$E$10+1,1))</f>
        <v>303.73499739059076</v>
      </c>
      <c r="AO89" s="60">
        <f t="shared" si="90"/>
        <v>172.32171001882188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</v>
      </c>
      <c r="BD89" s="13">
        <f>IF('Données projet'!$A$88&gt;35,BD88+BC89-BL88,IF(A89&lt;'Données projet'!$A$88,$BA$205^A89,IF(A89='Données projet'!$A$88,'Données projet'!$B$88,BD88+BC89-BL88)))</f>
        <v>342.80000000000007</v>
      </c>
      <c r="BE89" s="14">
        <f>BD89*VLOOKUP('Données projet'!$B$11,Paramètres!$A$1:$I$89,3,0)*VLOOKUP('Données projet'!$B$11,Paramètres!$A$1:$I$89,5,0)</f>
        <v>288.77472000000012</v>
      </c>
      <c r="BF89" s="14">
        <f t="shared" si="91"/>
        <v>68.818016133216361</v>
      </c>
      <c r="BG89" s="22">
        <f t="shared" si="61"/>
        <v>622.807348765352</v>
      </c>
      <c r="BH89" s="60">
        <f t="shared" si="62"/>
        <v>916.14068209868537</v>
      </c>
      <c r="BI89" s="60">
        <f ca="1">AVERAGE(OFFSET($BH$3,0,0,'Données projet'!$E$11+1,1))-AVERAGE(OFFSET($H$3,0,0,'Données projet'!$E$11+1,1))</f>
        <v>352.29660374042186</v>
      </c>
      <c r="BJ89" s="60">
        <f t="shared" si="92"/>
        <v>187.26439695305618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230.48063999999999</v>
      </c>
      <c r="CA89" s="14">
        <f t="shared" si="93"/>
        <v>56.386594506599792</v>
      </c>
      <c r="CB89" s="22">
        <f t="shared" si="64"/>
        <v>499.62710009899462</v>
      </c>
      <c r="CC89" s="60">
        <f t="shared" si="65"/>
        <v>792.96043343232793</v>
      </c>
      <c r="CD89" s="60">
        <f ca="1">AVERAGE(OFFSET($CC$3,0,0,'Données projet'!$E$12+1,1))-AVERAGE(OFFSET($H$3,0,0,'Données projet'!$E$12+1,1))</f>
        <v>277.03735509061545</v>
      </c>
      <c r="CE89" s="60">
        <f t="shared" si="94"/>
        <v>158.16416492761959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277.43039999999996</v>
      </c>
      <c r="CV89" s="14">
        <f t="shared" si="95"/>
        <v>66.423687500715673</v>
      </c>
      <c r="CW89" s="22">
        <f t="shared" si="67"/>
        <v>598.87920239707967</v>
      </c>
      <c r="CX89" s="60">
        <f t="shared" si="68"/>
        <v>892.21253573041304</v>
      </c>
      <c r="CY89" s="60">
        <f ca="1">AVERAGE(OFFSET($CX$3,0,0,'Données projet'!$E$13+1,1))-AVERAGE(OFFSET($H$3,0,0,'Données projet'!$E$13+1,1))</f>
        <v>350.3652766444938</v>
      </c>
      <c r="CZ89" s="60">
        <f t="shared" si="96"/>
        <v>197.04549436738586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3.4106051316484809E-13</v>
      </c>
      <c r="DP89" s="18">
        <f>DO89*VLOOKUP('Données projet'!$B$14,Paramètres!$A$1:$I$89,3,0)*VLOOKUP('Données projet'!$B$14,Paramètres!$A$1:$I$89,5,0)</f>
        <v>2.7134774427395314E-13</v>
      </c>
      <c r="DQ89" s="14">
        <f t="shared" si="97"/>
        <v>3.6292411711343559E-12</v>
      </c>
      <c r="DR89" s="22">
        <f t="shared" si="70"/>
        <v>6.7935256943361388E-12</v>
      </c>
      <c r="DS89" s="60">
        <f t="shared" si="71"/>
        <v>293.33333333334014</v>
      </c>
      <c r="DT89" s="60">
        <f ca="1">AVERAGE(OFFSET($DS$3,0,0,'Données projet'!$E$14+1,1))-AVERAGE(OFFSET($H$3,0,0,'Données projet'!$E$14+1,1))</f>
        <v>382.01991140382955</v>
      </c>
      <c r="DU89" s="60">
        <f t="shared" si="98"/>
        <v>389.53897948144339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323.92137573760789</v>
      </c>
      <c r="EP89" s="60">
        <f t="shared" si="100"/>
        <v>389.53897948144339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2.2737367544323206E-13</v>
      </c>
      <c r="FF89" s="18">
        <f>FE89*VLOOKUP('Données projet'!$B$16,Paramètres!$A$1:$I$89,3,0)*VLOOKUP('Données projet'!$B$16,Paramètres!$A$1:$I$89,5,0)</f>
        <v>1.8089849618263545E-13</v>
      </c>
      <c r="FG89" s="14">
        <f t="shared" si="101"/>
        <v>2.536422473342444E-12</v>
      </c>
      <c r="FH89" s="22">
        <f t="shared" si="76"/>
        <v>4.7326673552561798E-12</v>
      </c>
      <c r="FI89" s="60">
        <f t="shared" si="77"/>
        <v>293.33333333333803</v>
      </c>
      <c r="FJ89" s="60">
        <f ca="1">AVERAGE(OFFSET($FI$3,0,0,'Données projet'!$E$16+1,1))-AVERAGE(OFFSET($H$3,0,0,'Données projet'!$E$16+1,1))</f>
        <v>219.61164494001008</v>
      </c>
      <c r="FK89" s="60">
        <f t="shared" si="102"/>
        <v>219.59799863414111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8.9743589743589727</v>
      </c>
      <c r="FZ89" s="13">
        <f>IF('Données projet'!$A$244&gt;35,FZ88+FY89-GH88,IF(A89&lt;'Données projet'!$A$244,$FW$205^A89,IF(A89='Données projet'!$A$244,'Données projet'!$B$244,FZ88+FY89-GH88)))</f>
        <v>374.10256410256363</v>
      </c>
      <c r="GA89" s="18">
        <f>FZ89*VLOOKUP('Données projet'!$B$17,Paramètres!$A$1:$I$89,3,0)*VLOOKUP('Données projet'!$B$17,Paramètres!$A$1:$I$89,5,0)</f>
        <v>175.07999999999976</v>
      </c>
      <c r="GB89" s="14">
        <f t="shared" si="103"/>
        <v>44.225817535095111</v>
      </c>
      <c r="GC89" s="22">
        <f t="shared" si="79"/>
        <v>381.95763220695682</v>
      </c>
      <c r="GD89" s="60">
        <f t="shared" si="80"/>
        <v>675.29096554029013</v>
      </c>
      <c r="GE89" s="60">
        <f ca="1">AVERAGE(OFFSET($GD$3,0,0,'Données projet'!$E$17+1,1))-AVERAGE(OFFSET($H$3,0,0,'Données projet'!$E$17+1,1))</f>
        <v>147.5699668214238</v>
      </c>
      <c r="GF89" s="60">
        <f t="shared" si="104"/>
        <v>70.653739864908346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>
        <f>GU89*VLOOKUP('Données projet'!$B$18,Paramètres!$A$1:$I$89,3,0)*VLOOKUP('Données projet'!$B$18,Paramètres!$A$1:$I$89,5,0)</f>
        <v>0</v>
      </c>
      <c r="GW89" s="14" t="e">
        <f t="shared" si="105"/>
        <v>#NUM!</v>
      </c>
      <c r="GX89" s="22" t="e">
        <f t="shared" si="82"/>
        <v>#NUM!</v>
      </c>
      <c r="GY89" s="60" t="e">
        <f t="shared" si="83"/>
        <v>#NUM!</v>
      </c>
      <c r="GZ89" s="60">
        <f ca="1">AVERAGE(OFFSET($GY$3,0,0,'Données projet'!$E$18+1,1))-AVERAGE(OFFSET($H$3,0,0,'Données projet'!$E$18+1,1))</f>
        <v>136.03899433512379</v>
      </c>
      <c r="HA89" s="60">
        <f t="shared" si="106"/>
        <v>316.56646692826882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24.632260387887836</v>
      </c>
      <c r="HH89" s="23">
        <f>EXP(-LN(2)/25)*HH88+(1-EXP(-LN(2)/25))/(LN(2)/25)*Calculateur!HC89*Calculateur!HE89*VLOOKUP('Données projet'!$B$18,Paramètres!$A$1:$I$89,3,0)*0.475*44/12</f>
        <v>2.1341654258116631</v>
      </c>
      <c r="HI89" s="23">
        <f>EXP(-LN(2)/2)*HI88+(1-EXP(-LN(2)/2))/(LN(2)/2)*HC89*HF89*VLOOKUP('Données projet'!$B$18,Paramètres!$A$1:$I$89,3,0)*0.475*44/12</f>
        <v>1.0891700537791078E-8</v>
      </c>
      <c r="HJ89" s="24">
        <f t="shared" si="84"/>
        <v>26.766425824591199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</v>
      </c>
      <c r="N90" s="14">
        <f>IF('Données projet'!$A$36&gt;35,N89+M90-V89,IF(A90&lt;'Données projet'!$A$36,$K$205^A90,IF(A90='Données projet'!$A$36,'Données projet'!$B$36,N89+M90-V89)))</f>
        <v>346.60000000000008</v>
      </c>
      <c r="O90" s="14">
        <f>N90*VLOOKUP('Données projet'!$B$9,Paramètres!$A$1:$I$89,3,0)*VLOOKUP('Données projet'!$B$9,Paramètres!$A$1:$I$89,5,0)</f>
        <v>313.60368000000005</v>
      </c>
      <c r="P90" s="14">
        <f t="shared" si="87"/>
        <v>74.020915000501219</v>
      </c>
      <c r="Q90" s="22">
        <f t="shared" si="54"/>
        <v>675.11283629253967</v>
      </c>
      <c r="R90" s="60">
        <f t="shared" si="55"/>
        <v>968.44616962587293</v>
      </c>
      <c r="S90" s="60">
        <f ca="1">AVERAGE(OFFSET($R$3,0,0,'Données projet'!$E$9+1,1))-AVERAGE(OFFSET($H$3,0,0,'Données projet'!$E$9+1,1))</f>
        <v>384.44848355636935</v>
      </c>
      <c r="T90" s="60">
        <f t="shared" si="88"/>
        <v>203.5274665601915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252.62015999999997</v>
      </c>
      <c r="AK90" s="14">
        <f t="shared" si="89"/>
        <v>61.14666777229877</v>
      </c>
      <c r="AL90" s="22">
        <f t="shared" si="58"/>
        <v>546.47722503675357</v>
      </c>
      <c r="AM90" s="60">
        <f t="shared" si="59"/>
        <v>839.81055837008694</v>
      </c>
      <c r="AN90" s="60">
        <f ca="1">AVERAGE(OFFSET($AM$3,0,0,'Données projet'!$E$10+1,1))-AVERAGE(OFFSET($H$3,0,0,'Données projet'!$E$10+1,1))</f>
        <v>303.73499739059076</v>
      </c>
      <c r="AO90" s="60">
        <f t="shared" si="90"/>
        <v>172.32171001882188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</v>
      </c>
      <c r="BD90" s="13">
        <f>IF('Données projet'!$A$88&gt;35,BD89+BC90-BL89,IF(A90&lt;'Données projet'!$A$88,$BA$205^A90,IF(A90='Données projet'!$A$88,'Données projet'!$B$88,BD89+BC90-BL89)))</f>
        <v>346.60000000000008</v>
      </c>
      <c r="BE90" s="14">
        <f>BD90*VLOOKUP('Données projet'!$B$11,Paramètres!$A$1:$I$89,3,0)*VLOOKUP('Données projet'!$B$11,Paramètres!$A$1:$I$89,5,0)</f>
        <v>291.97584000000006</v>
      </c>
      <c r="BF90" s="14">
        <f t="shared" si="91"/>
        <v>69.491646273139779</v>
      </c>
      <c r="BG90" s="22">
        <f t="shared" si="61"/>
        <v>629.55587192571863</v>
      </c>
      <c r="BH90" s="60">
        <f t="shared" si="62"/>
        <v>922.88920525905201</v>
      </c>
      <c r="BI90" s="60">
        <f ca="1">AVERAGE(OFFSET($BH$3,0,0,'Données projet'!$E$11+1,1))-AVERAGE(OFFSET($H$3,0,0,'Données projet'!$E$11+1,1))</f>
        <v>352.29660374042186</v>
      </c>
      <c r="BJ90" s="60">
        <f t="shared" si="92"/>
        <v>187.26439695305618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235.19808</v>
      </c>
      <c r="CA90" s="14">
        <f t="shared" si="93"/>
        <v>57.40516187330315</v>
      </c>
      <c r="CB90" s="22">
        <f t="shared" si="64"/>
        <v>509.61731292933632</v>
      </c>
      <c r="CC90" s="60">
        <f t="shared" si="65"/>
        <v>802.95064626266958</v>
      </c>
      <c r="CD90" s="60">
        <f ca="1">AVERAGE(OFFSET($CC$3,0,0,'Données projet'!$E$12+1,1))-AVERAGE(OFFSET($H$3,0,0,'Données projet'!$E$12+1,1))</f>
        <v>277.03735509061545</v>
      </c>
      <c r="CE90" s="60">
        <f t="shared" si="94"/>
        <v>158.16416492761959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283.10879999999997</v>
      </c>
      <c r="CV90" s="14">
        <f t="shared" si="95"/>
        <v>67.623564901653808</v>
      </c>
      <c r="CW90" s="22">
        <f t="shared" si="67"/>
        <v>610.85886887038032</v>
      </c>
      <c r="CX90" s="60">
        <f t="shared" si="68"/>
        <v>904.19220220371358</v>
      </c>
      <c r="CY90" s="60">
        <f ca="1">AVERAGE(OFFSET($CX$3,0,0,'Données projet'!$E$13+1,1))-AVERAGE(OFFSET($H$3,0,0,'Données projet'!$E$13+1,1))</f>
        <v>350.3652766444938</v>
      </c>
      <c r="CZ90" s="60">
        <f t="shared" si="96"/>
        <v>197.04549436738586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3.4106051316484809E-13</v>
      </c>
      <c r="DP90" s="18">
        <f>DO90*VLOOKUP('Données projet'!$B$14,Paramètres!$A$1:$I$89,3,0)*VLOOKUP('Données projet'!$B$14,Paramètres!$A$1:$I$89,5,0)</f>
        <v>2.7134774427395314E-13</v>
      </c>
      <c r="DQ90" s="14">
        <f t="shared" si="97"/>
        <v>3.6292411711343559E-12</v>
      </c>
      <c r="DR90" s="22">
        <f t="shared" si="70"/>
        <v>6.7935256943361388E-12</v>
      </c>
      <c r="DS90" s="60">
        <f t="shared" si="71"/>
        <v>293.33333333334014</v>
      </c>
      <c r="DT90" s="60">
        <f ca="1">AVERAGE(OFFSET($DS$3,0,0,'Données projet'!$E$14+1,1))-AVERAGE(OFFSET($H$3,0,0,'Données projet'!$E$14+1,1))</f>
        <v>382.01991140382955</v>
      </c>
      <c r="DU90" s="60">
        <f t="shared" si="98"/>
        <v>389.53897948144339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323.92137573760789</v>
      </c>
      <c r="EP90" s="60">
        <f t="shared" si="100"/>
        <v>389.53897948144339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2.2737367544323206E-13</v>
      </c>
      <c r="FF90" s="18">
        <f>FE90*VLOOKUP('Données projet'!$B$16,Paramètres!$A$1:$I$89,3,0)*VLOOKUP('Données projet'!$B$16,Paramètres!$A$1:$I$89,5,0)</f>
        <v>1.8089849618263545E-13</v>
      </c>
      <c r="FG90" s="14">
        <f t="shared" si="101"/>
        <v>2.536422473342444E-12</v>
      </c>
      <c r="FH90" s="22">
        <f t="shared" si="76"/>
        <v>4.7326673552561798E-12</v>
      </c>
      <c r="FI90" s="60">
        <f t="shared" si="77"/>
        <v>293.33333333333803</v>
      </c>
      <c r="FJ90" s="60">
        <f ca="1">AVERAGE(OFFSET($FI$3,0,0,'Données projet'!$E$16+1,1))-AVERAGE(OFFSET($H$3,0,0,'Données projet'!$E$16+1,1))</f>
        <v>219.61164494001008</v>
      </c>
      <c r="FK90" s="60">
        <f t="shared" si="102"/>
        <v>219.59799863414111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>
        <f>VLOOKUP(A90,'Données projet'!$A$243:$I$263,2,0)</f>
        <v>383.07692307692304</v>
      </c>
      <c r="FX90" s="13">
        <f>VLOOKUP(A90,'Données projet'!$A$243:$I$263,9,0)</f>
        <v>8.9743589743589727</v>
      </c>
      <c r="FY90" s="13">
        <f t="array" ref="FY90">INDEX(FX:FX,MIN(IF(ISNUMBER(FX90:FX286),ROW(FX90:FX286),"")))</f>
        <v>8.9743589743589727</v>
      </c>
      <c r="FZ90" s="13">
        <f>IF('Données projet'!$A$244&gt;35,FZ89+FY90-GH89,IF(A90&lt;'Données projet'!$A$244,$FW$205^A90,IF(A90='Données projet'!$A$244,'Données projet'!$B$244,FZ89+FY90-GH89)))</f>
        <v>383.07692307692258</v>
      </c>
      <c r="GA90" s="18">
        <f>FZ90*VLOOKUP('Données projet'!$B$17,Paramètres!$A$1:$I$89,3,0)*VLOOKUP('Données projet'!$B$17,Paramètres!$A$1:$I$89,5,0)</f>
        <v>179.27999999999975</v>
      </c>
      <c r="GB90" s="14">
        <f t="shared" si="103"/>
        <v>45.161962084677604</v>
      </c>
      <c r="GC90" s="22">
        <f t="shared" si="79"/>
        <v>390.90308396414639</v>
      </c>
      <c r="GD90" s="60">
        <f t="shared" si="80"/>
        <v>684.23641729747965</v>
      </c>
      <c r="GE90" s="60">
        <f ca="1">AVERAGE(OFFSET($GD$3,0,0,'Données projet'!$E$17+1,1))-AVERAGE(OFFSET($H$3,0,0,'Données projet'!$E$17+1,1))</f>
        <v>147.5699668214238</v>
      </c>
      <c r="GF90" s="60">
        <f t="shared" si="104"/>
        <v>70.653739864908346</v>
      </c>
      <c r="GG90" s="16">
        <f>IF(ISNA(VLOOKUP(A90,'Données projet'!$A$243:$I$263,3,0)),0,VLOOKUP(A90,'Données projet'!$A$243:$I$263,3,0))</f>
        <v>4</v>
      </c>
      <c r="GH90" s="16">
        <f>IF(ISNA(VLOOKUP(A90,'Données projet'!$A$243:$I$263,4,0)),0,VLOOKUP(A90,'Données projet'!$A$243:$I$263,4,0))</f>
        <v>83.076923076923038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>
        <f>GU90*VLOOKUP('Données projet'!$B$18,Paramètres!$A$1:$I$89,3,0)*VLOOKUP('Données projet'!$B$18,Paramètres!$A$1:$I$89,5,0)</f>
        <v>0</v>
      </c>
      <c r="GW90" s="14" t="e">
        <f t="shared" si="105"/>
        <v>#NUM!</v>
      </c>
      <c r="GX90" s="22" t="e">
        <f t="shared" si="82"/>
        <v>#NUM!</v>
      </c>
      <c r="GY90" s="60" t="e">
        <f t="shared" si="83"/>
        <v>#NUM!</v>
      </c>
      <c r="GZ90" s="60">
        <f ca="1">AVERAGE(OFFSET($GY$3,0,0,'Données projet'!$E$18+1,1))-AVERAGE(OFFSET($H$3,0,0,'Données projet'!$E$18+1,1))</f>
        <v>136.03899433512379</v>
      </c>
      <c r="HA90" s="60">
        <f t="shared" si="106"/>
        <v>316.56646692826882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24.149236785876678</v>
      </c>
      <c r="HH90" s="23">
        <f>EXP(-LN(2)/25)*HH89+(1-EXP(-LN(2)/25))/(LN(2)/25)*Calculateur!HC90*Calculateur!HE90*VLOOKUP('Données projet'!$B$18,Paramètres!$A$1:$I$89,3,0)*0.475*44/12</f>
        <v>2.0758065600119613</v>
      </c>
      <c r="HI90" s="23">
        <f>EXP(-LN(2)/2)*HI89+(1-EXP(-LN(2)/2))/(LN(2)/2)*HC90*HF90*VLOOKUP('Données projet'!$B$18,Paramètres!$A$1:$I$89,3,0)*0.475*44/12</f>
        <v>7.7015953089252376E-9</v>
      </c>
      <c r="HJ90" s="24">
        <f t="shared" si="84"/>
        <v>26.225043353590234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</v>
      </c>
      <c r="N91" s="14">
        <f>IF('Données projet'!$A$36&gt;35,N90+M91-V90,IF(A91&lt;'Données projet'!$A$36,$K$205^A91,IF(A91='Données projet'!$A$36,'Données projet'!$B$36,N90+M91-V90)))</f>
        <v>350.40000000000009</v>
      </c>
      <c r="O91" s="14">
        <f>N91*VLOOKUP('Données projet'!$B$9,Paramètres!$A$1:$I$89,3,0)*VLOOKUP('Données projet'!$B$9,Paramètres!$A$1:$I$89,5,0)</f>
        <v>317.04192000000006</v>
      </c>
      <c r="P91" s="14">
        <f t="shared" si="87"/>
        <v>74.73753531397945</v>
      </c>
      <c r="Q91" s="22">
        <f t="shared" si="54"/>
        <v>682.34921800518089</v>
      </c>
      <c r="R91" s="60">
        <f t="shared" si="55"/>
        <v>975.68255133851426</v>
      </c>
      <c r="S91" s="60">
        <f ca="1">AVERAGE(OFFSET($R$3,0,0,'Données projet'!$E$9+1,1))-AVERAGE(OFFSET($H$3,0,0,'Données projet'!$E$9+1,1))</f>
        <v>384.44848355636935</v>
      </c>
      <c r="T91" s="60">
        <f t="shared" si="88"/>
        <v>203.5274665601915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257.68704000000002</v>
      </c>
      <c r="AK91" s="14">
        <f t="shared" si="89"/>
        <v>62.229092239243343</v>
      </c>
      <c r="AL91" s="22">
        <f t="shared" si="58"/>
        <v>557.18726365001555</v>
      </c>
      <c r="AM91" s="60">
        <f t="shared" si="59"/>
        <v>850.52059698334892</v>
      </c>
      <c r="AN91" s="60">
        <f ca="1">AVERAGE(OFFSET($AM$3,0,0,'Données projet'!$E$10+1,1))-AVERAGE(OFFSET($H$3,0,0,'Données projet'!$E$10+1,1))</f>
        <v>303.73499739059076</v>
      </c>
      <c r="AO91" s="60">
        <f t="shared" si="90"/>
        <v>172.32171001882188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</v>
      </c>
      <c r="BD91" s="13">
        <f>IF('Données projet'!$A$88&gt;35,BD90+BC91-BL90,IF(A91&lt;'Données projet'!$A$88,$BA$205^A91,IF(A91='Données projet'!$A$88,'Données projet'!$B$88,BD90+BC91-BL90)))</f>
        <v>350.40000000000009</v>
      </c>
      <c r="BE91" s="14">
        <f>BD91*VLOOKUP('Données projet'!$B$11,Paramètres!$A$1:$I$89,3,0)*VLOOKUP('Données projet'!$B$11,Paramètres!$A$1:$I$89,5,0)</f>
        <v>295.17696000000012</v>
      </c>
      <c r="BF91" s="14">
        <f t="shared" si="91"/>
        <v>70.164417277605793</v>
      </c>
      <c r="BG91" s="22">
        <f t="shared" si="61"/>
        <v>636.30289875849701</v>
      </c>
      <c r="BH91" s="60">
        <f t="shared" si="62"/>
        <v>929.63623209183038</v>
      </c>
      <c r="BI91" s="60">
        <f ca="1">AVERAGE(OFFSET($BH$3,0,0,'Données projet'!$E$11+1,1))-AVERAGE(OFFSET($H$3,0,0,'Données projet'!$E$11+1,1))</f>
        <v>352.29660374042186</v>
      </c>
      <c r="BJ91" s="60">
        <f t="shared" si="92"/>
        <v>187.26439695305618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239.91552000000004</v>
      </c>
      <c r="CA91" s="14">
        <f t="shared" si="93"/>
        <v>58.421353826263946</v>
      </c>
      <c r="CB91" s="22">
        <f t="shared" si="64"/>
        <v>519.60338858074306</v>
      </c>
      <c r="CC91" s="60">
        <f t="shared" si="65"/>
        <v>812.93672191407632</v>
      </c>
      <c r="CD91" s="60">
        <f ca="1">AVERAGE(OFFSET($CC$3,0,0,'Données projet'!$E$12+1,1))-AVERAGE(OFFSET($H$3,0,0,'Données projet'!$E$12+1,1))</f>
        <v>277.03735509061545</v>
      </c>
      <c r="CE91" s="60">
        <f t="shared" si="94"/>
        <v>158.16416492761959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288.78720000000004</v>
      </c>
      <c r="CV91" s="14">
        <f t="shared" si="95"/>
        <v>68.820644053442436</v>
      </c>
      <c r="CW91" s="22">
        <f t="shared" si="67"/>
        <v>622.83366172641229</v>
      </c>
      <c r="CX91" s="60">
        <f t="shared" si="68"/>
        <v>916.16699505974566</v>
      </c>
      <c r="CY91" s="60">
        <f ca="1">AVERAGE(OFFSET($CX$3,0,0,'Données projet'!$E$13+1,1))-AVERAGE(OFFSET($H$3,0,0,'Données projet'!$E$13+1,1))</f>
        <v>350.3652766444938</v>
      </c>
      <c r="CZ91" s="60">
        <f t="shared" si="96"/>
        <v>197.04549436738586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3.4106051316484809E-13</v>
      </c>
      <c r="DP91" s="18">
        <f>DO91*VLOOKUP('Données projet'!$B$14,Paramètres!$A$1:$I$89,3,0)*VLOOKUP('Données projet'!$B$14,Paramètres!$A$1:$I$89,5,0)</f>
        <v>2.7134774427395314E-13</v>
      </c>
      <c r="DQ91" s="14">
        <f t="shared" si="97"/>
        <v>3.6292411711343559E-12</v>
      </c>
      <c r="DR91" s="22">
        <f t="shared" si="70"/>
        <v>6.7935256943361388E-12</v>
      </c>
      <c r="DS91" s="60">
        <f t="shared" si="71"/>
        <v>293.33333333334014</v>
      </c>
      <c r="DT91" s="60">
        <f ca="1">AVERAGE(OFFSET($DS$3,0,0,'Données projet'!$E$14+1,1))-AVERAGE(OFFSET($H$3,0,0,'Données projet'!$E$14+1,1))</f>
        <v>382.01991140382955</v>
      </c>
      <c r="DU91" s="60">
        <f t="shared" si="98"/>
        <v>389.53897948144339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323.92137573760789</v>
      </c>
      <c r="EP91" s="60">
        <f t="shared" si="100"/>
        <v>389.53897948144339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2.2737367544323206E-13</v>
      </c>
      <c r="FF91" s="18">
        <f>FE91*VLOOKUP('Données projet'!$B$16,Paramètres!$A$1:$I$89,3,0)*VLOOKUP('Données projet'!$B$16,Paramètres!$A$1:$I$89,5,0)</f>
        <v>1.8089849618263545E-13</v>
      </c>
      <c r="FG91" s="14">
        <f t="shared" si="101"/>
        <v>2.536422473342444E-12</v>
      </c>
      <c r="FH91" s="22">
        <f t="shared" si="76"/>
        <v>4.7326673552561798E-12</v>
      </c>
      <c r="FI91" s="60">
        <f t="shared" si="77"/>
        <v>293.33333333333803</v>
      </c>
      <c r="FJ91" s="60">
        <f ca="1">AVERAGE(OFFSET($FI$3,0,0,'Données projet'!$E$16+1,1))-AVERAGE(OFFSET($H$3,0,0,'Données projet'!$E$16+1,1))</f>
        <v>219.61164494001008</v>
      </c>
      <c r="FK91" s="60">
        <f t="shared" si="102"/>
        <v>219.59799863414111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8.1410256410256405</v>
      </c>
      <c r="FZ91" s="13">
        <f>IF('Données projet'!$A$244&gt;35,FZ90+FY91-GH90,IF(A91&lt;'Données projet'!$A$244,$FW$205^A91,IF(A91='Données projet'!$A$244,'Données projet'!$B$244,FZ90+FY91-GH90)))</f>
        <v>308.14102564102518</v>
      </c>
      <c r="GA91" s="18">
        <f>FZ91*VLOOKUP('Données projet'!$B$17,Paramètres!$A$1:$I$89,3,0)*VLOOKUP('Données projet'!$B$17,Paramètres!$A$1:$I$89,5,0)</f>
        <v>144.20999999999978</v>
      </c>
      <c r="GB91" s="14">
        <f t="shared" si="103"/>
        <v>37.259788027931044</v>
      </c>
      <c r="GC91" s="22">
        <f t="shared" si="79"/>
        <v>316.05988081531285</v>
      </c>
      <c r="GD91" s="60">
        <f t="shared" si="80"/>
        <v>609.39321414864617</v>
      </c>
      <c r="GE91" s="60">
        <f ca="1">AVERAGE(OFFSET($GD$3,0,0,'Données projet'!$E$17+1,1))-AVERAGE(OFFSET($H$3,0,0,'Données projet'!$E$17+1,1))</f>
        <v>147.5699668214238</v>
      </c>
      <c r="GF91" s="60">
        <f t="shared" si="104"/>
        <v>70.653739864908346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>
        <f>GU91*VLOOKUP('Données projet'!$B$18,Paramètres!$A$1:$I$89,3,0)*VLOOKUP('Données projet'!$B$18,Paramètres!$A$1:$I$89,5,0)</f>
        <v>0</v>
      </c>
      <c r="GW91" s="14" t="e">
        <f t="shared" si="105"/>
        <v>#NUM!</v>
      </c>
      <c r="GX91" s="22" t="e">
        <f t="shared" si="82"/>
        <v>#NUM!</v>
      </c>
      <c r="GY91" s="60" t="e">
        <f t="shared" si="83"/>
        <v>#NUM!</v>
      </c>
      <c r="GZ91" s="60">
        <f ca="1">AVERAGE(OFFSET($GY$3,0,0,'Données projet'!$E$18+1,1))-AVERAGE(OFFSET($H$3,0,0,'Données projet'!$E$18+1,1))</f>
        <v>136.03899433512379</v>
      </c>
      <c r="HA91" s="60">
        <f t="shared" si="106"/>
        <v>316.56646692826882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23.675684982085649</v>
      </c>
      <c r="HH91" s="23">
        <f>EXP(-LN(2)/25)*HH90+(1-EXP(-LN(2)/25))/(LN(2)/25)*Calculateur!HC91*Calculateur!HE91*VLOOKUP('Données projet'!$B$18,Paramètres!$A$1:$I$89,3,0)*0.475*44/12</f>
        <v>2.0190435204665116</v>
      </c>
      <c r="HI91" s="23">
        <f>EXP(-LN(2)/2)*HI90+(1-EXP(-LN(2)/2))/(LN(2)/2)*HC91*HF91*VLOOKUP('Données projet'!$B$18,Paramètres!$A$1:$I$89,3,0)*0.475*44/12</f>
        <v>5.4458502688955389E-9</v>
      </c>
      <c r="HJ91" s="24">
        <f t="shared" si="84"/>
        <v>25.694728507998011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</v>
      </c>
      <c r="N92" s="14">
        <f>IF('Données projet'!$A$36&gt;35,N91+M92-V91,IF(A92&lt;'Données projet'!$A$36,$K$205^A92,IF(A92='Données projet'!$A$36,'Données projet'!$B$36,N91+M92-V91)))</f>
        <v>354.2000000000001</v>
      </c>
      <c r="O92" s="14">
        <f>N92*VLOOKUP('Données projet'!$B$9,Paramètres!$A$1:$I$89,3,0)*VLOOKUP('Données projet'!$B$9,Paramètres!$A$1:$I$89,5,0)</f>
        <v>320.48016000000007</v>
      </c>
      <c r="P92" s="14">
        <f t="shared" si="87"/>
        <v>75.453251568997672</v>
      </c>
      <c r="Q92" s="22">
        <f t="shared" si="54"/>
        <v>689.58402514933766</v>
      </c>
      <c r="R92" s="60">
        <f t="shared" si="55"/>
        <v>982.91735848267103</v>
      </c>
      <c r="S92" s="60">
        <f ca="1">AVERAGE(OFFSET($R$3,0,0,'Données projet'!$E$9+1,1))-AVERAGE(OFFSET($H$3,0,0,'Données projet'!$E$9+1,1))</f>
        <v>384.44848355636935</v>
      </c>
      <c r="T92" s="60">
        <f t="shared" si="88"/>
        <v>203.5274665601915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262.75392000000005</v>
      </c>
      <c r="AK92" s="14">
        <f t="shared" si="89"/>
        <v>63.309041956360382</v>
      </c>
      <c r="AL92" s="22">
        <f t="shared" si="58"/>
        <v>567.89299207399438</v>
      </c>
      <c r="AM92" s="60">
        <f t="shared" si="59"/>
        <v>861.22632540732775</v>
      </c>
      <c r="AN92" s="60">
        <f ca="1">AVERAGE(OFFSET($AM$3,0,0,'Données projet'!$E$10+1,1))-AVERAGE(OFFSET($H$3,0,0,'Données projet'!$E$10+1,1))</f>
        <v>303.73499739059076</v>
      </c>
      <c r="AO92" s="60">
        <f t="shared" si="90"/>
        <v>172.32171001882188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</v>
      </c>
      <c r="BD92" s="13">
        <f>IF('Données projet'!$A$88&gt;35,BD91+BC92-BL91,IF(A92&lt;'Données projet'!$A$88,$BA$205^A92,IF(A92='Données projet'!$A$88,'Données projet'!$B$88,BD91+BC92-BL91)))</f>
        <v>354.2000000000001</v>
      </c>
      <c r="BE92" s="14">
        <f>BD92*VLOOKUP('Données projet'!$B$11,Paramètres!$A$1:$I$89,3,0)*VLOOKUP('Données projet'!$B$11,Paramètres!$A$1:$I$89,5,0)</f>
        <v>298.37808000000012</v>
      </c>
      <c r="BF92" s="14">
        <f t="shared" si="91"/>
        <v>70.836339542080978</v>
      </c>
      <c r="BG92" s="22">
        <f t="shared" si="61"/>
        <v>643.04844736912457</v>
      </c>
      <c r="BH92" s="60">
        <f t="shared" si="62"/>
        <v>936.38178070245795</v>
      </c>
      <c r="BI92" s="60">
        <f ca="1">AVERAGE(OFFSET($BH$3,0,0,'Données projet'!$E$11+1,1))-AVERAGE(OFFSET($H$3,0,0,'Données projet'!$E$11+1,1))</f>
        <v>352.29660374042186</v>
      </c>
      <c r="BJ92" s="60">
        <f t="shared" si="92"/>
        <v>187.26439695305618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244.63296000000005</v>
      </c>
      <c r="CA92" s="14">
        <f t="shared" si="93"/>
        <v>59.435222456963288</v>
      </c>
      <c r="CB92" s="22">
        <f t="shared" si="64"/>
        <v>529.58541777921107</v>
      </c>
      <c r="CC92" s="60">
        <f t="shared" si="65"/>
        <v>822.91875111254444</v>
      </c>
      <c r="CD92" s="60">
        <f ca="1">AVERAGE(OFFSET($CC$3,0,0,'Données projet'!$E$12+1,1))-AVERAGE(OFFSET($H$3,0,0,'Données projet'!$E$12+1,1))</f>
        <v>277.03735509061545</v>
      </c>
      <c r="CE92" s="60">
        <f t="shared" si="94"/>
        <v>158.16416492761959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294.46560000000005</v>
      </c>
      <c r="CV92" s="14">
        <f t="shared" si="95"/>
        <v>70.014986320104285</v>
      </c>
      <c r="CW92" s="22">
        <f t="shared" si="67"/>
        <v>634.8036878408484</v>
      </c>
      <c r="CX92" s="60">
        <f t="shared" si="68"/>
        <v>928.13702117418165</v>
      </c>
      <c r="CY92" s="60">
        <f ca="1">AVERAGE(OFFSET($CX$3,0,0,'Données projet'!$E$13+1,1))-AVERAGE(OFFSET($H$3,0,0,'Données projet'!$E$13+1,1))</f>
        <v>350.3652766444938</v>
      </c>
      <c r="CZ92" s="60">
        <f t="shared" si="96"/>
        <v>197.04549436738586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3.4106051316484809E-13</v>
      </c>
      <c r="DP92" s="18">
        <f>DO92*VLOOKUP('Données projet'!$B$14,Paramètres!$A$1:$I$89,3,0)*VLOOKUP('Données projet'!$B$14,Paramètres!$A$1:$I$89,5,0)</f>
        <v>2.7134774427395314E-13</v>
      </c>
      <c r="DQ92" s="14">
        <f t="shared" si="97"/>
        <v>3.6292411711343559E-12</v>
      </c>
      <c r="DR92" s="22">
        <f t="shared" si="70"/>
        <v>6.7935256943361388E-12</v>
      </c>
      <c r="DS92" s="60">
        <f t="shared" si="71"/>
        <v>293.33333333334014</v>
      </c>
      <c r="DT92" s="60">
        <f ca="1">AVERAGE(OFFSET($DS$3,0,0,'Données projet'!$E$14+1,1))-AVERAGE(OFFSET($H$3,0,0,'Données projet'!$E$14+1,1))</f>
        <v>382.01991140382955</v>
      </c>
      <c r="DU92" s="60">
        <f t="shared" si="98"/>
        <v>389.53897948144339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323.92137573760789</v>
      </c>
      <c r="EP92" s="60">
        <f t="shared" si="100"/>
        <v>389.53897948144339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2.2737367544323206E-13</v>
      </c>
      <c r="FF92" s="18">
        <f>FE92*VLOOKUP('Données projet'!$B$16,Paramètres!$A$1:$I$89,3,0)*VLOOKUP('Données projet'!$B$16,Paramètres!$A$1:$I$89,5,0)</f>
        <v>1.8089849618263545E-13</v>
      </c>
      <c r="FG92" s="14">
        <f t="shared" si="101"/>
        <v>2.536422473342444E-12</v>
      </c>
      <c r="FH92" s="22">
        <f t="shared" si="76"/>
        <v>4.7326673552561798E-12</v>
      </c>
      <c r="FI92" s="60">
        <f t="shared" si="77"/>
        <v>293.33333333333803</v>
      </c>
      <c r="FJ92" s="60">
        <f ca="1">AVERAGE(OFFSET($FI$3,0,0,'Données projet'!$E$16+1,1))-AVERAGE(OFFSET($H$3,0,0,'Données projet'!$E$16+1,1))</f>
        <v>219.61164494001008</v>
      </c>
      <c r="FK92" s="60">
        <f t="shared" si="102"/>
        <v>219.59799863414111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8.1410256410256405</v>
      </c>
      <c r="FZ92" s="13">
        <f>IF('Données projet'!$A$244&gt;35,FZ91+FY92-GH91,IF(A92&lt;'Données projet'!$A$244,$FW$205^A92,IF(A92='Données projet'!$A$244,'Données projet'!$B$244,FZ91+FY92-GH91)))</f>
        <v>316.28205128205082</v>
      </c>
      <c r="GA92" s="18">
        <f>FZ92*VLOOKUP('Données projet'!$B$17,Paramètres!$A$1:$I$89,3,0)*VLOOKUP('Données projet'!$B$17,Paramètres!$A$1:$I$89,5,0)</f>
        <v>148.01999999999978</v>
      </c>
      <c r="GB92" s="14">
        <f t="shared" si="103"/>
        <v>38.12827612701787</v>
      </c>
      <c r="GC92" s="22">
        <f t="shared" si="79"/>
        <v>324.20824758788905</v>
      </c>
      <c r="GD92" s="60">
        <f t="shared" si="80"/>
        <v>617.54158092122236</v>
      </c>
      <c r="GE92" s="60">
        <f ca="1">AVERAGE(OFFSET($GD$3,0,0,'Données projet'!$E$17+1,1))-AVERAGE(OFFSET($H$3,0,0,'Données projet'!$E$17+1,1))</f>
        <v>147.5699668214238</v>
      </c>
      <c r="GF92" s="60">
        <f t="shared" si="104"/>
        <v>70.653739864908346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>
        <f>GU92*VLOOKUP('Données projet'!$B$18,Paramètres!$A$1:$I$89,3,0)*VLOOKUP('Données projet'!$B$18,Paramètres!$A$1:$I$89,5,0)</f>
        <v>0</v>
      </c>
      <c r="GW92" s="14" t="e">
        <f t="shared" si="105"/>
        <v>#NUM!</v>
      </c>
      <c r="GX92" s="22" t="e">
        <f t="shared" si="82"/>
        <v>#NUM!</v>
      </c>
      <c r="GY92" s="60" t="e">
        <f t="shared" si="83"/>
        <v>#NUM!</v>
      </c>
      <c r="GZ92" s="60">
        <f ca="1">AVERAGE(OFFSET($GY$3,0,0,'Données projet'!$E$18+1,1))-AVERAGE(OFFSET($H$3,0,0,'Données projet'!$E$18+1,1))</f>
        <v>136.03899433512379</v>
      </c>
      <c r="HA92" s="60">
        <f t="shared" si="106"/>
        <v>316.56646692826882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23.211419240328883</v>
      </c>
      <c r="HH92" s="23">
        <f>EXP(-LN(2)/25)*HH91+(1-EXP(-LN(2)/25))/(LN(2)/25)*Calculateur!HC92*Calculateur!HE92*VLOOKUP('Données projet'!$B$18,Paramètres!$A$1:$I$89,3,0)*0.475*44/12</f>
        <v>1.9638326692224706</v>
      </c>
      <c r="HI92" s="23">
        <f>EXP(-LN(2)/2)*HI91+(1-EXP(-LN(2)/2))/(LN(2)/2)*HC92*HF92*VLOOKUP('Données projet'!$B$18,Paramètres!$A$1:$I$89,3,0)*0.475*44/12</f>
        <v>3.8507976544626188E-9</v>
      </c>
      <c r="HJ92" s="24">
        <f t="shared" si="84"/>
        <v>25.17525191340215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3.8</v>
      </c>
      <c r="M93" s="13">
        <f t="array" ref="M93">INDEX(L:L,MIN(IF(ISNUMBER(L93:L289),ROW(L93:L289),"")))</f>
        <v>3.8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0">
        <f t="shared" si="55"/>
        <v>990.15060990620236</v>
      </c>
      <c r="S93" s="60">
        <f ca="1">AVERAGE(OFFSET($R$3,0,0,'Données projet'!$E$9+1,1))-AVERAGE(OFFSET($H$3,0,0,'Données projet'!$E$9+1,1))</f>
        <v>384.44848355636935</v>
      </c>
      <c r="T93" s="60">
        <f t="shared" si="88"/>
        <v>203.5274665601915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267.82080000000008</v>
      </c>
      <c r="AK93" s="14">
        <f t="shared" si="89"/>
        <v>64.386570147897373</v>
      </c>
      <c r="AL93" s="22">
        <f t="shared" si="58"/>
        <v>578.59450300758806</v>
      </c>
      <c r="AM93" s="60">
        <f t="shared" si="59"/>
        <v>871.92783634092143</v>
      </c>
      <c r="AN93" s="60">
        <f ca="1">AVERAGE(OFFSET($AM$3,0,0,'Données projet'!$E$10+1,1))-AVERAGE(OFFSET($H$3,0,0,'Données projet'!$E$10+1,1))</f>
        <v>303.73499739059076</v>
      </c>
      <c r="AO93" s="60">
        <f t="shared" si="90"/>
        <v>172.32171001882188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358</v>
      </c>
      <c r="BB93" s="13">
        <f>VLOOKUP(A93,'Données projet'!$A$87:$I$107,9,0)</f>
        <v>3.8</v>
      </c>
      <c r="BC93" s="13">
        <f t="array" ref="BC93">INDEX(BB:BB,MIN(IF(ISNUMBER(BB93:BB289),ROW(BB93:BB289),"")))</f>
        <v>3.8</v>
      </c>
      <c r="BD93" s="13">
        <f>IF('Données projet'!$A$88&gt;35,BD92+BC93-BL92,IF(A93&lt;'Données projet'!$A$88,$BA$205^A93,IF(A93='Données projet'!$A$88,'Données projet'!$B$88,BD92+BC93-BL92)))</f>
        <v>358.00000000000011</v>
      </c>
      <c r="BE93" s="14">
        <f>BD93*VLOOKUP('Données projet'!$B$11,Paramètres!$A$1:$I$89,3,0)*VLOOKUP('Données projet'!$B$11,Paramètres!$A$1:$I$89,5,0)</f>
        <v>301.57920000000013</v>
      </c>
      <c r="BF93" s="14">
        <f t="shared" si="91"/>
        <v>71.507423226130925</v>
      </c>
      <c r="BG93" s="22">
        <f t="shared" si="61"/>
        <v>649.79253545217819</v>
      </c>
      <c r="BH93" s="60">
        <f t="shared" si="62"/>
        <v>943.12586878551156</v>
      </c>
      <c r="BI93" s="60">
        <f ca="1">AVERAGE(OFFSET($BH$3,0,0,'Données projet'!$E$11+1,1))-AVERAGE(OFFSET($H$3,0,0,'Données projet'!$E$11+1,1))</f>
        <v>352.29660374042186</v>
      </c>
      <c r="BJ93" s="60">
        <f t="shared" si="92"/>
        <v>187.26439695305618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56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249.35040000000006</v>
      </c>
      <c r="CA93" s="14">
        <f t="shared" si="93"/>
        <v>60.446817732908166</v>
      </c>
      <c r="CB93" s="22">
        <f t="shared" si="64"/>
        <v>539.56348755148178</v>
      </c>
      <c r="CC93" s="60">
        <f t="shared" si="65"/>
        <v>832.89682088481504</v>
      </c>
      <c r="CD93" s="60">
        <f ca="1">AVERAGE(OFFSET($CC$3,0,0,'Données projet'!$E$12+1,1))-AVERAGE(OFFSET($H$3,0,0,'Données projet'!$E$12+1,1))</f>
        <v>277.03735509061545</v>
      </c>
      <c r="CE93" s="60">
        <f t="shared" si="94"/>
        <v>158.16416492761959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300.14400000000006</v>
      </c>
      <c r="CV93" s="14">
        <f t="shared" si="95"/>
        <v>71.206650563609855</v>
      </c>
      <c r="CW93" s="22">
        <f t="shared" si="67"/>
        <v>646.76904973162061</v>
      </c>
      <c r="CX93" s="60">
        <f t="shared" si="68"/>
        <v>940.10238306495398</v>
      </c>
      <c r="CY93" s="60">
        <f ca="1">AVERAGE(OFFSET($CX$3,0,0,'Données projet'!$E$13+1,1))-AVERAGE(OFFSET($H$3,0,0,'Données projet'!$E$13+1,1))</f>
        <v>350.3652766444938</v>
      </c>
      <c r="CZ93" s="60">
        <f t="shared" si="96"/>
        <v>197.04549436738586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3.4106051316484809E-13</v>
      </c>
      <c r="DP93" s="18">
        <f>DO93*VLOOKUP('Données projet'!$B$14,Paramètres!$A$1:$I$89,3,0)*VLOOKUP('Données projet'!$B$14,Paramètres!$A$1:$I$89,5,0)</f>
        <v>2.7134774427395314E-13</v>
      </c>
      <c r="DQ93" s="14">
        <f t="shared" si="97"/>
        <v>3.6292411711343559E-12</v>
      </c>
      <c r="DR93" s="22">
        <f t="shared" si="70"/>
        <v>6.7935256943361388E-12</v>
      </c>
      <c r="DS93" s="60">
        <f t="shared" si="71"/>
        <v>293.33333333334014</v>
      </c>
      <c r="DT93" s="60">
        <f ca="1">AVERAGE(OFFSET($DS$3,0,0,'Données projet'!$E$14+1,1))-AVERAGE(OFFSET($H$3,0,0,'Données projet'!$E$14+1,1))</f>
        <v>382.01991140382955</v>
      </c>
      <c r="DU93" s="60">
        <f t="shared" si="98"/>
        <v>389.53897948144339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323.92137573760789</v>
      </c>
      <c r="EP93" s="60">
        <f t="shared" si="100"/>
        <v>389.53897948144339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2.2737367544323206E-13</v>
      </c>
      <c r="FF93" s="18">
        <f>FE93*VLOOKUP('Données projet'!$B$16,Paramètres!$A$1:$I$89,3,0)*VLOOKUP('Données projet'!$B$16,Paramètres!$A$1:$I$89,5,0)</f>
        <v>1.8089849618263545E-13</v>
      </c>
      <c r="FG93" s="14">
        <f t="shared" si="101"/>
        <v>2.536422473342444E-12</v>
      </c>
      <c r="FH93" s="22">
        <f t="shared" si="76"/>
        <v>4.7326673552561798E-12</v>
      </c>
      <c r="FI93" s="60">
        <f t="shared" si="77"/>
        <v>293.33333333333803</v>
      </c>
      <c r="FJ93" s="60">
        <f ca="1">AVERAGE(OFFSET($FI$3,0,0,'Données projet'!$E$16+1,1))-AVERAGE(OFFSET($H$3,0,0,'Données projet'!$E$16+1,1))</f>
        <v>219.61164494001008</v>
      </c>
      <c r="FK93" s="60">
        <f t="shared" si="102"/>
        <v>219.59799863414111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8.1410256410256405</v>
      </c>
      <c r="FZ93" s="13">
        <f>IF('Données projet'!$A$244&gt;35,FZ92+FY93-GH92,IF(A93&lt;'Données projet'!$A$244,$FW$205^A93,IF(A93='Données projet'!$A$244,'Données projet'!$B$244,FZ92+FY93-GH92)))</f>
        <v>324.42307692307645</v>
      </c>
      <c r="GA93" s="18">
        <f>FZ93*VLOOKUP('Données projet'!$B$17,Paramètres!$A$1:$I$89,3,0)*VLOOKUP('Données projet'!$B$17,Paramètres!$A$1:$I$89,5,0)</f>
        <v>151.82999999999979</v>
      </c>
      <c r="GB93" s="14">
        <f t="shared" si="103"/>
        <v>38.994165732360706</v>
      </c>
      <c r="GC93" s="22">
        <f t="shared" si="79"/>
        <v>332.35208865052783</v>
      </c>
      <c r="GD93" s="60">
        <f t="shared" si="80"/>
        <v>625.68542198386115</v>
      </c>
      <c r="GE93" s="60">
        <f ca="1">AVERAGE(OFFSET($GD$3,0,0,'Données projet'!$E$17+1,1))-AVERAGE(OFFSET($H$3,0,0,'Données projet'!$E$17+1,1))</f>
        <v>147.5699668214238</v>
      </c>
      <c r="GF93" s="60">
        <f t="shared" si="104"/>
        <v>70.653739864908346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>
        <f>GU93*VLOOKUP('Données projet'!$B$18,Paramètres!$A$1:$I$89,3,0)*VLOOKUP('Données projet'!$B$18,Paramètres!$A$1:$I$89,5,0)</f>
        <v>0</v>
      </c>
      <c r="GW93" s="14" t="e">
        <f t="shared" si="105"/>
        <v>#NUM!</v>
      </c>
      <c r="GX93" s="22" t="e">
        <f t="shared" si="82"/>
        <v>#NUM!</v>
      </c>
      <c r="GY93" s="60" t="e">
        <f t="shared" si="83"/>
        <v>#NUM!</v>
      </c>
      <c r="GZ93" s="60">
        <f ca="1">AVERAGE(OFFSET($GY$3,0,0,'Données projet'!$E$18+1,1))-AVERAGE(OFFSET($H$3,0,0,'Données projet'!$E$18+1,1))</f>
        <v>136.03899433512379</v>
      </c>
      <c r="HA93" s="60">
        <f t="shared" si="106"/>
        <v>316.56646692826882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22.756257466593826</v>
      </c>
      <c r="HH93" s="23">
        <f>EXP(-LN(2)/25)*HH92+(1-EXP(-LN(2)/25))/(LN(2)/25)*Calculateur!HC93*Calculateur!HE93*VLOOKUP('Données projet'!$B$18,Paramètres!$A$1:$I$89,3,0)*0.475*44/12</f>
        <v>1.9101315616091104</v>
      </c>
      <c r="HI93" s="23">
        <f>EXP(-LN(2)/2)*HI92+(1-EXP(-LN(2)/2))/(LN(2)/2)*HC93*HF93*VLOOKUP('Données projet'!$B$18,Paramètres!$A$1:$I$89,3,0)*0.475*44/12</f>
        <v>2.7229251344477694E-9</v>
      </c>
      <c r="HJ93" s="24">
        <f t="shared" si="84"/>
        <v>24.66638903092586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0">
        <f t="shared" si="55"/>
        <v>894.65494548957918</v>
      </c>
      <c r="S94" s="60">
        <f ca="1">AVERAGE(OFFSET($R$3,0,0,'Données projet'!$E$9+1,1))-AVERAGE(OFFSET($H$3,0,0,'Données projet'!$E$9+1,1))</f>
        <v>384.44848355636935</v>
      </c>
      <c r="T94" s="60">
        <f t="shared" si="88"/>
        <v>203.5274665601915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234.25272000000001</v>
      </c>
      <c r="AK94" s="14">
        <f t="shared" si="89"/>
        <v>57.201236231171301</v>
      </c>
      <c r="AL94" s="22">
        <f t="shared" si="58"/>
        <v>507.61564043595672</v>
      </c>
      <c r="AM94" s="60">
        <f t="shared" si="59"/>
        <v>800.94897376928998</v>
      </c>
      <c r="AN94" s="60">
        <f ca="1">AVERAGE(OFFSET($AM$3,0,0,'Données projet'!$E$10+1,1))-AVERAGE(OFFSET($H$3,0,0,'Données projet'!$E$10+1,1))</f>
        <v>303.73499739059076</v>
      </c>
      <c r="AO94" s="60">
        <f t="shared" si="90"/>
        <v>172.32171001882188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5.9</v>
      </c>
      <c r="BD94" s="13">
        <f>IF('Données projet'!$A$88&gt;35,BD93+BC94-BL93,IF(A94&lt;'Données projet'!$A$88,$BA$205^A94,IF(A94='Données projet'!$A$88,'Données projet'!$B$88,BD93+BC94-BL93)))</f>
        <v>307.90000000000009</v>
      </c>
      <c r="BE94" s="14">
        <f>BD94*VLOOKUP('Données projet'!$B$11,Paramètres!$A$1:$I$89,3,0)*VLOOKUP('Données projet'!$B$11,Paramètres!$A$1:$I$89,5,0)</f>
        <v>259.3749600000001</v>
      </c>
      <c r="BF94" s="14">
        <f t="shared" si="91"/>
        <v>62.589126028863618</v>
      </c>
      <c r="BG94" s="22">
        <f t="shared" si="61"/>
        <v>560.75411650027092</v>
      </c>
      <c r="BH94" s="60">
        <f t="shared" si="62"/>
        <v>854.0874498336043</v>
      </c>
      <c r="BI94" s="60">
        <f ca="1">AVERAGE(OFFSET($BH$3,0,0,'Données projet'!$E$11+1,1))-AVERAGE(OFFSET($H$3,0,0,'Données projet'!$E$11+1,1))</f>
        <v>352.29660374042186</v>
      </c>
      <c r="BJ94" s="60">
        <f t="shared" si="92"/>
        <v>187.26439695305618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218.09736000000007</v>
      </c>
      <c r="CA94" s="14">
        <f t="shared" si="93"/>
        <v>53.701147500486194</v>
      </c>
      <c r="CB94" s="22">
        <f t="shared" si="64"/>
        <v>473.38240056334689</v>
      </c>
      <c r="CC94" s="60">
        <f t="shared" si="65"/>
        <v>766.71573389668015</v>
      </c>
      <c r="CD94" s="60">
        <f ca="1">AVERAGE(OFFSET($CC$3,0,0,'Données projet'!$E$12+1,1))-AVERAGE(OFFSET($H$3,0,0,'Données projet'!$E$12+1,1))</f>
        <v>277.03735509061545</v>
      </c>
      <c r="CE94" s="60">
        <f t="shared" si="94"/>
        <v>158.16416492761959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262.52460000000002</v>
      </c>
      <c r="CV94" s="14">
        <f t="shared" si="95"/>
        <v>63.260217631774687</v>
      </c>
      <c r="CW94" s="22">
        <f t="shared" si="67"/>
        <v>567.40855737534105</v>
      </c>
      <c r="CX94" s="60">
        <f t="shared" si="68"/>
        <v>860.74189070867442</v>
      </c>
      <c r="CY94" s="60">
        <f ca="1">AVERAGE(OFFSET($CX$3,0,0,'Données projet'!$E$13+1,1))-AVERAGE(OFFSET($H$3,0,0,'Données projet'!$E$13+1,1))</f>
        <v>350.3652766444938</v>
      </c>
      <c r="CZ94" s="60">
        <f t="shared" si="96"/>
        <v>197.04549436738586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3.4106051316484809E-13</v>
      </c>
      <c r="DP94" s="18">
        <f>DO94*VLOOKUP('Données projet'!$B$14,Paramètres!$A$1:$I$89,3,0)*VLOOKUP('Données projet'!$B$14,Paramètres!$A$1:$I$89,5,0)</f>
        <v>2.7134774427395314E-13</v>
      </c>
      <c r="DQ94" s="14">
        <f t="shared" si="97"/>
        <v>3.6292411711343559E-12</v>
      </c>
      <c r="DR94" s="22">
        <f t="shared" si="70"/>
        <v>6.7935256943361388E-12</v>
      </c>
      <c r="DS94" s="60">
        <f t="shared" si="71"/>
        <v>293.33333333334014</v>
      </c>
      <c r="DT94" s="60">
        <f ca="1">AVERAGE(OFFSET($DS$3,0,0,'Données projet'!$E$14+1,1))-AVERAGE(OFFSET($H$3,0,0,'Données projet'!$E$14+1,1))</f>
        <v>382.01991140382955</v>
      </c>
      <c r="DU94" s="60">
        <f t="shared" si="98"/>
        <v>389.53897948144339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323.92137573760789</v>
      </c>
      <c r="EP94" s="60">
        <f t="shared" si="100"/>
        <v>389.53897948144339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2.2737367544323206E-13</v>
      </c>
      <c r="FF94" s="18">
        <f>FE94*VLOOKUP('Données projet'!$B$16,Paramètres!$A$1:$I$89,3,0)*VLOOKUP('Données projet'!$B$16,Paramètres!$A$1:$I$89,5,0)</f>
        <v>1.8089849618263545E-13</v>
      </c>
      <c r="FG94" s="14">
        <f t="shared" si="101"/>
        <v>2.536422473342444E-12</v>
      </c>
      <c r="FH94" s="22">
        <f t="shared" si="76"/>
        <v>4.7326673552561798E-12</v>
      </c>
      <c r="FI94" s="60">
        <f t="shared" si="77"/>
        <v>293.33333333333803</v>
      </c>
      <c r="FJ94" s="60">
        <f ca="1">AVERAGE(OFFSET($FI$3,0,0,'Données projet'!$E$16+1,1))-AVERAGE(OFFSET($H$3,0,0,'Données projet'!$E$16+1,1))</f>
        <v>219.61164494001008</v>
      </c>
      <c r="FK94" s="60">
        <f t="shared" si="102"/>
        <v>219.59799863414111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8.1410256410256405</v>
      </c>
      <c r="FZ94" s="13">
        <f>IF('Données projet'!$A$244&gt;35,FZ93+FY94-GH93,IF(A94&lt;'Données projet'!$A$244,$FW$205^A94,IF(A94='Données projet'!$A$244,'Données projet'!$B$244,FZ93+FY94-GH93)))</f>
        <v>332.56410256410209</v>
      </c>
      <c r="GA94" s="18">
        <f>FZ94*VLOOKUP('Données projet'!$B$17,Paramètres!$A$1:$I$89,3,0)*VLOOKUP('Données projet'!$B$17,Paramètres!$A$1:$I$89,5,0)</f>
        <v>155.63999999999979</v>
      </c>
      <c r="GB94" s="14">
        <f t="shared" si="103"/>
        <v>39.857529549413819</v>
      </c>
      <c r="GC94" s="22">
        <f t="shared" si="79"/>
        <v>340.49153063189533</v>
      </c>
      <c r="GD94" s="60">
        <f t="shared" si="80"/>
        <v>633.82486396522859</v>
      </c>
      <c r="GE94" s="60">
        <f ca="1">AVERAGE(OFFSET($GD$3,0,0,'Données projet'!$E$17+1,1))-AVERAGE(OFFSET($H$3,0,0,'Données projet'!$E$17+1,1))</f>
        <v>147.5699668214238</v>
      </c>
      <c r="GF94" s="60">
        <f t="shared" si="104"/>
        <v>70.653739864908346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>
        <f>GU94*VLOOKUP('Données projet'!$B$18,Paramètres!$A$1:$I$89,3,0)*VLOOKUP('Données projet'!$B$18,Paramètres!$A$1:$I$89,5,0)</f>
        <v>0</v>
      </c>
      <c r="GW94" s="14" t="e">
        <f t="shared" si="105"/>
        <v>#NUM!</v>
      </c>
      <c r="GX94" s="22" t="e">
        <f t="shared" si="82"/>
        <v>#NUM!</v>
      </c>
      <c r="GY94" s="60" t="e">
        <f t="shared" si="83"/>
        <v>#NUM!</v>
      </c>
      <c r="GZ94" s="60">
        <f ca="1">AVERAGE(OFFSET($GY$3,0,0,'Données projet'!$E$18+1,1))-AVERAGE(OFFSET($H$3,0,0,'Données projet'!$E$18+1,1))</f>
        <v>136.03899433512379</v>
      </c>
      <c r="HA94" s="60">
        <f t="shared" si="106"/>
        <v>316.56646692826882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22.310021137620446</v>
      </c>
      <c r="HH94" s="23">
        <f>EXP(-LN(2)/25)*HH93+(1-EXP(-LN(2)/25))/(LN(2)/25)*Calculateur!HC94*Calculateur!HE94*VLOOKUP('Données projet'!$B$18,Paramètres!$A$1:$I$89,3,0)*0.475*44/12</f>
        <v>1.857898913607456</v>
      </c>
      <c r="HI94" s="23">
        <f>EXP(-LN(2)/2)*HI93+(1-EXP(-LN(2)/2))/(LN(2)/2)*HC94*HF94*VLOOKUP('Données projet'!$B$18,Paramètres!$A$1:$I$89,3,0)*0.475*44/12</f>
        <v>1.9253988272313094E-9</v>
      </c>
      <c r="HJ94" s="24">
        <f t="shared" si="84"/>
        <v>24.167920053153303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0">
        <f t="shared" si="55"/>
        <v>905.91634374468708</v>
      </c>
      <c r="S95" s="60">
        <f ca="1">AVERAGE(OFFSET($R$3,0,0,'Données projet'!$E$9+1,1))-AVERAGE(OFFSET($H$3,0,0,'Données projet'!$E$9+1,1))</f>
        <v>384.44848355636935</v>
      </c>
      <c r="T95" s="60">
        <f t="shared" si="88"/>
        <v>203.5274665601915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238.68624</v>
      </c>
      <c r="AK95" s="14">
        <f t="shared" si="89"/>
        <v>58.156778382060871</v>
      </c>
      <c r="AL95" s="22">
        <f t="shared" si="58"/>
        <v>517.00159034875594</v>
      </c>
      <c r="AM95" s="60">
        <f t="shared" si="59"/>
        <v>810.33492368208931</v>
      </c>
      <c r="AN95" s="60">
        <f ca="1">AVERAGE(OFFSET($AM$3,0,0,'Données projet'!$E$10+1,1))-AVERAGE(OFFSET($H$3,0,0,'Données projet'!$E$10+1,1))</f>
        <v>303.73499739059076</v>
      </c>
      <c r="AO95" s="60">
        <f t="shared" si="90"/>
        <v>172.32171001882188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5.9</v>
      </c>
      <c r="BD95" s="13">
        <f>IF('Données projet'!$A$88&gt;35,BD94+BC95-BL94,IF(A95&lt;'Données projet'!$A$88,$BA$205^A95,IF(A95='Données projet'!$A$88,'Données projet'!$B$88,BD94+BC95-BL94)))</f>
        <v>313.80000000000007</v>
      </c>
      <c r="BE95" s="14">
        <f>BD95*VLOOKUP('Données projet'!$B$11,Paramètres!$A$1:$I$89,3,0)*VLOOKUP('Données projet'!$B$11,Paramètres!$A$1:$I$89,5,0)</f>
        <v>264.34512000000012</v>
      </c>
      <c r="BF95" s="14">
        <f t="shared" si="91"/>
        <v>63.64768664182855</v>
      </c>
      <c r="BG95" s="22">
        <f t="shared" si="61"/>
        <v>571.25413823451822</v>
      </c>
      <c r="BH95" s="60">
        <f t="shared" si="62"/>
        <v>864.58747156785148</v>
      </c>
      <c r="BI95" s="60">
        <f ca="1">AVERAGE(OFFSET($BH$3,0,0,'Données projet'!$E$11+1,1))-AVERAGE(OFFSET($H$3,0,0,'Données projet'!$E$11+1,1))</f>
        <v>352.29660374042186</v>
      </c>
      <c r="BJ95" s="60">
        <f t="shared" si="92"/>
        <v>187.26439695305618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222.22512000000006</v>
      </c>
      <c r="CA95" s="14">
        <f t="shared" si="93"/>
        <v>54.598220944501897</v>
      </c>
      <c r="CB95" s="22">
        <f t="shared" si="64"/>
        <v>482.13398547834095</v>
      </c>
      <c r="CC95" s="60">
        <f t="shared" si="65"/>
        <v>775.4673188116742</v>
      </c>
      <c r="CD95" s="60">
        <f ca="1">AVERAGE(OFFSET($CC$3,0,0,'Données projet'!$E$12+1,1))-AVERAGE(OFFSET($H$3,0,0,'Données projet'!$E$12+1,1))</f>
        <v>277.03735509061545</v>
      </c>
      <c r="CE95" s="60">
        <f t="shared" si="94"/>
        <v>158.16416492761959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267.49320000000006</v>
      </c>
      <c r="CV95" s="14">
        <f t="shared" si="95"/>
        <v>64.316974590266341</v>
      </c>
      <c r="CW95" s="22">
        <f t="shared" si="67"/>
        <v>577.90272074471397</v>
      </c>
      <c r="CX95" s="60">
        <f t="shared" si="68"/>
        <v>871.23605407804735</v>
      </c>
      <c r="CY95" s="60">
        <f ca="1">AVERAGE(OFFSET($CX$3,0,0,'Données projet'!$E$13+1,1))-AVERAGE(OFFSET($H$3,0,0,'Données projet'!$E$13+1,1))</f>
        <v>350.3652766444938</v>
      </c>
      <c r="CZ95" s="60">
        <f t="shared" si="96"/>
        <v>197.04549436738586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3.4106051316484809E-13</v>
      </c>
      <c r="DP95" s="18">
        <f>DO95*VLOOKUP('Données projet'!$B$14,Paramètres!$A$1:$I$89,3,0)*VLOOKUP('Données projet'!$B$14,Paramètres!$A$1:$I$89,5,0)</f>
        <v>2.7134774427395314E-13</v>
      </c>
      <c r="DQ95" s="14">
        <f t="shared" si="97"/>
        <v>3.6292411711343559E-12</v>
      </c>
      <c r="DR95" s="22">
        <f t="shared" si="70"/>
        <v>6.7935256943361388E-12</v>
      </c>
      <c r="DS95" s="60">
        <f t="shared" si="71"/>
        <v>293.33333333334014</v>
      </c>
      <c r="DT95" s="60">
        <f ca="1">AVERAGE(OFFSET($DS$3,0,0,'Données projet'!$E$14+1,1))-AVERAGE(OFFSET($H$3,0,0,'Données projet'!$E$14+1,1))</f>
        <v>382.01991140382955</v>
      </c>
      <c r="DU95" s="60">
        <f t="shared" si="98"/>
        <v>389.53897948144339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323.92137573760789</v>
      </c>
      <c r="EP95" s="60">
        <f t="shared" si="100"/>
        <v>389.53897948144339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2.2737367544323206E-13</v>
      </c>
      <c r="FF95" s="18">
        <f>FE95*VLOOKUP('Données projet'!$B$16,Paramètres!$A$1:$I$89,3,0)*VLOOKUP('Données projet'!$B$16,Paramètres!$A$1:$I$89,5,0)</f>
        <v>1.8089849618263545E-13</v>
      </c>
      <c r="FG95" s="14">
        <f t="shared" si="101"/>
        <v>2.536422473342444E-12</v>
      </c>
      <c r="FH95" s="22">
        <f t="shared" si="76"/>
        <v>4.7326673552561798E-12</v>
      </c>
      <c r="FI95" s="60">
        <f t="shared" si="77"/>
        <v>293.33333333333803</v>
      </c>
      <c r="FJ95" s="60">
        <f ca="1">AVERAGE(OFFSET($FI$3,0,0,'Données projet'!$E$16+1,1))-AVERAGE(OFFSET($H$3,0,0,'Données projet'!$E$16+1,1))</f>
        <v>219.61164494001008</v>
      </c>
      <c r="FK95" s="60">
        <f t="shared" si="102"/>
        <v>219.59799863414111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8.1410256410256405</v>
      </c>
      <c r="FZ95" s="13">
        <f>IF('Données projet'!$A$244&gt;35,FZ94+FY95-GH94,IF(A95&lt;'Données projet'!$A$244,$FW$205^A95,IF(A95='Données projet'!$A$244,'Données projet'!$B$244,FZ94+FY95-GH94)))</f>
        <v>340.70512820512772</v>
      </c>
      <c r="GA95" s="18">
        <f>FZ95*VLOOKUP('Données projet'!$B$17,Paramètres!$A$1:$I$89,3,0)*VLOOKUP('Données projet'!$B$17,Paramètres!$A$1:$I$89,5,0)</f>
        <v>159.44999999999976</v>
      </c>
      <c r="GB95" s="14">
        <f t="shared" si="103"/>
        <v>40.718436521095953</v>
      </c>
      <c r="GC95" s="22">
        <f t="shared" si="79"/>
        <v>348.62669360757508</v>
      </c>
      <c r="GD95" s="60">
        <f t="shared" si="80"/>
        <v>641.96002694090839</v>
      </c>
      <c r="GE95" s="60">
        <f ca="1">AVERAGE(OFFSET($GD$3,0,0,'Données projet'!$E$17+1,1))-AVERAGE(OFFSET($H$3,0,0,'Données projet'!$E$17+1,1))</f>
        <v>147.5699668214238</v>
      </c>
      <c r="GF95" s="60">
        <f t="shared" si="104"/>
        <v>70.653739864908346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>
        <f>GU95*VLOOKUP('Données projet'!$B$18,Paramètres!$A$1:$I$89,3,0)*VLOOKUP('Données projet'!$B$18,Paramètres!$A$1:$I$89,5,0)</f>
        <v>0</v>
      </c>
      <c r="GW95" s="14" t="e">
        <f t="shared" si="105"/>
        <v>#NUM!</v>
      </c>
      <c r="GX95" s="22" t="e">
        <f t="shared" si="82"/>
        <v>#NUM!</v>
      </c>
      <c r="GY95" s="60" t="e">
        <f t="shared" si="83"/>
        <v>#NUM!</v>
      </c>
      <c r="GZ95" s="60">
        <f ca="1">AVERAGE(OFFSET($GY$3,0,0,'Données projet'!$E$18+1,1))-AVERAGE(OFFSET($H$3,0,0,'Données projet'!$E$18+1,1))</f>
        <v>136.03899433512379</v>
      </c>
      <c r="HA95" s="60">
        <f t="shared" si="106"/>
        <v>316.56646692826882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21.872535230880946</v>
      </c>
      <c r="HH95" s="23">
        <f>EXP(-LN(2)/25)*HH94+(1-EXP(-LN(2)/25))/(LN(2)/25)*Calculateur!HC95*Calculateur!HE95*VLOOKUP('Données projet'!$B$18,Paramètres!$A$1:$I$89,3,0)*0.475*44/12</f>
        <v>1.8070945701122025</v>
      </c>
      <c r="HI95" s="23">
        <f>EXP(-LN(2)/2)*HI94+(1-EXP(-LN(2)/2))/(LN(2)/2)*HC95*HF95*VLOOKUP('Données projet'!$B$18,Paramètres!$A$1:$I$89,3,0)*0.475*44/12</f>
        <v>1.3614625672238847E-9</v>
      </c>
      <c r="HJ95" s="24">
        <f t="shared" si="84"/>
        <v>23.679629802354611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0">
        <f t="shared" si="55"/>
        <v>917.17344854814269</v>
      </c>
      <c r="S96" s="60">
        <f ca="1">AVERAGE(OFFSET($R$3,0,0,'Données projet'!$E$9+1,1))-AVERAGE(OFFSET($H$3,0,0,'Données projet'!$E$9+1,1))</f>
        <v>384.44848355636935</v>
      </c>
      <c r="T96" s="60">
        <f t="shared" si="88"/>
        <v>203.5274665601915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243.11975999999996</v>
      </c>
      <c r="AK96" s="14">
        <f t="shared" si="89"/>
        <v>59.110256668778533</v>
      </c>
      <c r="AL96" s="22">
        <f t="shared" si="58"/>
        <v>526.3839456981226</v>
      </c>
      <c r="AM96" s="60">
        <f t="shared" si="59"/>
        <v>819.71727903145597</v>
      </c>
      <c r="AN96" s="60">
        <f ca="1">AVERAGE(OFFSET($AM$3,0,0,'Données projet'!$E$10+1,1))-AVERAGE(OFFSET($H$3,0,0,'Données projet'!$E$10+1,1))</f>
        <v>303.73499739059076</v>
      </c>
      <c r="AO96" s="60">
        <f t="shared" si="90"/>
        <v>172.32171001882188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5.9</v>
      </c>
      <c r="BD96" s="13">
        <f>IF('Données projet'!$A$88&gt;35,BD95+BC96-BL95,IF(A96&lt;'Données projet'!$A$88,$BA$205^A96,IF(A96='Données projet'!$A$88,'Données projet'!$B$88,BD95+BC96-BL95)))</f>
        <v>319.70000000000005</v>
      </c>
      <c r="BE96" s="14">
        <f>BD96*VLOOKUP('Données projet'!$B$11,Paramètres!$A$1:$I$89,3,0)*VLOOKUP('Données projet'!$B$11,Paramètres!$A$1:$I$89,5,0)</f>
        <v>269.31528000000009</v>
      </c>
      <c r="BF96" s="14">
        <f t="shared" si="91"/>
        <v>64.703932954620839</v>
      </c>
      <c r="BG96" s="22">
        <f t="shared" si="61"/>
        <v>581.75012922929807</v>
      </c>
      <c r="BH96" s="60">
        <f t="shared" si="62"/>
        <v>875.08346256263144</v>
      </c>
      <c r="BI96" s="60">
        <f ca="1">AVERAGE(OFFSET($BH$3,0,0,'Données projet'!$E$11+1,1))-AVERAGE(OFFSET($H$3,0,0,'Données projet'!$E$11+1,1))</f>
        <v>352.29660374042186</v>
      </c>
      <c r="BJ96" s="60">
        <f t="shared" si="92"/>
        <v>187.26439695305618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226.35288000000003</v>
      </c>
      <c r="CA96" s="14">
        <f t="shared" si="93"/>
        <v>55.493356810213015</v>
      </c>
      <c r="CB96" s="22">
        <f t="shared" si="64"/>
        <v>490.88219577778773</v>
      </c>
      <c r="CC96" s="60">
        <f t="shared" si="65"/>
        <v>784.21552911112099</v>
      </c>
      <c r="CD96" s="60">
        <f ca="1">AVERAGE(OFFSET($CC$3,0,0,'Données projet'!$E$12+1,1))-AVERAGE(OFFSET($H$3,0,0,'Données projet'!$E$12+1,1))</f>
        <v>277.03735509061545</v>
      </c>
      <c r="CE96" s="60">
        <f t="shared" si="94"/>
        <v>158.16416492761959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272.46180000000004</v>
      </c>
      <c r="CV96" s="14">
        <f t="shared" si="95"/>
        <v>65.371449071921944</v>
      </c>
      <c r="CW96" s="22">
        <f t="shared" si="67"/>
        <v>588.39290880026408</v>
      </c>
      <c r="CX96" s="60">
        <f t="shared" si="68"/>
        <v>881.72624213359745</v>
      </c>
      <c r="CY96" s="60">
        <f ca="1">AVERAGE(OFFSET($CX$3,0,0,'Données projet'!$E$13+1,1))-AVERAGE(OFFSET($H$3,0,0,'Données projet'!$E$13+1,1))</f>
        <v>350.3652766444938</v>
      </c>
      <c r="CZ96" s="60">
        <f t="shared" si="96"/>
        <v>197.04549436738586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3.4106051316484809E-13</v>
      </c>
      <c r="DP96" s="18">
        <f>DO96*VLOOKUP('Données projet'!$B$14,Paramètres!$A$1:$I$89,3,0)*VLOOKUP('Données projet'!$B$14,Paramètres!$A$1:$I$89,5,0)</f>
        <v>2.7134774427395314E-13</v>
      </c>
      <c r="DQ96" s="14">
        <f t="shared" si="97"/>
        <v>3.6292411711343559E-12</v>
      </c>
      <c r="DR96" s="22">
        <f t="shared" si="70"/>
        <v>6.7935256943361388E-12</v>
      </c>
      <c r="DS96" s="60">
        <f t="shared" si="71"/>
        <v>293.33333333334014</v>
      </c>
      <c r="DT96" s="60">
        <f ca="1">AVERAGE(OFFSET($DS$3,0,0,'Données projet'!$E$14+1,1))-AVERAGE(OFFSET($H$3,0,0,'Données projet'!$E$14+1,1))</f>
        <v>382.01991140382955</v>
      </c>
      <c r="DU96" s="60">
        <f t="shared" si="98"/>
        <v>389.53897948144339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323.92137573760789</v>
      </c>
      <c r="EP96" s="60">
        <f t="shared" si="100"/>
        <v>389.53897948144339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2.2737367544323206E-13</v>
      </c>
      <c r="FF96" s="18">
        <f>FE96*VLOOKUP('Données projet'!$B$16,Paramètres!$A$1:$I$89,3,0)*VLOOKUP('Données projet'!$B$16,Paramètres!$A$1:$I$89,5,0)</f>
        <v>1.8089849618263545E-13</v>
      </c>
      <c r="FG96" s="14">
        <f t="shared" si="101"/>
        <v>2.536422473342444E-12</v>
      </c>
      <c r="FH96" s="22">
        <f t="shared" si="76"/>
        <v>4.7326673552561798E-12</v>
      </c>
      <c r="FI96" s="60">
        <f t="shared" si="77"/>
        <v>293.33333333333803</v>
      </c>
      <c r="FJ96" s="60">
        <f ca="1">AVERAGE(OFFSET($FI$3,0,0,'Données projet'!$E$16+1,1))-AVERAGE(OFFSET($H$3,0,0,'Données projet'!$E$16+1,1))</f>
        <v>219.61164494001008</v>
      </c>
      <c r="FK96" s="60">
        <f t="shared" si="102"/>
        <v>219.59799863414111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8.1410256410256405</v>
      </c>
      <c r="FZ96" s="13">
        <f>IF('Données projet'!$A$244&gt;35,FZ95+FY96-GH95,IF(A96&lt;'Données projet'!$A$244,$FW$205^A96,IF(A96='Données projet'!$A$244,'Données projet'!$B$244,FZ95+FY96-GH95)))</f>
        <v>348.84615384615336</v>
      </c>
      <c r="GA96" s="18">
        <f>FZ96*VLOOKUP('Données projet'!$B$17,Paramètres!$A$1:$I$89,3,0)*VLOOKUP('Données projet'!$B$17,Paramètres!$A$1:$I$89,5,0)</f>
        <v>163.25999999999976</v>
      </c>
      <c r="GB96" s="14">
        <f t="shared" si="103"/>
        <v>41.576952107686338</v>
      </c>
      <c r="GC96" s="22">
        <f t="shared" si="79"/>
        <v>356.75769158755321</v>
      </c>
      <c r="GD96" s="60">
        <f t="shared" si="80"/>
        <v>650.09102492088653</v>
      </c>
      <c r="GE96" s="60">
        <f ca="1">AVERAGE(OFFSET($GD$3,0,0,'Données projet'!$E$17+1,1))-AVERAGE(OFFSET($H$3,0,0,'Données projet'!$E$17+1,1))</f>
        <v>147.5699668214238</v>
      </c>
      <c r="GF96" s="60">
        <f t="shared" si="104"/>
        <v>70.653739864908346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>
        <f>GU96*VLOOKUP('Données projet'!$B$18,Paramètres!$A$1:$I$89,3,0)*VLOOKUP('Données projet'!$B$18,Paramètres!$A$1:$I$89,5,0)</f>
        <v>0</v>
      </c>
      <c r="GW96" s="14" t="e">
        <f t="shared" si="105"/>
        <v>#NUM!</v>
      </c>
      <c r="GX96" s="22" t="e">
        <f t="shared" si="82"/>
        <v>#NUM!</v>
      </c>
      <c r="GY96" s="60" t="e">
        <f t="shared" si="83"/>
        <v>#NUM!</v>
      </c>
      <c r="GZ96" s="60">
        <f ca="1">AVERAGE(OFFSET($GY$3,0,0,'Données projet'!$E$18+1,1))-AVERAGE(OFFSET($H$3,0,0,'Données projet'!$E$18+1,1))</f>
        <v>136.03899433512379</v>
      </c>
      <c r="HA96" s="60">
        <f t="shared" si="106"/>
        <v>316.56646692826882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21.443628155932554</v>
      </c>
      <c r="HH96" s="23">
        <f>EXP(-LN(2)/25)*HH95+(1-EXP(-LN(2)/25))/(LN(2)/25)*Calculateur!HC96*Calculateur!HE96*VLOOKUP('Données projet'!$B$18,Paramètres!$A$1:$I$89,3,0)*0.475*44/12</f>
        <v>1.7576794740615111</v>
      </c>
      <c r="HI96" s="23">
        <f>EXP(-LN(2)/2)*HI95+(1-EXP(-LN(2)/2))/(LN(2)/2)*HC96*HF96*VLOOKUP('Données projet'!$B$18,Paramètres!$A$1:$I$89,3,0)*0.475*44/12</f>
        <v>9.626994136156547E-10</v>
      </c>
      <c r="HJ96" s="24">
        <f t="shared" si="84"/>
        <v>23.201307630956766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0">
        <f t="shared" si="55"/>
        <v>928.42634827284928</v>
      </c>
      <c r="S97" s="60">
        <f ca="1">AVERAGE(OFFSET($R$3,0,0,'Données projet'!$E$9+1,1))-AVERAGE(OFFSET($H$3,0,0,'Données projet'!$E$9+1,1))</f>
        <v>384.44848355636935</v>
      </c>
      <c r="T97" s="60">
        <f t="shared" si="88"/>
        <v>203.5274665601915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247.55327999999994</v>
      </c>
      <c r="AK97" s="14">
        <f t="shared" si="89"/>
        <v>60.061713068870255</v>
      </c>
      <c r="AL97" s="22">
        <f t="shared" si="58"/>
        <v>535.76277959494894</v>
      </c>
      <c r="AM97" s="60">
        <f t="shared" si="59"/>
        <v>829.09611292828231</v>
      </c>
      <c r="AN97" s="60">
        <f ca="1">AVERAGE(OFFSET($AM$3,0,0,'Données projet'!$E$10+1,1))-AVERAGE(OFFSET($H$3,0,0,'Données projet'!$E$10+1,1))</f>
        <v>303.73499739059076</v>
      </c>
      <c r="AO97" s="60">
        <f t="shared" si="90"/>
        <v>172.32171001882188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5.9</v>
      </c>
      <c r="BD97" s="13">
        <f>IF('Données projet'!$A$88&gt;35,BD96+BC97-BL96,IF(A97&lt;'Données projet'!$A$88,$BA$205^A97,IF(A97='Données projet'!$A$88,'Données projet'!$B$88,BD96+BC97-BL96)))</f>
        <v>325.60000000000002</v>
      </c>
      <c r="BE97" s="14">
        <f>BD97*VLOOKUP('Données projet'!$B$11,Paramètres!$A$1:$I$89,3,0)*VLOOKUP('Données projet'!$B$11,Paramètres!$A$1:$I$89,5,0)</f>
        <v>274.28544000000005</v>
      </c>
      <c r="BF97" s="14">
        <f t="shared" si="91"/>
        <v>65.75791260290552</v>
      </c>
      <c r="BG97" s="22">
        <f t="shared" si="61"/>
        <v>592.24217245006048</v>
      </c>
      <c r="BH97" s="60">
        <f t="shared" si="62"/>
        <v>885.57550578339374</v>
      </c>
      <c r="BI97" s="60">
        <f ca="1">AVERAGE(OFFSET($BH$3,0,0,'Données projet'!$E$11+1,1))-AVERAGE(OFFSET($H$3,0,0,'Données projet'!$E$11+1,1))</f>
        <v>352.29660374042186</v>
      </c>
      <c r="BJ97" s="60">
        <f t="shared" si="92"/>
        <v>187.26439695305618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230.48063999999999</v>
      </c>
      <c r="CA97" s="14">
        <f t="shared" si="93"/>
        <v>56.386594506599792</v>
      </c>
      <c r="CB97" s="22">
        <f t="shared" si="64"/>
        <v>499.62710009899462</v>
      </c>
      <c r="CC97" s="60">
        <f t="shared" si="65"/>
        <v>792.96043343232793</v>
      </c>
      <c r="CD97" s="60">
        <f ca="1">AVERAGE(OFFSET($CC$3,0,0,'Données projet'!$E$12+1,1))-AVERAGE(OFFSET($H$3,0,0,'Données projet'!$E$12+1,1))</f>
        <v>277.03735509061545</v>
      </c>
      <c r="CE97" s="60">
        <f t="shared" si="94"/>
        <v>158.16416492761959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277.43039999999996</v>
      </c>
      <c r="CV97" s="14">
        <f t="shared" si="95"/>
        <v>66.423687500715673</v>
      </c>
      <c r="CW97" s="22">
        <f t="shared" si="67"/>
        <v>598.87920239707967</v>
      </c>
      <c r="CX97" s="60">
        <f t="shared" si="68"/>
        <v>892.21253573041304</v>
      </c>
      <c r="CY97" s="60">
        <f ca="1">AVERAGE(OFFSET($CX$3,0,0,'Données projet'!$E$13+1,1))-AVERAGE(OFFSET($H$3,0,0,'Données projet'!$E$13+1,1))</f>
        <v>350.3652766444938</v>
      </c>
      <c r="CZ97" s="60">
        <f t="shared" si="96"/>
        <v>197.04549436738586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3.4106051316484809E-13</v>
      </c>
      <c r="DP97" s="18">
        <f>DO97*VLOOKUP('Données projet'!$B$14,Paramètres!$A$1:$I$89,3,0)*VLOOKUP('Données projet'!$B$14,Paramètres!$A$1:$I$89,5,0)</f>
        <v>2.7134774427395314E-13</v>
      </c>
      <c r="DQ97" s="14">
        <f t="shared" si="97"/>
        <v>3.6292411711343559E-12</v>
      </c>
      <c r="DR97" s="22">
        <f t="shared" si="70"/>
        <v>6.7935256943361388E-12</v>
      </c>
      <c r="DS97" s="60">
        <f t="shared" si="71"/>
        <v>293.33333333334014</v>
      </c>
      <c r="DT97" s="60">
        <f ca="1">AVERAGE(OFFSET($DS$3,0,0,'Données projet'!$E$14+1,1))-AVERAGE(OFFSET($H$3,0,0,'Données projet'!$E$14+1,1))</f>
        <v>382.01991140382955</v>
      </c>
      <c r="DU97" s="60">
        <f t="shared" si="98"/>
        <v>389.53897948144339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323.92137573760789</v>
      </c>
      <c r="EP97" s="60">
        <f t="shared" si="100"/>
        <v>389.53897948144339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2.2737367544323206E-13</v>
      </c>
      <c r="FF97" s="18">
        <f>FE97*VLOOKUP('Données projet'!$B$16,Paramètres!$A$1:$I$89,3,0)*VLOOKUP('Données projet'!$B$16,Paramètres!$A$1:$I$89,5,0)</f>
        <v>1.8089849618263545E-13</v>
      </c>
      <c r="FG97" s="14">
        <f t="shared" si="101"/>
        <v>2.536422473342444E-12</v>
      </c>
      <c r="FH97" s="22">
        <f t="shared" si="76"/>
        <v>4.7326673552561798E-12</v>
      </c>
      <c r="FI97" s="60">
        <f t="shared" si="77"/>
        <v>293.33333333333803</v>
      </c>
      <c r="FJ97" s="60">
        <f ca="1">AVERAGE(OFFSET($FI$3,0,0,'Données projet'!$E$16+1,1))-AVERAGE(OFFSET($H$3,0,0,'Données projet'!$E$16+1,1))</f>
        <v>219.61164494001008</v>
      </c>
      <c r="FK97" s="60">
        <f t="shared" si="102"/>
        <v>219.59799863414111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8.1410256410256405</v>
      </c>
      <c r="FZ97" s="13">
        <f>IF('Données projet'!$A$244&gt;35,FZ96+FY97-GH96,IF(A97&lt;'Données projet'!$A$244,$FW$205^A97,IF(A97='Données projet'!$A$244,'Données projet'!$B$244,FZ96+FY97-GH96)))</f>
        <v>356.98717948717899</v>
      </c>
      <c r="GA97" s="18">
        <f>FZ97*VLOOKUP('Données projet'!$B$17,Paramètres!$A$1:$I$89,3,0)*VLOOKUP('Données projet'!$B$17,Paramètres!$A$1:$I$89,5,0)</f>
        <v>167.06999999999977</v>
      </c>
      <c r="GB97" s="14">
        <f t="shared" si="103"/>
        <v>42.433138539856941</v>
      </c>
      <c r="GC97" s="22">
        <f t="shared" si="79"/>
        <v>364.88463295691707</v>
      </c>
      <c r="GD97" s="60">
        <f t="shared" si="80"/>
        <v>658.21796629025039</v>
      </c>
      <c r="GE97" s="60">
        <f ca="1">AVERAGE(OFFSET($GD$3,0,0,'Données projet'!$E$17+1,1))-AVERAGE(OFFSET($H$3,0,0,'Données projet'!$E$17+1,1))</f>
        <v>147.5699668214238</v>
      </c>
      <c r="GF97" s="60">
        <f t="shared" si="104"/>
        <v>70.653739864908346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>
        <f>GU97*VLOOKUP('Données projet'!$B$18,Paramètres!$A$1:$I$89,3,0)*VLOOKUP('Données projet'!$B$18,Paramètres!$A$1:$I$89,5,0)</f>
        <v>0</v>
      </c>
      <c r="GW97" s="14" t="e">
        <f t="shared" si="105"/>
        <v>#NUM!</v>
      </c>
      <c r="GX97" s="22" t="e">
        <f t="shared" si="82"/>
        <v>#NUM!</v>
      </c>
      <c r="GY97" s="60" t="e">
        <f t="shared" si="83"/>
        <v>#NUM!</v>
      </c>
      <c r="GZ97" s="60">
        <f ca="1">AVERAGE(OFFSET($GY$3,0,0,'Données projet'!$E$18+1,1))-AVERAGE(OFFSET($H$3,0,0,'Données projet'!$E$18+1,1))</f>
        <v>136.03899433512379</v>
      </c>
      <c r="HA97" s="60">
        <f t="shared" si="106"/>
        <v>316.56646692826882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21.023131687116415</v>
      </c>
      <c r="HH97" s="23">
        <f>EXP(-LN(2)/25)*HH96+(1-EXP(-LN(2)/25))/(LN(2)/25)*Calculateur!HC97*Calculateur!HE97*VLOOKUP('Données projet'!$B$18,Paramètres!$A$1:$I$89,3,0)*0.475*44/12</f>
        <v>1.7096156364109527</v>
      </c>
      <c r="HI97" s="23">
        <f>EXP(-LN(2)/2)*HI96+(1-EXP(-LN(2)/2))/(LN(2)/2)*HC97*HF97*VLOOKUP('Données projet'!$B$18,Paramètres!$A$1:$I$89,3,0)*0.475*44/12</f>
        <v>6.8073128361194236E-10</v>
      </c>
      <c r="HJ97" s="24">
        <f t="shared" si="84"/>
        <v>22.732747324208098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0">
        <f t="shared" si="55"/>
        <v>939.67512790562569</v>
      </c>
      <c r="S98" s="60">
        <f ca="1">AVERAGE(OFFSET($R$3,0,0,'Données projet'!$E$9+1,1))-AVERAGE(OFFSET($H$3,0,0,'Données projet'!$E$9+1,1))</f>
        <v>384.44848355636935</v>
      </c>
      <c r="T98" s="60">
        <f t="shared" si="88"/>
        <v>203.5274665601915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251.98679999999993</v>
      </c>
      <c r="AK98" s="14">
        <f t="shared" si="89"/>
        <v>61.011187970195053</v>
      </c>
      <c r="AL98" s="22">
        <f t="shared" si="58"/>
        <v>545.13816238142283</v>
      </c>
      <c r="AM98" s="60">
        <f t="shared" si="59"/>
        <v>838.4714957147562</v>
      </c>
      <c r="AN98" s="60">
        <f ca="1">AVERAGE(OFFSET($AM$3,0,0,'Données projet'!$E$10+1,1))-AVERAGE(OFFSET($H$3,0,0,'Données projet'!$E$10+1,1))</f>
        <v>303.73499739059076</v>
      </c>
      <c r="AO98" s="60">
        <f t="shared" si="90"/>
        <v>172.32171001882188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5.9</v>
      </c>
      <c r="BD98" s="13">
        <f>IF('Données projet'!$A$88&gt;35,BD97+BC98-BL97,IF(A98&lt;'Données projet'!$A$88,$BA$205^A98,IF(A98='Données projet'!$A$88,'Données projet'!$B$88,BD97+BC98-BL97)))</f>
        <v>331.5</v>
      </c>
      <c r="BE98" s="14">
        <f>BD98*VLOOKUP('Données projet'!$B$11,Paramètres!$A$1:$I$89,3,0)*VLOOKUP('Données projet'!$B$11,Paramètres!$A$1:$I$89,5,0)</f>
        <v>279.25560000000002</v>
      </c>
      <c r="BF98" s="14">
        <f t="shared" si="91"/>
        <v>66.809671397146161</v>
      </c>
      <c r="BG98" s="22">
        <f t="shared" si="61"/>
        <v>602.73034768336277</v>
      </c>
      <c r="BH98" s="60">
        <f t="shared" si="62"/>
        <v>896.06368101669614</v>
      </c>
      <c r="BI98" s="60">
        <f ca="1">AVERAGE(OFFSET($BH$3,0,0,'Données projet'!$E$11+1,1))-AVERAGE(OFFSET($H$3,0,0,'Données projet'!$E$11+1,1))</f>
        <v>352.29660374042186</v>
      </c>
      <c r="BJ98" s="60">
        <f t="shared" si="92"/>
        <v>187.26439695305618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234.60839999999999</v>
      </c>
      <c r="CA98" s="14">
        <f t="shared" si="93"/>
        <v>57.277971950226913</v>
      </c>
      <c r="CB98" s="22">
        <f t="shared" si="64"/>
        <v>508.36876447997855</v>
      </c>
      <c r="CC98" s="60">
        <f t="shared" si="65"/>
        <v>801.70209781331187</v>
      </c>
      <c r="CD98" s="60">
        <f ca="1">AVERAGE(OFFSET($CC$3,0,0,'Données projet'!$E$12+1,1))-AVERAGE(OFFSET($H$3,0,0,'Données projet'!$E$12+1,1))</f>
        <v>277.03735509061545</v>
      </c>
      <c r="CE98" s="60">
        <f t="shared" si="94"/>
        <v>158.16416492761959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282.399</v>
      </c>
      <c r="CV98" s="14">
        <f t="shared" si="95"/>
        <v>67.473734542548371</v>
      </c>
      <c r="CW98" s="22">
        <f t="shared" si="67"/>
        <v>609.36167932827175</v>
      </c>
      <c r="CX98" s="60">
        <f t="shared" si="68"/>
        <v>902.69501266160501</v>
      </c>
      <c r="CY98" s="60">
        <f ca="1">AVERAGE(OFFSET($CX$3,0,0,'Données projet'!$E$13+1,1))-AVERAGE(OFFSET($H$3,0,0,'Données projet'!$E$13+1,1))</f>
        <v>350.3652766444938</v>
      </c>
      <c r="CZ98" s="60">
        <f t="shared" si="96"/>
        <v>197.04549436738586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3.4106051316484809E-13</v>
      </c>
      <c r="DP98" s="18">
        <f>DO98*VLOOKUP('Données projet'!$B$14,Paramètres!$A$1:$I$89,3,0)*VLOOKUP('Données projet'!$B$14,Paramètres!$A$1:$I$89,5,0)</f>
        <v>2.7134774427395314E-13</v>
      </c>
      <c r="DQ98" s="14">
        <f t="shared" si="97"/>
        <v>3.6292411711343559E-12</v>
      </c>
      <c r="DR98" s="22">
        <f t="shared" si="70"/>
        <v>6.7935256943361388E-12</v>
      </c>
      <c r="DS98" s="60">
        <f t="shared" si="71"/>
        <v>293.33333333334014</v>
      </c>
      <c r="DT98" s="60">
        <f ca="1">AVERAGE(OFFSET($DS$3,0,0,'Données projet'!$E$14+1,1))-AVERAGE(OFFSET($H$3,0,0,'Données projet'!$E$14+1,1))</f>
        <v>382.01991140382955</v>
      </c>
      <c r="DU98" s="60">
        <f t="shared" si="98"/>
        <v>389.53897948144339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323.92137573760789</v>
      </c>
      <c r="EP98" s="60">
        <f t="shared" si="100"/>
        <v>389.53897948144339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2.2737367544323206E-13</v>
      </c>
      <c r="FF98" s="18">
        <f>FE98*VLOOKUP('Données projet'!$B$16,Paramètres!$A$1:$I$89,3,0)*VLOOKUP('Données projet'!$B$16,Paramètres!$A$1:$I$89,5,0)</f>
        <v>1.8089849618263545E-13</v>
      </c>
      <c r="FG98" s="14">
        <f t="shared" si="101"/>
        <v>2.536422473342444E-12</v>
      </c>
      <c r="FH98" s="22">
        <f t="shared" si="76"/>
        <v>4.7326673552561798E-12</v>
      </c>
      <c r="FI98" s="60">
        <f t="shared" si="77"/>
        <v>293.33333333333803</v>
      </c>
      <c r="FJ98" s="60">
        <f ca="1">AVERAGE(OFFSET($FI$3,0,0,'Données projet'!$E$16+1,1))-AVERAGE(OFFSET($H$3,0,0,'Données projet'!$E$16+1,1))</f>
        <v>219.61164494001008</v>
      </c>
      <c r="FK98" s="60">
        <f t="shared" si="102"/>
        <v>219.59799863414111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8.1410256410256405</v>
      </c>
      <c r="FZ98" s="13">
        <f>IF('Données projet'!$A$244&gt;35,FZ97+FY98-GH97,IF(A98&lt;'Données projet'!$A$244,$FW$205^A98,IF(A98='Données projet'!$A$244,'Données projet'!$B$244,FZ97+FY98-GH97)))</f>
        <v>365.12820512820463</v>
      </c>
      <c r="GA98" s="18">
        <f>FZ98*VLOOKUP('Données projet'!$B$17,Paramètres!$A$1:$I$89,3,0)*VLOOKUP('Données projet'!$B$17,Paramètres!$A$1:$I$89,5,0)</f>
        <v>170.87999999999977</v>
      </c>
      <c r="GB98" s="14">
        <f t="shared" si="103"/>
        <v>43.287055047972629</v>
      </c>
      <c r="GC98" s="22">
        <f t="shared" si="79"/>
        <v>373.00762087521849</v>
      </c>
      <c r="GD98" s="60">
        <f t="shared" si="80"/>
        <v>666.34095420855181</v>
      </c>
      <c r="GE98" s="60">
        <f ca="1">AVERAGE(OFFSET($GD$3,0,0,'Données projet'!$E$17+1,1))-AVERAGE(OFFSET($H$3,0,0,'Données projet'!$E$17+1,1))</f>
        <v>147.5699668214238</v>
      </c>
      <c r="GF98" s="60">
        <f t="shared" si="104"/>
        <v>70.653739864908346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>
        <f>GU98*VLOOKUP('Données projet'!$B$18,Paramètres!$A$1:$I$89,3,0)*VLOOKUP('Données projet'!$B$18,Paramètres!$A$1:$I$89,5,0)</f>
        <v>0</v>
      </c>
      <c r="GW98" s="14" t="e">
        <f t="shared" si="105"/>
        <v>#NUM!</v>
      </c>
      <c r="GX98" s="22" t="e">
        <f t="shared" si="82"/>
        <v>#NUM!</v>
      </c>
      <c r="GY98" s="60" t="e">
        <f t="shared" si="83"/>
        <v>#NUM!</v>
      </c>
      <c r="GZ98" s="60">
        <f ca="1">AVERAGE(OFFSET($GY$3,0,0,'Données projet'!$E$18+1,1))-AVERAGE(OFFSET($H$3,0,0,'Données projet'!$E$18+1,1))</f>
        <v>136.03899433512379</v>
      </c>
      <c r="HA98" s="60">
        <f t="shared" si="106"/>
        <v>316.56646692826882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20.610880897576241</v>
      </c>
      <c r="HH98" s="23">
        <f>EXP(-LN(2)/25)*HH97+(1-EXP(-LN(2)/25))/(LN(2)/25)*Calculateur!HC98*Calculateur!HE98*VLOOKUP('Données projet'!$B$18,Paramètres!$A$1:$I$89,3,0)*0.475*44/12</f>
        <v>1.6628661069285162</v>
      </c>
      <c r="HI98" s="23">
        <f>EXP(-LN(2)/2)*HI97+(1-EXP(-LN(2)/2))/(LN(2)/2)*HC98*HF98*VLOOKUP('Données projet'!$B$18,Paramètres!$A$1:$I$89,3,0)*0.475*44/12</f>
        <v>4.8134970680782735E-10</v>
      </c>
      <c r="HJ98" s="24">
        <f t="shared" si="84"/>
        <v>22.273747004986106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0">
        <f t="shared" si="55"/>
        <v>950.91986923486297</v>
      </c>
      <c r="S99" s="60">
        <f ca="1">AVERAGE(OFFSET($R$3,0,0,'Données projet'!$E$9+1,1))-AVERAGE(OFFSET($H$3,0,0,'Données projet'!$E$9+1,1))</f>
        <v>384.44848355636935</v>
      </c>
      <c r="T99" s="60">
        <f t="shared" si="88"/>
        <v>203.5274665601915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256.42031999999989</v>
      </c>
      <c r="AK99" s="14">
        <f t="shared" si="89"/>
        <v>61.958720258016918</v>
      </c>
      <c r="AL99" s="22">
        <f t="shared" si="58"/>
        <v>554.51016178271254</v>
      </c>
      <c r="AM99" s="60">
        <f t="shared" si="59"/>
        <v>847.84349511604591</v>
      </c>
      <c r="AN99" s="60">
        <f ca="1">AVERAGE(OFFSET($AM$3,0,0,'Données projet'!$E$10+1,1))-AVERAGE(OFFSET($H$3,0,0,'Données projet'!$E$10+1,1))</f>
        <v>303.73499739059076</v>
      </c>
      <c r="AO99" s="60">
        <f t="shared" si="90"/>
        <v>172.32171001882188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5.9</v>
      </c>
      <c r="BD99" s="13">
        <f>IF('Données projet'!$A$88&gt;35,BD98+BC99-BL98,IF(A99&lt;'Données projet'!$A$88,$BA$205^A99,IF(A99='Données projet'!$A$88,'Données projet'!$B$88,BD98+BC99-BL98)))</f>
        <v>337.4</v>
      </c>
      <c r="BE99" s="14">
        <f>BD99*VLOOKUP('Données projet'!$B$11,Paramètres!$A$1:$I$89,3,0)*VLOOKUP('Données projet'!$B$11,Paramètres!$A$1:$I$89,5,0)</f>
        <v>284.22575999999998</v>
      </c>
      <c r="BF99" s="14">
        <f t="shared" si="91"/>
        <v>67.859253423756542</v>
      </c>
      <c r="BG99" s="22">
        <f t="shared" si="61"/>
        <v>613.21473171304262</v>
      </c>
      <c r="BH99" s="60">
        <f t="shared" si="62"/>
        <v>906.548065046376</v>
      </c>
      <c r="BI99" s="60">
        <f ca="1">AVERAGE(OFFSET($BH$3,0,0,'Données projet'!$E$11+1,1))-AVERAGE(OFFSET($H$3,0,0,'Données projet'!$E$11+1,1))</f>
        <v>352.29660374042186</v>
      </c>
      <c r="BJ99" s="60">
        <f t="shared" si="92"/>
        <v>187.26439695305618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238.73615999999996</v>
      </c>
      <c r="CA99" s="14">
        <f t="shared" si="93"/>
        <v>58.167525647006343</v>
      </c>
      <c r="CB99" s="22">
        <f t="shared" si="64"/>
        <v>517.10725250186931</v>
      </c>
      <c r="CC99" s="60">
        <f t="shared" si="65"/>
        <v>810.44058583520268</v>
      </c>
      <c r="CD99" s="60">
        <f ca="1">AVERAGE(OFFSET($CC$3,0,0,'Données projet'!$E$12+1,1))-AVERAGE(OFFSET($H$3,0,0,'Données projet'!$E$12+1,1))</f>
        <v>277.03735509061545</v>
      </c>
      <c r="CE99" s="60">
        <f t="shared" si="94"/>
        <v>158.16416492761959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287.36759999999992</v>
      </c>
      <c r="CV99" s="14">
        <f t="shared" si="95"/>
        <v>68.521633201565123</v>
      </c>
      <c r="CW99" s="22">
        <f t="shared" si="67"/>
        <v>619.84041449272581</v>
      </c>
      <c r="CX99" s="60">
        <f t="shared" si="68"/>
        <v>913.17374782605907</v>
      </c>
      <c r="CY99" s="60">
        <f ca="1">AVERAGE(OFFSET($CX$3,0,0,'Données projet'!$E$13+1,1))-AVERAGE(OFFSET($H$3,0,0,'Données projet'!$E$13+1,1))</f>
        <v>350.3652766444938</v>
      </c>
      <c r="CZ99" s="60">
        <f t="shared" si="96"/>
        <v>197.04549436738586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3.4106051316484809E-13</v>
      </c>
      <c r="DP99" s="18">
        <f>DO99*VLOOKUP('Données projet'!$B$14,Paramètres!$A$1:$I$89,3,0)*VLOOKUP('Données projet'!$B$14,Paramètres!$A$1:$I$89,5,0)</f>
        <v>2.7134774427395314E-13</v>
      </c>
      <c r="DQ99" s="14">
        <f t="shared" si="97"/>
        <v>3.6292411711343559E-12</v>
      </c>
      <c r="DR99" s="22">
        <f t="shared" si="70"/>
        <v>6.7935256943361388E-12</v>
      </c>
      <c r="DS99" s="60">
        <f t="shared" si="71"/>
        <v>293.33333333334014</v>
      </c>
      <c r="DT99" s="60">
        <f ca="1">AVERAGE(OFFSET($DS$3,0,0,'Données projet'!$E$14+1,1))-AVERAGE(OFFSET($H$3,0,0,'Données projet'!$E$14+1,1))</f>
        <v>382.01991140382955</v>
      </c>
      <c r="DU99" s="60">
        <f t="shared" si="98"/>
        <v>389.53897948144339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323.92137573760789</v>
      </c>
      <c r="EP99" s="60">
        <f t="shared" si="100"/>
        <v>389.53897948144339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2.2737367544323206E-13</v>
      </c>
      <c r="FF99" s="18">
        <f>FE99*VLOOKUP('Données projet'!$B$16,Paramètres!$A$1:$I$89,3,0)*VLOOKUP('Données projet'!$B$16,Paramètres!$A$1:$I$89,5,0)</f>
        <v>1.8089849618263545E-13</v>
      </c>
      <c r="FG99" s="14">
        <f t="shared" si="101"/>
        <v>2.536422473342444E-12</v>
      </c>
      <c r="FH99" s="22">
        <f t="shared" si="76"/>
        <v>4.7326673552561798E-12</v>
      </c>
      <c r="FI99" s="60">
        <f t="shared" si="77"/>
        <v>293.33333333333803</v>
      </c>
      <c r="FJ99" s="60">
        <f ca="1">AVERAGE(OFFSET($FI$3,0,0,'Données projet'!$E$16+1,1))-AVERAGE(OFFSET($H$3,0,0,'Données projet'!$E$16+1,1))</f>
        <v>219.61164494001008</v>
      </c>
      <c r="FK99" s="60">
        <f t="shared" si="102"/>
        <v>219.59799863414111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8.1410256410256405</v>
      </c>
      <c r="FZ99" s="13">
        <f>IF('Données projet'!$A$244&gt;35,FZ98+FY99-GH98,IF(A99&lt;'Données projet'!$A$244,$FW$205^A99,IF(A99='Données projet'!$A$244,'Données projet'!$B$244,FZ98+FY99-GH98)))</f>
        <v>373.26923076923026</v>
      </c>
      <c r="GA99" s="18">
        <f>FZ99*VLOOKUP('Données projet'!$B$17,Paramètres!$A$1:$I$89,3,0)*VLOOKUP('Données projet'!$B$17,Paramètres!$A$1:$I$89,5,0)</f>
        <v>174.68999999999974</v>
      </c>
      <c r="GB99" s="14">
        <f t="shared" si="103"/>
        <v>44.138758070364624</v>
      </c>
      <c r="GC99" s="22">
        <f t="shared" si="79"/>
        <v>381.1267536392179</v>
      </c>
      <c r="GD99" s="60">
        <f t="shared" si="80"/>
        <v>674.46008697255115</v>
      </c>
      <c r="GE99" s="60">
        <f ca="1">AVERAGE(OFFSET($GD$3,0,0,'Données projet'!$E$17+1,1))-AVERAGE(OFFSET($H$3,0,0,'Données projet'!$E$17+1,1))</f>
        <v>147.5699668214238</v>
      </c>
      <c r="GF99" s="60">
        <f t="shared" si="104"/>
        <v>70.653739864908346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>
        <f>GU99*VLOOKUP('Données projet'!$B$18,Paramètres!$A$1:$I$89,3,0)*VLOOKUP('Données projet'!$B$18,Paramètres!$A$1:$I$89,5,0)</f>
        <v>0</v>
      </c>
      <c r="GW99" s="14" t="e">
        <f t="shared" si="105"/>
        <v>#NUM!</v>
      </c>
      <c r="GX99" s="22" t="e">
        <f t="shared" si="82"/>
        <v>#NUM!</v>
      </c>
      <c r="GY99" s="60" t="e">
        <f t="shared" si="83"/>
        <v>#NUM!</v>
      </c>
      <c r="GZ99" s="60">
        <f ca="1">AVERAGE(OFFSET($GY$3,0,0,'Données projet'!$E$18+1,1))-AVERAGE(OFFSET($H$3,0,0,'Données projet'!$E$18+1,1))</f>
        <v>136.03899433512379</v>
      </c>
      <c r="HA99" s="60">
        <f t="shared" si="106"/>
        <v>316.56646692826882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20.206714094570795</v>
      </c>
      <c r="HH99" s="23">
        <f>EXP(-LN(2)/25)*HH98+(1-EXP(-LN(2)/25))/(LN(2)/25)*Calculateur!HC99*Calculateur!HE99*VLOOKUP('Données projet'!$B$18,Paramètres!$A$1:$I$89,3,0)*0.475*44/12</f>
        <v>1.617394945788228</v>
      </c>
      <c r="HI99" s="23">
        <f>EXP(-LN(2)/2)*HI98+(1-EXP(-LN(2)/2))/(LN(2)/2)*HC99*HF99*VLOOKUP('Données projet'!$B$18,Paramètres!$A$1:$I$89,3,0)*0.475*44/12</f>
        <v>3.4036564180597118E-10</v>
      </c>
      <c r="HJ99" s="24">
        <f t="shared" si="84"/>
        <v>21.824109040699387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0">
        <f t="shared" si="55"/>
        <v>962.16065102468042</v>
      </c>
      <c r="S100" s="60">
        <f ca="1">AVERAGE(OFFSET($R$3,0,0,'Données projet'!$E$9+1,1))-AVERAGE(OFFSET($H$3,0,0,'Données projet'!$E$9+1,1))</f>
        <v>384.44848355636935</v>
      </c>
      <c r="T100" s="60">
        <f t="shared" si="88"/>
        <v>203.5274665601915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260.85383999999993</v>
      </c>
      <c r="AK100" s="14">
        <f t="shared" si="89"/>
        <v>62.904347395903763</v>
      </c>
      <c r="AL100" s="22">
        <f t="shared" si="58"/>
        <v>563.87884304786564</v>
      </c>
      <c r="AM100" s="60">
        <f t="shared" si="59"/>
        <v>857.21217638119901</v>
      </c>
      <c r="AN100" s="60">
        <f ca="1">AVERAGE(OFFSET($AM$3,0,0,'Données projet'!$E$10+1,1))-AVERAGE(OFFSET($H$3,0,0,'Données projet'!$E$10+1,1))</f>
        <v>303.73499739059076</v>
      </c>
      <c r="AO100" s="60">
        <f t="shared" si="90"/>
        <v>172.32171001882188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5.9</v>
      </c>
      <c r="BD100" s="13">
        <f>IF('Données projet'!$A$88&gt;35,BD99+BC100-BL99,IF(A100&lt;'Données projet'!$A$88,$BA$205^A100,IF(A100='Données projet'!$A$88,'Données projet'!$B$88,BD99+BC100-BL99)))</f>
        <v>343.29999999999995</v>
      </c>
      <c r="BE100" s="14">
        <f>BD100*VLOOKUP('Données projet'!$B$11,Paramètres!$A$1:$I$89,3,0)*VLOOKUP('Données projet'!$B$11,Paramètres!$A$1:$I$89,5,0)</f>
        <v>289.19592</v>
      </c>
      <c r="BF100" s="14">
        <f t="shared" si="91"/>
        <v>68.906701138977212</v>
      </c>
      <c r="BG100" s="22">
        <f t="shared" si="61"/>
        <v>623.69539848371858</v>
      </c>
      <c r="BH100" s="60">
        <f t="shared" si="62"/>
        <v>917.02873181705195</v>
      </c>
      <c r="BI100" s="60">
        <f ca="1">AVERAGE(OFFSET($BH$3,0,0,'Données projet'!$E$11+1,1))-AVERAGE(OFFSET($H$3,0,0,'Données projet'!$E$11+1,1))</f>
        <v>352.29660374042186</v>
      </c>
      <c r="BJ100" s="60">
        <f t="shared" si="92"/>
        <v>187.26439695305618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242.86391999999995</v>
      </c>
      <c r="CA100" s="14">
        <f t="shared" si="93"/>
        <v>59.055290768146357</v>
      </c>
      <c r="CB100" s="22">
        <f t="shared" si="64"/>
        <v>525.84262542118813</v>
      </c>
      <c r="CC100" s="60">
        <f t="shared" si="65"/>
        <v>819.17595875452139</v>
      </c>
      <c r="CD100" s="60">
        <f ca="1">AVERAGE(OFFSET($CC$3,0,0,'Données projet'!$E$12+1,1))-AVERAGE(OFFSET($H$3,0,0,'Données projet'!$E$12+1,1))</f>
        <v>277.03735509061545</v>
      </c>
      <c r="CE100" s="60">
        <f t="shared" si="94"/>
        <v>158.16416492761959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292.33619999999996</v>
      </c>
      <c r="CV100" s="14">
        <f t="shared" si="95"/>
        <v>69.56742490962327</v>
      </c>
      <c r="CW100" s="22">
        <f t="shared" si="67"/>
        <v>630.31548005092702</v>
      </c>
      <c r="CX100" s="60">
        <f t="shared" si="68"/>
        <v>923.64881338426039</v>
      </c>
      <c r="CY100" s="60">
        <f ca="1">AVERAGE(OFFSET($CX$3,0,0,'Données projet'!$E$13+1,1))-AVERAGE(OFFSET($H$3,0,0,'Données projet'!$E$13+1,1))</f>
        <v>350.3652766444938</v>
      </c>
      <c r="CZ100" s="60">
        <f t="shared" si="96"/>
        <v>197.04549436738586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3.4106051316484809E-13</v>
      </c>
      <c r="DP100" s="18">
        <f>DO100*VLOOKUP('Données projet'!$B$14,Paramètres!$A$1:$I$89,3,0)*VLOOKUP('Données projet'!$B$14,Paramètres!$A$1:$I$89,5,0)</f>
        <v>2.7134774427395314E-13</v>
      </c>
      <c r="DQ100" s="14">
        <f t="shared" si="97"/>
        <v>3.6292411711343559E-12</v>
      </c>
      <c r="DR100" s="22">
        <f t="shared" si="70"/>
        <v>6.7935256943361388E-12</v>
      </c>
      <c r="DS100" s="60">
        <f t="shared" si="71"/>
        <v>293.33333333334014</v>
      </c>
      <c r="DT100" s="60">
        <f ca="1">AVERAGE(OFFSET($DS$3,0,0,'Données projet'!$E$14+1,1))-AVERAGE(OFFSET($H$3,0,0,'Données projet'!$E$14+1,1))</f>
        <v>382.01991140382955</v>
      </c>
      <c r="DU100" s="60">
        <f t="shared" si="98"/>
        <v>389.53897948144339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323.92137573760789</v>
      </c>
      <c r="EP100" s="60">
        <f t="shared" si="100"/>
        <v>389.53897948144339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2.2737367544323206E-13</v>
      </c>
      <c r="FF100" s="18">
        <f>FE100*VLOOKUP('Données projet'!$B$16,Paramètres!$A$1:$I$89,3,0)*VLOOKUP('Données projet'!$B$16,Paramètres!$A$1:$I$89,5,0)</f>
        <v>1.8089849618263545E-13</v>
      </c>
      <c r="FG100" s="14">
        <f t="shared" si="101"/>
        <v>2.536422473342444E-12</v>
      </c>
      <c r="FH100" s="22">
        <f t="shared" si="76"/>
        <v>4.7326673552561798E-12</v>
      </c>
      <c r="FI100" s="60">
        <f t="shared" si="77"/>
        <v>293.33333333333803</v>
      </c>
      <c r="FJ100" s="60">
        <f ca="1">AVERAGE(OFFSET($FI$3,0,0,'Données projet'!$E$16+1,1))-AVERAGE(OFFSET($H$3,0,0,'Données projet'!$E$16+1,1))</f>
        <v>219.61164494001008</v>
      </c>
      <c r="FK100" s="60">
        <f t="shared" si="102"/>
        <v>219.59799863414111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8.1410256410256405</v>
      </c>
      <c r="FZ100" s="13">
        <f>IF('Données projet'!$A$244&gt;35,FZ99+FY100-GH99,IF(A100&lt;'Données projet'!$A$244,$FW$205^A100,IF(A100='Données projet'!$A$244,'Données projet'!$B$244,FZ99+FY100-GH99)))</f>
        <v>381.4102564102559</v>
      </c>
      <c r="GA100" s="18">
        <f>FZ100*VLOOKUP('Données projet'!$B$17,Paramètres!$A$1:$I$89,3,0)*VLOOKUP('Données projet'!$B$17,Paramètres!$A$1:$I$89,5,0)</f>
        <v>178.49999999999977</v>
      </c>
      <c r="GB100" s="14">
        <f t="shared" si="103"/>
        <v>44.988301442921504</v>
      </c>
      <c r="GC100" s="22">
        <f t="shared" si="79"/>
        <v>389.24212501308784</v>
      </c>
      <c r="GD100" s="60">
        <f t="shared" si="80"/>
        <v>682.5754583464211</v>
      </c>
      <c r="GE100" s="60">
        <f ca="1">AVERAGE(OFFSET($GD$3,0,0,'Données projet'!$E$17+1,1))-AVERAGE(OFFSET($H$3,0,0,'Données projet'!$E$17+1,1))</f>
        <v>147.5699668214238</v>
      </c>
      <c r="GF100" s="60">
        <f t="shared" si="104"/>
        <v>70.653739864908346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>
        <f>GU100*VLOOKUP('Données projet'!$B$18,Paramètres!$A$1:$I$89,3,0)*VLOOKUP('Données projet'!$B$18,Paramètres!$A$1:$I$89,5,0)</f>
        <v>0</v>
      </c>
      <c r="GW100" s="14" t="e">
        <f t="shared" si="105"/>
        <v>#NUM!</v>
      </c>
      <c r="GX100" s="22" t="e">
        <f t="shared" si="82"/>
        <v>#NUM!</v>
      </c>
      <c r="GY100" s="60" t="e">
        <f t="shared" si="83"/>
        <v>#NUM!</v>
      </c>
      <c r="GZ100" s="60">
        <f ca="1">AVERAGE(OFFSET($GY$3,0,0,'Données projet'!$E$18+1,1))-AVERAGE(OFFSET($H$3,0,0,'Données projet'!$E$18+1,1))</f>
        <v>136.03899433512379</v>
      </c>
      <c r="HA100" s="60">
        <f t="shared" si="106"/>
        <v>316.56646692826882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19.810472756054878</v>
      </c>
      <c r="HH100" s="23">
        <f>EXP(-LN(2)/25)*HH99+(1-EXP(-LN(2)/25))/(LN(2)/25)*Calculateur!HC100*Calculateur!HE100*VLOOKUP('Données projet'!$B$18,Paramètres!$A$1:$I$89,3,0)*0.475*44/12</f>
        <v>1.5731671959405453</v>
      </c>
      <c r="HI100" s="23">
        <f>EXP(-LN(2)/2)*HI99+(1-EXP(-LN(2)/2))/(LN(2)/2)*HC100*HF100*VLOOKUP('Données projet'!$B$18,Paramètres!$A$1:$I$89,3,0)*0.475*44/12</f>
        <v>2.4067485340391367E-10</v>
      </c>
      <c r="HJ100" s="24">
        <f t="shared" si="84"/>
        <v>21.383639952236098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0">
        <f t="shared" si="55"/>
        <v>973.39754917677396</v>
      </c>
      <c r="S101" s="60">
        <f ca="1">AVERAGE(OFFSET($R$3,0,0,'Données projet'!$E$9+1,1))-AVERAGE(OFFSET($H$3,0,0,'Données projet'!$E$9+1,1))</f>
        <v>384.44848355636935</v>
      </c>
      <c r="T101" s="60">
        <f t="shared" si="88"/>
        <v>203.5274665601915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265.28735999999992</v>
      </c>
      <c r="AK101" s="14">
        <f t="shared" si="89"/>
        <v>63.84810550096995</v>
      </c>
      <c r="AL101" s="22">
        <f t="shared" si="58"/>
        <v>573.24426908085582</v>
      </c>
      <c r="AM101" s="60">
        <f t="shared" si="59"/>
        <v>866.57760241418919</v>
      </c>
      <c r="AN101" s="60">
        <f ca="1">AVERAGE(OFFSET($AM$3,0,0,'Données projet'!$E$10+1,1))-AVERAGE(OFFSET($H$3,0,0,'Données projet'!$E$10+1,1))</f>
        <v>303.73499739059076</v>
      </c>
      <c r="AO101" s="60">
        <f t="shared" si="90"/>
        <v>172.32171001882188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5.9</v>
      </c>
      <c r="BD101" s="13">
        <f>IF('Données projet'!$A$88&gt;35,BD100+BC101-BL100,IF(A101&lt;'Données projet'!$A$88,$BA$205^A101,IF(A101='Données projet'!$A$88,'Données projet'!$B$88,BD100+BC101-BL100)))</f>
        <v>349.19999999999993</v>
      </c>
      <c r="BE101" s="14">
        <f>BD101*VLOOKUP('Données projet'!$B$11,Paramètres!$A$1:$I$89,3,0)*VLOOKUP('Données projet'!$B$11,Paramètres!$A$1:$I$89,5,0)</f>
        <v>294.16607999999997</v>
      </c>
      <c r="BF101" s="14">
        <f t="shared" si="91"/>
        <v>69.952055456115559</v>
      </c>
      <c r="BG101" s="22">
        <f t="shared" si="61"/>
        <v>634.17241925273447</v>
      </c>
      <c r="BH101" s="60">
        <f t="shared" si="62"/>
        <v>927.50575258606773</v>
      </c>
      <c r="BI101" s="60">
        <f ca="1">AVERAGE(OFFSET($BH$3,0,0,'Données projet'!$E$11+1,1))-AVERAGE(OFFSET($H$3,0,0,'Données projet'!$E$11+1,1))</f>
        <v>352.29660374042186</v>
      </c>
      <c r="BJ101" s="60">
        <f t="shared" si="92"/>
        <v>187.26439695305618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246.99167999999992</v>
      </c>
      <c r="CA101" s="14">
        <f t="shared" si="93"/>
        <v>59.941301220789747</v>
      </c>
      <c r="CB101" s="22">
        <f t="shared" si="64"/>
        <v>534.57494229287533</v>
      </c>
      <c r="CC101" s="60">
        <f t="shared" si="65"/>
        <v>827.90827562620871</v>
      </c>
      <c r="CD101" s="60">
        <f ca="1">AVERAGE(OFFSET($CC$3,0,0,'Données projet'!$E$12+1,1))-AVERAGE(OFFSET($H$3,0,0,'Données projet'!$E$12+1,1))</f>
        <v>277.03735509061545</v>
      </c>
      <c r="CE101" s="60">
        <f t="shared" si="94"/>
        <v>158.16416492761959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297.30479999999989</v>
      </c>
      <c r="CV101" s="14">
        <f t="shared" si="95"/>
        <v>70.611149609504906</v>
      </c>
      <c r="CW101" s="22">
        <f t="shared" si="67"/>
        <v>640.78694556988739</v>
      </c>
      <c r="CX101" s="60">
        <f t="shared" si="68"/>
        <v>934.12027890322065</v>
      </c>
      <c r="CY101" s="60">
        <f ca="1">AVERAGE(OFFSET($CX$3,0,0,'Données projet'!$E$13+1,1))-AVERAGE(OFFSET($H$3,0,0,'Données projet'!$E$13+1,1))</f>
        <v>350.3652766444938</v>
      </c>
      <c r="CZ101" s="60">
        <f t="shared" si="96"/>
        <v>197.04549436738586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3.4106051316484809E-13</v>
      </c>
      <c r="DP101" s="18">
        <f>DO101*VLOOKUP('Données projet'!$B$14,Paramètres!$A$1:$I$89,3,0)*VLOOKUP('Données projet'!$B$14,Paramètres!$A$1:$I$89,5,0)</f>
        <v>2.7134774427395314E-13</v>
      </c>
      <c r="DQ101" s="14">
        <f t="shared" si="97"/>
        <v>3.6292411711343559E-12</v>
      </c>
      <c r="DR101" s="22">
        <f t="shared" si="70"/>
        <v>6.7935256943361388E-12</v>
      </c>
      <c r="DS101" s="60">
        <f t="shared" si="71"/>
        <v>293.33333333334014</v>
      </c>
      <c r="DT101" s="60">
        <f ca="1">AVERAGE(OFFSET($DS$3,0,0,'Données projet'!$E$14+1,1))-AVERAGE(OFFSET($H$3,0,0,'Données projet'!$E$14+1,1))</f>
        <v>382.01991140382955</v>
      </c>
      <c r="DU101" s="60">
        <f t="shared" si="98"/>
        <v>389.53897948144339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323.92137573760789</v>
      </c>
      <c r="EP101" s="60">
        <f t="shared" si="100"/>
        <v>389.53897948144339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2.2737367544323206E-13</v>
      </c>
      <c r="FF101" s="18">
        <f>FE101*VLOOKUP('Données projet'!$B$16,Paramètres!$A$1:$I$89,3,0)*VLOOKUP('Données projet'!$B$16,Paramètres!$A$1:$I$89,5,0)</f>
        <v>1.8089849618263545E-13</v>
      </c>
      <c r="FG101" s="14">
        <f t="shared" si="101"/>
        <v>2.536422473342444E-12</v>
      </c>
      <c r="FH101" s="22">
        <f t="shared" si="76"/>
        <v>4.7326673552561798E-12</v>
      </c>
      <c r="FI101" s="60">
        <f t="shared" si="77"/>
        <v>293.33333333333803</v>
      </c>
      <c r="FJ101" s="60">
        <f ca="1">AVERAGE(OFFSET($FI$3,0,0,'Données projet'!$E$16+1,1))-AVERAGE(OFFSET($H$3,0,0,'Données projet'!$E$16+1,1))</f>
        <v>219.61164494001008</v>
      </c>
      <c r="FK101" s="60">
        <f t="shared" si="102"/>
        <v>219.59799863414111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8.1410256410256405</v>
      </c>
      <c r="FZ101" s="13">
        <f>IF('Données projet'!$A$244&gt;35,FZ100+FY101-GH100,IF(A101&lt;'Données projet'!$A$244,$FW$205^A101,IF(A101='Données projet'!$A$244,'Données projet'!$B$244,FZ100+FY101-GH100)))</f>
        <v>389.55128205128153</v>
      </c>
      <c r="GA101" s="18">
        <f>FZ101*VLOOKUP('Données projet'!$B$17,Paramètres!$A$1:$I$89,3,0)*VLOOKUP('Données projet'!$B$17,Paramètres!$A$1:$I$89,5,0)</f>
        <v>182.30999999999975</v>
      </c>
      <c r="GB101" s="14">
        <f t="shared" si="103"/>
        <v>45.835736572036403</v>
      </c>
      <c r="GC101" s="22">
        <f t="shared" si="79"/>
        <v>397.35382452962966</v>
      </c>
      <c r="GD101" s="60">
        <f t="shared" si="80"/>
        <v>690.68715786296298</v>
      </c>
      <c r="GE101" s="60">
        <f ca="1">AVERAGE(OFFSET($GD$3,0,0,'Données projet'!$E$17+1,1))-AVERAGE(OFFSET($H$3,0,0,'Données projet'!$E$17+1,1))</f>
        <v>147.5699668214238</v>
      </c>
      <c r="GF101" s="60">
        <f t="shared" si="104"/>
        <v>70.653739864908346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>
        <f>GU101*VLOOKUP('Données projet'!$B$18,Paramètres!$A$1:$I$89,3,0)*VLOOKUP('Données projet'!$B$18,Paramètres!$A$1:$I$89,5,0)</f>
        <v>0</v>
      </c>
      <c r="GW101" s="14" t="e">
        <f t="shared" si="105"/>
        <v>#NUM!</v>
      </c>
      <c r="GX101" s="22" t="e">
        <f t="shared" si="82"/>
        <v>#NUM!</v>
      </c>
      <c r="GY101" s="60" t="e">
        <f t="shared" si="83"/>
        <v>#NUM!</v>
      </c>
      <c r="GZ101" s="60">
        <f ca="1">AVERAGE(OFFSET($GY$3,0,0,'Données projet'!$E$18+1,1))-AVERAGE(OFFSET($H$3,0,0,'Données projet'!$E$18+1,1))</f>
        <v>136.03899433512379</v>
      </c>
      <c r="HA101" s="60">
        <f t="shared" si="106"/>
        <v>316.56646692826882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19.422001468503908</v>
      </c>
      <c r="HH101" s="23">
        <f>EXP(-LN(2)/25)*HH100+(1-EXP(-LN(2)/25))/(LN(2)/25)*Calculateur!HC101*Calculateur!HE101*VLOOKUP('Données projet'!$B$18,Paramètres!$A$1:$I$89,3,0)*0.475*44/12</f>
        <v>1.5301488562382839</v>
      </c>
      <c r="HI101" s="23">
        <f>EXP(-LN(2)/2)*HI100+(1-EXP(-LN(2)/2))/(LN(2)/2)*HC101*HF101*VLOOKUP('Données projet'!$B$18,Paramètres!$A$1:$I$89,3,0)*0.475*44/12</f>
        <v>1.7018282090298559E-10</v>
      </c>
      <c r="HJ101" s="24">
        <f t="shared" si="84"/>
        <v>20.952150324912374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0">
        <f t="shared" si="55"/>
        <v>984.63063688101329</v>
      </c>
      <c r="S102" s="60">
        <f ca="1">AVERAGE(OFFSET($R$3,0,0,'Données projet'!$E$9+1,1))-AVERAGE(OFFSET($H$3,0,0,'Données projet'!$E$9+1,1))</f>
        <v>384.44848355636935</v>
      </c>
      <c r="T102" s="60">
        <f t="shared" si="88"/>
        <v>203.5274665601915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269.72087999999985</v>
      </c>
      <c r="AK102" s="14">
        <f t="shared" si="89"/>
        <v>64.790029413946939</v>
      </c>
      <c r="AL102" s="22">
        <f t="shared" si="58"/>
        <v>582.60650056262409</v>
      </c>
      <c r="AM102" s="60">
        <f t="shared" si="59"/>
        <v>875.93983389595746</v>
      </c>
      <c r="AN102" s="60">
        <f ca="1">AVERAGE(OFFSET($AM$3,0,0,'Données projet'!$E$10+1,1))-AVERAGE(OFFSET($H$3,0,0,'Données projet'!$E$10+1,1))</f>
        <v>303.73499739059076</v>
      </c>
      <c r="AO102" s="60">
        <f t="shared" si="90"/>
        <v>172.32171001882188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5.9</v>
      </c>
      <c r="BD102" s="13">
        <f>IF('Données projet'!$A$88&gt;35,BD101+BC102-BL101,IF(A102&lt;'Données projet'!$A$88,$BA$205^A102,IF(A102='Données projet'!$A$88,'Données projet'!$B$88,BD101+BC102-BL101)))</f>
        <v>355.09999999999991</v>
      </c>
      <c r="BE102" s="14">
        <f>BD102*VLOOKUP('Données projet'!$B$11,Paramètres!$A$1:$I$89,3,0)*VLOOKUP('Données projet'!$B$11,Paramètres!$A$1:$I$89,5,0)</f>
        <v>299.13623999999993</v>
      </c>
      <c r="BF102" s="14">
        <f t="shared" si="91"/>
        <v>70.995355826722829</v>
      </c>
      <c r="BG102" s="22">
        <f t="shared" si="61"/>
        <v>644.64586273154214</v>
      </c>
      <c r="BH102" s="60">
        <f t="shared" si="62"/>
        <v>937.9791960648754</v>
      </c>
      <c r="BI102" s="60">
        <f ca="1">AVERAGE(OFFSET($BH$3,0,0,'Données projet'!$E$11+1,1))-AVERAGE(OFFSET($H$3,0,0,'Données projet'!$E$11+1,1))</f>
        <v>352.29660374042186</v>
      </c>
      <c r="BJ102" s="60">
        <f t="shared" si="92"/>
        <v>187.26439695305618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251.11943999999991</v>
      </c>
      <c r="CA102" s="14">
        <f t="shared" si="93"/>
        <v>60.825589713796923</v>
      </c>
      <c r="CB102" s="22">
        <f t="shared" si="64"/>
        <v>543.30426008486279</v>
      </c>
      <c r="CC102" s="60">
        <f t="shared" si="65"/>
        <v>836.63759341819605</v>
      </c>
      <c r="CD102" s="60">
        <f ca="1">AVERAGE(OFFSET($CC$3,0,0,'Données projet'!$E$12+1,1))-AVERAGE(OFFSET($H$3,0,0,'Données projet'!$E$12+1,1))</f>
        <v>277.03735509061545</v>
      </c>
      <c r="CE102" s="60">
        <f t="shared" si="94"/>
        <v>158.16416492761959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302.27339999999987</v>
      </c>
      <c r="CV102" s="14">
        <f t="shared" si="95"/>
        <v>71.652845832409739</v>
      </c>
      <c r="CW102" s="22">
        <f t="shared" si="67"/>
        <v>651.25487815811346</v>
      </c>
      <c r="CX102" s="60">
        <f t="shared" si="68"/>
        <v>944.58821149144683</v>
      </c>
      <c r="CY102" s="60">
        <f ca="1">AVERAGE(OFFSET($CX$3,0,0,'Données projet'!$E$13+1,1))-AVERAGE(OFFSET($H$3,0,0,'Données projet'!$E$13+1,1))</f>
        <v>350.3652766444938</v>
      </c>
      <c r="CZ102" s="60">
        <f t="shared" si="96"/>
        <v>197.04549436738586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3.4106051316484809E-13</v>
      </c>
      <c r="DP102" s="18">
        <f>DO102*VLOOKUP('Données projet'!$B$14,Paramètres!$A$1:$I$89,3,0)*VLOOKUP('Données projet'!$B$14,Paramètres!$A$1:$I$89,5,0)</f>
        <v>2.7134774427395314E-13</v>
      </c>
      <c r="DQ102" s="14">
        <f t="shared" si="97"/>
        <v>3.6292411711343559E-12</v>
      </c>
      <c r="DR102" s="22">
        <f t="shared" si="70"/>
        <v>6.7935256943361388E-12</v>
      </c>
      <c r="DS102" s="60">
        <f t="shared" si="71"/>
        <v>293.33333333334014</v>
      </c>
      <c r="DT102" s="60">
        <f ca="1">AVERAGE(OFFSET($DS$3,0,0,'Données projet'!$E$14+1,1))-AVERAGE(OFFSET($H$3,0,0,'Données projet'!$E$14+1,1))</f>
        <v>382.01991140382955</v>
      </c>
      <c r="DU102" s="60">
        <f t="shared" si="98"/>
        <v>389.53897948144339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323.92137573760789</v>
      </c>
      <c r="EP102" s="60">
        <f t="shared" si="100"/>
        <v>389.53897948144339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2.2737367544323206E-13</v>
      </c>
      <c r="FF102" s="18">
        <f>FE102*VLOOKUP('Données projet'!$B$16,Paramètres!$A$1:$I$89,3,0)*VLOOKUP('Données projet'!$B$16,Paramètres!$A$1:$I$89,5,0)</f>
        <v>1.8089849618263545E-13</v>
      </c>
      <c r="FG102" s="14">
        <f t="shared" si="101"/>
        <v>2.536422473342444E-12</v>
      </c>
      <c r="FH102" s="22">
        <f t="shared" si="76"/>
        <v>4.7326673552561798E-12</v>
      </c>
      <c r="FI102" s="60">
        <f t="shared" si="77"/>
        <v>293.33333333333803</v>
      </c>
      <c r="FJ102" s="60">
        <f ca="1">AVERAGE(OFFSET($FI$3,0,0,'Données projet'!$E$16+1,1))-AVERAGE(OFFSET($H$3,0,0,'Données projet'!$E$16+1,1))</f>
        <v>219.61164494001008</v>
      </c>
      <c r="FK102" s="60">
        <f t="shared" si="102"/>
        <v>219.59799863414111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>
        <f>VLOOKUP(A102,'Données projet'!$A$243:$I$263,2,0)</f>
        <v>397.69230769230768</v>
      </c>
      <c r="FX102" s="13">
        <f>VLOOKUP(A102,'Données projet'!$A$243:$I$263,9,0)</f>
        <v>8.1410256410256405</v>
      </c>
      <c r="FY102" s="13">
        <f t="array" ref="FY102">INDEX(FX:FX,MIN(IF(ISNUMBER(FX102:FX298),ROW(FX102:FX298),"")))</f>
        <v>8.1410256410256405</v>
      </c>
      <c r="FZ102" s="13">
        <f>IF('Données projet'!$A$244&gt;35,FZ101+FY102-GH101,IF(A102&lt;'Données projet'!$A$244,$FW$205^A102,IF(A102='Données projet'!$A$244,'Données projet'!$B$244,FZ101+FY102-GH101)))</f>
        <v>397.69230769230717</v>
      </c>
      <c r="GA102" s="18">
        <f>FZ102*VLOOKUP('Données projet'!$B$17,Paramètres!$A$1:$I$89,3,0)*VLOOKUP('Données projet'!$B$17,Paramètres!$A$1:$I$89,5,0)</f>
        <v>186.11999999999975</v>
      </c>
      <c r="GB102" s="14">
        <f t="shared" si="103"/>
        <v>46.681112592689374</v>
      </c>
      <c r="GC102" s="22">
        <f t="shared" si="79"/>
        <v>405.46193776560017</v>
      </c>
      <c r="GD102" s="60">
        <f t="shared" si="80"/>
        <v>698.79527109893343</v>
      </c>
      <c r="GE102" s="60">
        <f ca="1">AVERAGE(OFFSET($GD$3,0,0,'Données projet'!$E$17+1,1))-AVERAGE(OFFSET($H$3,0,0,'Données projet'!$E$17+1,1))</f>
        <v>147.5699668214238</v>
      </c>
      <c r="GF102" s="60">
        <f t="shared" si="104"/>
        <v>70.653739864908346</v>
      </c>
      <c r="GG102" s="16">
        <f>IF(ISNA(VLOOKUP(A102,'Données projet'!$A$243:$I$263,3,0)),0,VLOOKUP(A102,'Données projet'!$A$243:$I$263,3,0))</f>
        <v>5</v>
      </c>
      <c r="GH102" s="16">
        <f>IF(ISNA(VLOOKUP(A102,'Données projet'!$A$243:$I$263,4,0)),0,VLOOKUP(A102,'Données projet'!$A$243:$I$263,4,0))</f>
        <v>198.46153846153845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>
        <f>GU102*VLOOKUP('Données projet'!$B$18,Paramètres!$A$1:$I$89,3,0)*VLOOKUP('Données projet'!$B$18,Paramètres!$A$1:$I$89,5,0)</f>
        <v>0</v>
      </c>
      <c r="GW102" s="14" t="e">
        <f t="shared" si="105"/>
        <v>#NUM!</v>
      </c>
      <c r="GX102" s="22" t="e">
        <f t="shared" si="82"/>
        <v>#NUM!</v>
      </c>
      <c r="GY102" s="60" t="e">
        <f t="shared" si="83"/>
        <v>#NUM!</v>
      </c>
      <c r="GZ102" s="60">
        <f ca="1">AVERAGE(OFFSET($GY$3,0,0,'Données projet'!$E$18+1,1))-AVERAGE(OFFSET($H$3,0,0,'Données projet'!$E$18+1,1))</f>
        <v>136.03899433512379</v>
      </c>
      <c r="HA102" s="60">
        <f t="shared" si="106"/>
        <v>316.56646692826882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19.041147865957722</v>
      </c>
      <c r="HH102" s="23">
        <f>EXP(-LN(2)/25)*HH101+(1-EXP(-LN(2)/25))/(LN(2)/25)*Calculateur!HC102*Calculateur!HE102*VLOOKUP('Données projet'!$B$18,Paramètres!$A$1:$I$89,3,0)*0.475*44/12</f>
        <v>1.4883068552974168</v>
      </c>
      <c r="HI102" s="23">
        <f>EXP(-LN(2)/2)*HI101+(1-EXP(-LN(2)/2))/(LN(2)/2)*HC102*HF102*VLOOKUP('Données projet'!$B$18,Paramètres!$A$1:$I$89,3,0)*0.475*44/12</f>
        <v>1.2033742670195684E-10</v>
      </c>
      <c r="HJ102" s="24">
        <f t="shared" si="84"/>
        <v>20.529454721375476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0">
        <f t="shared" si="55"/>
        <v>995.85998475574775</v>
      </c>
      <c r="S103" s="60">
        <f ca="1">AVERAGE(OFFSET($R$3,0,0,'Données projet'!$E$9+1,1))-AVERAGE(OFFSET($H$3,0,0,'Données projet'!$E$9+1,1))</f>
        <v>384.44848355636935</v>
      </c>
      <c r="T103" s="60">
        <f t="shared" si="88"/>
        <v>203.5274665601915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274.15439999999984</v>
      </c>
      <c r="AK103" s="14">
        <f t="shared" si="89"/>
        <v>65.730152764515779</v>
      </c>
      <c r="AL103" s="22">
        <f t="shared" si="58"/>
        <v>591.9655960648646</v>
      </c>
      <c r="AM103" s="60">
        <f t="shared" si="59"/>
        <v>885.29892939819797</v>
      </c>
      <c r="AN103" s="60">
        <f ca="1">AVERAGE(OFFSET($AM$3,0,0,'Données projet'!$E$10+1,1))-AVERAGE(OFFSET($H$3,0,0,'Données projet'!$E$10+1,1))</f>
        <v>303.73499739059076</v>
      </c>
      <c r="AO103" s="60">
        <f t="shared" si="90"/>
        <v>172.32171001882188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361</v>
      </c>
      <c r="BB103" s="13">
        <f>VLOOKUP(A103,'Données projet'!$A$87:$I$107,9,0)</f>
        <v>5.9</v>
      </c>
      <c r="BC103" s="13">
        <f t="array" ref="BC103">INDEX(BB:BB,MIN(IF(ISNUMBER(BB103:BB299),ROW(BB103:BB299),"")))</f>
        <v>5.9</v>
      </c>
      <c r="BD103" s="13">
        <f>IF('Données projet'!$A$88&gt;35,BD102+BC103-BL102,IF(A103&lt;'Données projet'!$A$88,$BA$205^A103,IF(A103='Données projet'!$A$88,'Données projet'!$B$88,BD102+BC103-BL102)))</f>
        <v>360.99999999999989</v>
      </c>
      <c r="BE103" s="14">
        <f>BD103*VLOOKUP('Données projet'!$B$11,Paramètres!$A$1:$I$89,3,0)*VLOOKUP('Données projet'!$B$11,Paramètres!$A$1:$I$89,5,0)</f>
        <v>304.10639999999989</v>
      </c>
      <c r="BF103" s="14">
        <f t="shared" si="91"/>
        <v>72.036640316223298</v>
      </c>
      <c r="BG103" s="22">
        <f t="shared" si="61"/>
        <v>655.11579521742192</v>
      </c>
      <c r="BH103" s="60">
        <f t="shared" si="62"/>
        <v>948.44912855075518</v>
      </c>
      <c r="BI103" s="60">
        <f ca="1">AVERAGE(OFFSET($BH$3,0,0,'Données projet'!$E$11+1,1))-AVERAGE(OFFSET($H$3,0,0,'Données projet'!$E$11+1,1))</f>
        <v>352.29660374042186</v>
      </c>
      <c r="BJ103" s="60">
        <f t="shared" si="92"/>
        <v>187.26439695305618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55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255.24719999999988</v>
      </c>
      <c r="CA103" s="14">
        <f t="shared" si="93"/>
        <v>61.708187819081218</v>
      </c>
      <c r="CB103" s="22">
        <f t="shared" si="64"/>
        <v>552.03063378489958</v>
      </c>
      <c r="CC103" s="60">
        <f t="shared" si="65"/>
        <v>845.36396711823295</v>
      </c>
      <c r="CD103" s="60">
        <f ca="1">AVERAGE(OFFSET($CC$3,0,0,'Données projet'!$E$12+1,1))-AVERAGE(OFFSET($H$3,0,0,'Données projet'!$E$12+1,1))</f>
        <v>277.03735509061545</v>
      </c>
      <c r="CE103" s="60">
        <f t="shared" si="94"/>
        <v>158.16416492761959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307.24199999999985</v>
      </c>
      <c r="CV103" s="14">
        <f t="shared" si="95"/>
        <v>72.692550770207774</v>
      </c>
      <c r="CW103" s="22">
        <f t="shared" si="67"/>
        <v>661.71934259144484</v>
      </c>
      <c r="CX103" s="60">
        <f t="shared" si="68"/>
        <v>955.05267592477821</v>
      </c>
      <c r="CY103" s="60">
        <f ca="1">AVERAGE(OFFSET($CX$3,0,0,'Données projet'!$E$13+1,1))-AVERAGE(OFFSET($H$3,0,0,'Données projet'!$E$13+1,1))</f>
        <v>350.3652766444938</v>
      </c>
      <c r="CZ103" s="60">
        <f t="shared" si="96"/>
        <v>197.04549436738586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3.4106051316484809E-13</v>
      </c>
      <c r="DP103" s="18">
        <f>DO103*VLOOKUP('Données projet'!$B$14,Paramètres!$A$1:$I$89,3,0)*VLOOKUP('Données projet'!$B$14,Paramètres!$A$1:$I$89,5,0)</f>
        <v>2.7134774427395314E-13</v>
      </c>
      <c r="DQ103" s="14">
        <f t="shared" si="97"/>
        <v>3.6292411711343559E-12</v>
      </c>
      <c r="DR103" s="22">
        <f t="shared" si="70"/>
        <v>6.7935256943361388E-12</v>
      </c>
      <c r="DS103" s="60">
        <f t="shared" si="71"/>
        <v>293.33333333334014</v>
      </c>
      <c r="DT103" s="60">
        <f ca="1">AVERAGE(OFFSET($DS$3,0,0,'Données projet'!$E$14+1,1))-AVERAGE(OFFSET($H$3,0,0,'Données projet'!$E$14+1,1))</f>
        <v>382.01991140382955</v>
      </c>
      <c r="DU103" s="60">
        <f t="shared" si="98"/>
        <v>389.53897948144339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323.92137573760789</v>
      </c>
      <c r="EP103" s="60">
        <f t="shared" si="100"/>
        <v>389.53897948144339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2.2737367544323206E-13</v>
      </c>
      <c r="FF103" s="18">
        <f>FE103*VLOOKUP('Données projet'!$B$16,Paramètres!$A$1:$I$89,3,0)*VLOOKUP('Données projet'!$B$16,Paramètres!$A$1:$I$89,5,0)</f>
        <v>1.8089849618263545E-13</v>
      </c>
      <c r="FG103" s="14">
        <f t="shared" si="101"/>
        <v>2.536422473342444E-12</v>
      </c>
      <c r="FH103" s="22">
        <f t="shared" si="76"/>
        <v>4.7326673552561798E-12</v>
      </c>
      <c r="FI103" s="60">
        <f t="shared" si="77"/>
        <v>293.33333333333803</v>
      </c>
      <c r="FJ103" s="60">
        <f ca="1">AVERAGE(OFFSET($FI$3,0,0,'Données projet'!$E$16+1,1))-AVERAGE(OFFSET($H$3,0,0,'Données projet'!$E$16+1,1))</f>
        <v>219.61164494001008</v>
      </c>
      <c r="FK103" s="60">
        <f t="shared" si="102"/>
        <v>219.59799863414111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5.6923076923076907</v>
      </c>
      <c r="FZ103" s="13">
        <f>IF('Données projet'!$A$244&gt;35,FZ102+FY103-GH102,IF(A103&lt;'Données projet'!$A$244,$FW$205^A103,IF(A103='Données projet'!$A$244,'Données projet'!$B$244,FZ102+FY103-GH102)))</f>
        <v>204.92307692307639</v>
      </c>
      <c r="GA103" s="18">
        <f>FZ103*VLOOKUP('Données projet'!$B$17,Paramètres!$A$1:$I$89,3,0)*VLOOKUP('Données projet'!$B$17,Paramètres!$A$1:$I$89,5,0)</f>
        <v>95.903999999999741</v>
      </c>
      <c r="GB103" s="14">
        <f t="shared" si="103"/>
        <v>25.983819565312803</v>
      </c>
      <c r="GC103" s="22">
        <f t="shared" si="79"/>
        <v>212.28795240958598</v>
      </c>
      <c r="GD103" s="60">
        <f t="shared" si="80"/>
        <v>505.62128574291933</v>
      </c>
      <c r="GE103" s="60">
        <f ca="1">AVERAGE(OFFSET($GD$3,0,0,'Données projet'!$E$17+1,1))-AVERAGE(OFFSET($H$3,0,0,'Données projet'!$E$17+1,1))</f>
        <v>147.5699668214238</v>
      </c>
      <c r="GF103" s="60">
        <f t="shared" si="104"/>
        <v>70.653739864908346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>
        <f>GU103*VLOOKUP('Données projet'!$B$18,Paramètres!$A$1:$I$89,3,0)*VLOOKUP('Données projet'!$B$18,Paramètres!$A$1:$I$89,5,0)</f>
        <v>0</v>
      </c>
      <c r="GW103" s="14" t="e">
        <f t="shared" si="105"/>
        <v>#NUM!</v>
      </c>
      <c r="GX103" s="22" t="e">
        <f t="shared" si="82"/>
        <v>#NUM!</v>
      </c>
      <c r="GY103" s="60" t="e">
        <f t="shared" si="83"/>
        <v>#NUM!</v>
      </c>
      <c r="GZ103" s="60">
        <f ca="1">AVERAGE(OFFSET($GY$3,0,0,'Données projet'!$E$18+1,1))-AVERAGE(OFFSET($H$3,0,0,'Données projet'!$E$18+1,1))</f>
        <v>136.03899433512379</v>
      </c>
      <c r="HA103" s="60">
        <f t="shared" si="106"/>
        <v>316.56646692826882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18.667762570259708</v>
      </c>
      <c r="HH103" s="23">
        <f>EXP(-LN(2)/25)*HH102+(1-EXP(-LN(2)/25))/(LN(2)/25)*Calculateur!HC103*Calculateur!HE103*VLOOKUP('Données projet'!$B$18,Paramètres!$A$1:$I$89,3,0)*0.475*44/12</f>
        <v>1.4476090260726531</v>
      </c>
      <c r="HI103" s="23">
        <f>EXP(-LN(2)/2)*HI102+(1-EXP(-LN(2)/2))/(LN(2)/2)*HC103*HF103*VLOOKUP('Données projet'!$B$18,Paramètres!$A$1:$I$89,3,0)*0.475*44/12</f>
        <v>8.5091410451492795E-11</v>
      </c>
      <c r="HJ103" s="24">
        <f t="shared" si="84"/>
        <v>20.11537159641745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311.39999999999986</v>
      </c>
      <c r="O104" s="14">
        <f>N104*VLOOKUP('Données projet'!$B$9,Paramètres!$A$1:$I$89,3,0)*VLOOKUP('Données projet'!$B$9,Paramètres!$A$1:$I$89,5,0)</f>
        <v>281.75471999999985</v>
      </c>
      <c r="P104" s="14">
        <f t="shared" si="87"/>
        <v>67.337696723120317</v>
      </c>
      <c r="Q104" s="22">
        <f t="shared" si="107"/>
        <v>608.0026257927675</v>
      </c>
      <c r="R104" s="60">
        <f t="shared" si="55"/>
        <v>901.33595912610076</v>
      </c>
      <c r="S104" s="60">
        <f ca="1">AVERAGE(OFFSET($R$3,0,0,'Données projet'!$E$9+1,1))-AVERAGE(OFFSET($H$3,0,0,'Données projet'!$E$9+1,1))</f>
        <v>384.44848355636935</v>
      </c>
      <c r="T104" s="60">
        <f t="shared" si="88"/>
        <v>203.5274665601915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240.13391999999982</v>
      </c>
      <c r="AK104" s="14">
        <f t="shared" si="89"/>
        <v>58.468343087048559</v>
      </c>
      <c r="AL104" s="22">
        <f t="shared" si="58"/>
        <v>520.06560820994252</v>
      </c>
      <c r="AM104" s="60">
        <f t="shared" si="59"/>
        <v>813.3989415432759</v>
      </c>
      <c r="AN104" s="60">
        <f ca="1">AVERAGE(OFFSET($AM$3,0,0,'Données projet'!$E$10+1,1))-AVERAGE(OFFSET($H$3,0,0,'Données projet'!$E$10+1,1))</f>
        <v>303.73499739059076</v>
      </c>
      <c r="AO104" s="60">
        <f t="shared" si="90"/>
        <v>172.32171001882188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311.39999999999986</v>
      </c>
      <c r="BE104" s="14">
        <f>BD104*VLOOKUP('Données projet'!$B$11,Paramètres!$A$1:$I$89,3,0)*VLOOKUP('Données projet'!$B$11,Paramètres!$A$1:$I$89,5,0)</f>
        <v>262.32335999999992</v>
      </c>
      <c r="BF104" s="14">
        <f t="shared" si="91"/>
        <v>63.217367706132187</v>
      </c>
      <c r="BG104" s="22">
        <f t="shared" si="61"/>
        <v>566.98343408817993</v>
      </c>
      <c r="BH104" s="60">
        <f t="shared" si="62"/>
        <v>860.3167674215133</v>
      </c>
      <c r="BI104" s="60">
        <f ca="1">AVERAGE(OFFSET($BH$3,0,0,'Données projet'!$E$11+1,1))-AVERAGE(OFFSET($H$3,0,0,'Données projet'!$E$11+1,1))</f>
        <v>352.29660374042186</v>
      </c>
      <c r="BJ104" s="60">
        <f t="shared" si="92"/>
        <v>187.26439695305618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223.57295999999988</v>
      </c>
      <c r="CA104" s="14">
        <f t="shared" si="93"/>
        <v>54.890721304299568</v>
      </c>
      <c r="CB104" s="22">
        <f t="shared" si="64"/>
        <v>484.99091160498818</v>
      </c>
      <c r="CC104" s="60">
        <f t="shared" si="65"/>
        <v>778.3242449383215</v>
      </c>
      <c r="CD104" s="60">
        <f ca="1">AVERAGE(OFFSET($CC$3,0,0,'Données projet'!$E$12+1,1))-AVERAGE(OFFSET($H$3,0,0,'Données projet'!$E$12+1,1))</f>
        <v>277.03735509061545</v>
      </c>
      <c r="CE104" s="60">
        <f t="shared" si="94"/>
        <v>158.16416492761959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269.1155999999998</v>
      </c>
      <c r="CV104" s="14">
        <f t="shared" si="95"/>
        <v>64.661541462287076</v>
      </c>
      <c r="CW104" s="22">
        <f t="shared" si="67"/>
        <v>581.3285213801496</v>
      </c>
      <c r="CX104" s="60">
        <f t="shared" si="68"/>
        <v>874.66185471348285</v>
      </c>
      <c r="CY104" s="60">
        <f ca="1">AVERAGE(OFFSET($CX$3,0,0,'Données projet'!$E$13+1,1))-AVERAGE(OFFSET($H$3,0,0,'Données projet'!$E$13+1,1))</f>
        <v>350.3652766444938</v>
      </c>
      <c r="CZ104" s="60">
        <f t="shared" si="96"/>
        <v>197.04549436738586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3.4106051316484809E-13</v>
      </c>
      <c r="DP104" s="18">
        <f>DO104*VLOOKUP('Données projet'!$B$14,Paramètres!$A$1:$I$89,3,0)*VLOOKUP('Données projet'!$B$14,Paramètres!$A$1:$I$89,5,0)</f>
        <v>2.7134774427395314E-13</v>
      </c>
      <c r="DQ104" s="14">
        <f t="shared" si="97"/>
        <v>3.6292411711343559E-12</v>
      </c>
      <c r="DR104" s="22">
        <f t="shared" si="70"/>
        <v>6.7935256943361388E-12</v>
      </c>
      <c r="DS104" s="60">
        <f t="shared" si="71"/>
        <v>293.33333333334014</v>
      </c>
      <c r="DT104" s="60">
        <f ca="1">AVERAGE(OFFSET($DS$3,0,0,'Données projet'!$E$14+1,1))-AVERAGE(OFFSET($H$3,0,0,'Données projet'!$E$14+1,1))</f>
        <v>382.01991140382955</v>
      </c>
      <c r="DU104" s="60">
        <f t="shared" si="98"/>
        <v>389.53897948144339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323.92137573760789</v>
      </c>
      <c r="EP104" s="60">
        <f t="shared" si="100"/>
        <v>389.53897948144339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2.2737367544323206E-13</v>
      </c>
      <c r="FF104" s="18">
        <f>FE104*VLOOKUP('Données projet'!$B$16,Paramètres!$A$1:$I$89,3,0)*VLOOKUP('Données projet'!$B$16,Paramètres!$A$1:$I$89,5,0)</f>
        <v>1.8089849618263545E-13</v>
      </c>
      <c r="FG104" s="14">
        <f t="shared" si="101"/>
        <v>2.536422473342444E-12</v>
      </c>
      <c r="FH104" s="22">
        <f t="shared" si="76"/>
        <v>4.7326673552561798E-12</v>
      </c>
      <c r="FI104" s="60">
        <f t="shared" si="77"/>
        <v>293.33333333333803</v>
      </c>
      <c r="FJ104" s="60">
        <f ca="1">AVERAGE(OFFSET($FI$3,0,0,'Données projet'!$E$16+1,1))-AVERAGE(OFFSET($H$3,0,0,'Données projet'!$E$16+1,1))</f>
        <v>219.61164494001008</v>
      </c>
      <c r="FK104" s="60">
        <f t="shared" si="102"/>
        <v>219.59799863414111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5.6923076923076907</v>
      </c>
      <c r="FZ104" s="13">
        <f>IF('Données projet'!$A$244&gt;35,FZ103+FY104-GH103,IF(A104&lt;'Données projet'!$A$244,$FW$205^A104,IF(A104='Données projet'!$A$244,'Données projet'!$B$244,FZ103+FY104-GH103)))</f>
        <v>210.61538461538407</v>
      </c>
      <c r="GA104" s="18">
        <f>FZ104*VLOOKUP('Données projet'!$B$17,Paramètres!$A$1:$I$89,3,0)*VLOOKUP('Données projet'!$B$17,Paramètres!$A$1:$I$89,5,0)</f>
        <v>98.567999999999756</v>
      </c>
      <c r="GB104" s="14">
        <f t="shared" si="103"/>
        <v>26.620557442262673</v>
      </c>
      <c r="GC104" s="22">
        <f t="shared" si="79"/>
        <v>218.03673754527372</v>
      </c>
      <c r="GD104" s="60">
        <f t="shared" si="80"/>
        <v>511.37007087860707</v>
      </c>
      <c r="GE104" s="60">
        <f ca="1">AVERAGE(OFFSET($GD$3,0,0,'Données projet'!$E$17+1,1))-AVERAGE(OFFSET($H$3,0,0,'Données projet'!$E$17+1,1))</f>
        <v>147.5699668214238</v>
      </c>
      <c r="GF104" s="60">
        <f t="shared" si="104"/>
        <v>70.653739864908346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>
        <f>GU104*VLOOKUP('Données projet'!$B$18,Paramètres!$A$1:$I$89,3,0)*VLOOKUP('Données projet'!$B$18,Paramètres!$A$1:$I$89,5,0)</f>
        <v>0</v>
      </c>
      <c r="GW104" s="14" t="e">
        <f t="shared" si="105"/>
        <v>#NUM!</v>
      </c>
      <c r="GX104" s="22" t="e">
        <f t="shared" si="82"/>
        <v>#NUM!</v>
      </c>
      <c r="GY104" s="60" t="e">
        <f t="shared" si="83"/>
        <v>#NUM!</v>
      </c>
      <c r="GZ104" s="60">
        <f ca="1">AVERAGE(OFFSET($GY$3,0,0,'Données projet'!$E$18+1,1))-AVERAGE(OFFSET($H$3,0,0,'Données projet'!$E$18+1,1))</f>
        <v>136.03899433512379</v>
      </c>
      <c r="HA104" s="60">
        <f t="shared" si="106"/>
        <v>316.56646692826882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18.301699132467789</v>
      </c>
      <c r="HH104" s="23">
        <f>EXP(-LN(2)/25)*HH103+(1-EXP(-LN(2)/25))/(LN(2)/25)*Calculateur!HC104*Calculateur!HE104*VLOOKUP('Données projet'!$B$18,Paramètres!$A$1:$I$89,3,0)*0.475*44/12</f>
        <v>1.4080240811282463</v>
      </c>
      <c r="HI104" s="23">
        <f>EXP(-LN(2)/2)*HI103+(1-EXP(-LN(2)/2))/(LN(2)/2)*HC104*HF104*VLOOKUP('Données projet'!$B$18,Paramètres!$A$1:$I$89,3,0)*0.475*44/12</f>
        <v>6.0168713350978418E-11</v>
      </c>
      <c r="HJ104" s="24">
        <f t="shared" si="84"/>
        <v>19.709723213656204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316.79999999999984</v>
      </c>
      <c r="O105" s="14">
        <f>N105*VLOOKUP('Données projet'!$B$9,Paramètres!$A$1:$I$89,3,0)*VLOOKUP('Données projet'!$B$9,Paramètres!$A$1:$I$89,5,0)</f>
        <v>286.64063999999985</v>
      </c>
      <c r="P105" s="14">
        <f t="shared" si="87"/>
        <v>68.368446832003599</v>
      </c>
      <c r="Q105" s="22">
        <f t="shared" si="107"/>
        <v>618.3074928990726</v>
      </c>
      <c r="R105" s="60">
        <f t="shared" si="55"/>
        <v>911.64082623240597</v>
      </c>
      <c r="S105" s="60">
        <f ca="1">AVERAGE(OFFSET($R$3,0,0,'Données projet'!$E$9+1,1))-AVERAGE(OFFSET($H$3,0,0,'Données projet'!$E$9+1,1))</f>
        <v>384.44848355636935</v>
      </c>
      <c r="T105" s="60">
        <f t="shared" si="88"/>
        <v>203.5274665601915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244.11503999999979</v>
      </c>
      <c r="AK105" s="14">
        <f t="shared" si="89"/>
        <v>59.324023461759012</v>
      </c>
      <c r="AL105" s="22">
        <f t="shared" si="58"/>
        <v>528.48970219589648</v>
      </c>
      <c r="AM105" s="60">
        <f t="shared" si="59"/>
        <v>821.82303552922986</v>
      </c>
      <c r="AN105" s="60">
        <f ca="1">AVERAGE(OFFSET($AM$3,0,0,'Données projet'!$E$10+1,1))-AVERAGE(OFFSET($H$3,0,0,'Données projet'!$E$10+1,1))</f>
        <v>303.73499739059076</v>
      </c>
      <c r="AO105" s="60">
        <f t="shared" si="90"/>
        <v>172.32171001882188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316.79999999999984</v>
      </c>
      <c r="BE105" s="14">
        <f>BD105*VLOOKUP('Données projet'!$B$11,Paramètres!$A$1:$I$89,3,0)*VLOOKUP('Données projet'!$B$11,Paramètres!$A$1:$I$89,5,0)</f>
        <v>266.87231999999989</v>
      </c>
      <c r="BF105" s="14">
        <f t="shared" si="91"/>
        <v>64.185047205393062</v>
      </c>
      <c r="BG105" s="22">
        <f t="shared" si="61"/>
        <v>576.59158121605935</v>
      </c>
      <c r="BH105" s="60">
        <f t="shared" si="62"/>
        <v>869.92491454939272</v>
      </c>
      <c r="BI105" s="60">
        <f ca="1">AVERAGE(OFFSET($BH$3,0,0,'Données projet'!$E$11+1,1))-AVERAGE(OFFSET($H$3,0,0,'Données projet'!$E$11+1,1))</f>
        <v>352.29660374042186</v>
      </c>
      <c r="BJ105" s="60">
        <f t="shared" si="92"/>
        <v>187.26439695305618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227.27951999999985</v>
      </c>
      <c r="CA105" s="14">
        <f t="shared" si="93"/>
        <v>55.694043418351256</v>
      </c>
      <c r="CB105" s="22">
        <f t="shared" si="64"/>
        <v>492.84562295362815</v>
      </c>
      <c r="CC105" s="60">
        <f t="shared" si="65"/>
        <v>786.17895628696147</v>
      </c>
      <c r="CD105" s="60">
        <f ca="1">AVERAGE(OFFSET($CC$3,0,0,'Données projet'!$E$12+1,1))-AVERAGE(OFFSET($H$3,0,0,'Données projet'!$E$12+1,1))</f>
        <v>277.03735509061545</v>
      </c>
      <c r="CE105" s="60">
        <f t="shared" si="94"/>
        <v>158.16416492761959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273.57719999999978</v>
      </c>
      <c r="CV105" s="14">
        <f t="shared" si="95"/>
        <v>65.60785888991505</v>
      </c>
      <c r="CW105" s="22">
        <f t="shared" si="67"/>
        <v>590.74731089993509</v>
      </c>
      <c r="CX105" s="60">
        <f t="shared" si="68"/>
        <v>884.08064423326846</v>
      </c>
      <c r="CY105" s="60">
        <f ca="1">AVERAGE(OFFSET($CX$3,0,0,'Données projet'!$E$13+1,1))-AVERAGE(OFFSET($H$3,0,0,'Données projet'!$E$13+1,1))</f>
        <v>350.3652766444938</v>
      </c>
      <c r="CZ105" s="60">
        <f t="shared" si="96"/>
        <v>197.04549436738586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3.4106051316484809E-13</v>
      </c>
      <c r="DP105" s="18">
        <f>DO105*VLOOKUP('Données projet'!$B$14,Paramètres!$A$1:$I$89,3,0)*VLOOKUP('Données projet'!$B$14,Paramètres!$A$1:$I$89,5,0)</f>
        <v>2.7134774427395314E-13</v>
      </c>
      <c r="DQ105" s="14">
        <f t="shared" si="97"/>
        <v>3.6292411711343559E-12</v>
      </c>
      <c r="DR105" s="22">
        <f t="shared" si="70"/>
        <v>6.7935256943361388E-12</v>
      </c>
      <c r="DS105" s="60">
        <f t="shared" si="71"/>
        <v>293.33333333334014</v>
      </c>
      <c r="DT105" s="60">
        <f ca="1">AVERAGE(OFFSET($DS$3,0,0,'Données projet'!$E$14+1,1))-AVERAGE(OFFSET($H$3,0,0,'Données projet'!$E$14+1,1))</f>
        <v>382.01991140382955</v>
      </c>
      <c r="DU105" s="60">
        <f t="shared" si="98"/>
        <v>389.53897948144339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323.92137573760789</v>
      </c>
      <c r="EP105" s="60">
        <f t="shared" si="100"/>
        <v>389.53897948144339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2.2737367544323206E-13</v>
      </c>
      <c r="FF105" s="18">
        <f>FE105*VLOOKUP('Données projet'!$B$16,Paramètres!$A$1:$I$89,3,0)*VLOOKUP('Données projet'!$B$16,Paramètres!$A$1:$I$89,5,0)</f>
        <v>1.8089849618263545E-13</v>
      </c>
      <c r="FG105" s="14">
        <f t="shared" si="101"/>
        <v>2.536422473342444E-12</v>
      </c>
      <c r="FH105" s="22">
        <f t="shared" si="76"/>
        <v>4.7326673552561798E-12</v>
      </c>
      <c r="FI105" s="60">
        <f t="shared" si="77"/>
        <v>293.33333333333803</v>
      </c>
      <c r="FJ105" s="60">
        <f ca="1">AVERAGE(OFFSET($FI$3,0,0,'Données projet'!$E$16+1,1))-AVERAGE(OFFSET($H$3,0,0,'Données projet'!$E$16+1,1))</f>
        <v>219.61164494001008</v>
      </c>
      <c r="FK105" s="60">
        <f t="shared" si="102"/>
        <v>219.59799863414111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5.6923076923076907</v>
      </c>
      <c r="FZ105" s="13">
        <f>IF('Données projet'!$A$244&gt;35,FZ104+FY105-GH104,IF(A105&lt;'Données projet'!$A$244,$FW$205^A105,IF(A105='Données projet'!$A$244,'Données projet'!$B$244,FZ104+FY105-GH104)))</f>
        <v>216.30769230769175</v>
      </c>
      <c r="GA105" s="18">
        <f>FZ105*VLOOKUP('Données projet'!$B$17,Paramètres!$A$1:$I$89,3,0)*VLOOKUP('Données projet'!$B$17,Paramètres!$A$1:$I$89,5,0)</f>
        <v>101.23199999999974</v>
      </c>
      <c r="GB105" s="14">
        <f t="shared" si="103"/>
        <v>27.255295066527388</v>
      </c>
      <c r="GC105" s="22">
        <f t="shared" si="79"/>
        <v>223.78203890753477</v>
      </c>
      <c r="GD105" s="60">
        <f t="shared" si="80"/>
        <v>517.11537224086806</v>
      </c>
      <c r="GE105" s="60">
        <f ca="1">AVERAGE(OFFSET($GD$3,0,0,'Données projet'!$E$17+1,1))-AVERAGE(OFFSET($H$3,0,0,'Données projet'!$E$17+1,1))</f>
        <v>147.5699668214238</v>
      </c>
      <c r="GF105" s="60">
        <f t="shared" si="104"/>
        <v>70.653739864908346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>
        <f>GU105*VLOOKUP('Données projet'!$B$18,Paramètres!$A$1:$I$89,3,0)*VLOOKUP('Données projet'!$B$18,Paramètres!$A$1:$I$89,5,0)</f>
        <v>0</v>
      </c>
      <c r="GW105" s="14" t="e">
        <f t="shared" si="105"/>
        <v>#NUM!</v>
      </c>
      <c r="GX105" s="22" t="e">
        <f t="shared" si="82"/>
        <v>#NUM!</v>
      </c>
      <c r="GY105" s="60" t="e">
        <f t="shared" si="83"/>
        <v>#NUM!</v>
      </c>
      <c r="GZ105" s="60">
        <f ca="1">AVERAGE(OFFSET($GY$3,0,0,'Données projet'!$E$18+1,1))-AVERAGE(OFFSET($H$3,0,0,'Données projet'!$E$18+1,1))</f>
        <v>136.03899433512379</v>
      </c>
      <c r="HA105" s="60">
        <f t="shared" si="106"/>
        <v>316.56646692826882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17.942813975414317</v>
      </c>
      <c r="HH105" s="23">
        <f>EXP(-LN(2)/25)*HH104+(1-EXP(-LN(2)/25))/(LN(2)/25)*Calculateur!HC105*Calculateur!HE105*VLOOKUP('Données projet'!$B$18,Paramètres!$A$1:$I$89,3,0)*0.475*44/12</f>
        <v>1.369521588585026</v>
      </c>
      <c r="HI105" s="23">
        <f>EXP(-LN(2)/2)*HI104+(1-EXP(-LN(2)/2))/(LN(2)/2)*HC105*HF105*VLOOKUP('Données projet'!$B$18,Paramètres!$A$1:$I$89,3,0)*0.475*44/12</f>
        <v>4.2545705225746397E-11</v>
      </c>
      <c r="HJ105" s="24">
        <f t="shared" si="84"/>
        <v>19.312335564041891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322.19999999999982</v>
      </c>
      <c r="O106" s="14">
        <f>N106*VLOOKUP('Données projet'!$B$9,Paramètres!$A$1:$I$89,3,0)*VLOOKUP('Données projet'!$B$9,Paramètres!$A$1:$I$89,5,0)</f>
        <v>291.52655999999985</v>
      </c>
      <c r="P106" s="14">
        <f t="shared" si="87"/>
        <v>69.397153761857183</v>
      </c>
      <c r="Q106" s="22">
        <f t="shared" si="107"/>
        <v>628.60880146856755</v>
      </c>
      <c r="R106" s="60">
        <f t="shared" si="55"/>
        <v>921.94213480190092</v>
      </c>
      <c r="S106" s="60">
        <f ca="1">AVERAGE(OFFSET($R$3,0,0,'Données projet'!$E$9+1,1))-AVERAGE(OFFSET($H$3,0,0,'Données projet'!$E$9+1,1))</f>
        <v>384.44848355636935</v>
      </c>
      <c r="T106" s="60">
        <f t="shared" si="88"/>
        <v>203.5274665601915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248.0961599999998</v>
      </c>
      <c r="AK106" s="14">
        <f t="shared" si="89"/>
        <v>60.178080967364686</v>
      </c>
      <c r="AL106" s="22">
        <f t="shared" si="58"/>
        <v>536.91096968482657</v>
      </c>
      <c r="AM106" s="60">
        <f t="shared" si="59"/>
        <v>830.24430301815983</v>
      </c>
      <c r="AN106" s="60">
        <f ca="1">AVERAGE(OFFSET($AM$3,0,0,'Données projet'!$E$10+1,1))-AVERAGE(OFFSET($H$3,0,0,'Données projet'!$E$10+1,1))</f>
        <v>303.73499739059076</v>
      </c>
      <c r="AO106" s="60">
        <f t="shared" si="90"/>
        <v>172.32171001882188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322.19999999999982</v>
      </c>
      <c r="BE106" s="14">
        <f>BD106*VLOOKUP('Données projet'!$B$11,Paramètres!$A$1:$I$89,3,0)*VLOOKUP('Données projet'!$B$11,Paramètres!$A$1:$I$89,5,0)</f>
        <v>271.42127999999985</v>
      </c>
      <c r="BF106" s="14">
        <f t="shared" si="91"/>
        <v>65.15080854578764</v>
      </c>
      <c r="BG106" s="22">
        <f t="shared" si="61"/>
        <v>586.19638755057986</v>
      </c>
      <c r="BH106" s="60">
        <f t="shared" si="62"/>
        <v>879.52972088391311</v>
      </c>
      <c r="BI106" s="60">
        <f ca="1">AVERAGE(OFFSET($BH$3,0,0,'Données projet'!$E$11+1,1))-AVERAGE(OFFSET($H$3,0,0,'Données projet'!$E$11+1,1))</f>
        <v>352.29660374042186</v>
      </c>
      <c r="BJ106" s="60">
        <f t="shared" si="92"/>
        <v>187.26439695305618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230.98607999999982</v>
      </c>
      <c r="CA106" s="14">
        <f t="shared" si="93"/>
        <v>56.495841965100745</v>
      </c>
      <c r="CB106" s="22">
        <f t="shared" si="64"/>
        <v>500.69768075588348</v>
      </c>
      <c r="CC106" s="60">
        <f t="shared" si="65"/>
        <v>794.0310140892168</v>
      </c>
      <c r="CD106" s="60">
        <f ca="1">AVERAGE(OFFSET($CC$3,0,0,'Données projet'!$E$12+1,1))-AVERAGE(OFFSET($H$3,0,0,'Données projet'!$E$12+1,1))</f>
        <v>277.03735509061545</v>
      </c>
      <c r="CE106" s="60">
        <f t="shared" si="94"/>
        <v>158.16416492761959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278.03879999999975</v>
      </c>
      <c r="CV106" s="14">
        <f t="shared" si="95"/>
        <v>66.552381547717744</v>
      </c>
      <c r="CW106" s="22">
        <f t="shared" si="67"/>
        <v>600.16297452894128</v>
      </c>
      <c r="CX106" s="60">
        <f t="shared" si="68"/>
        <v>893.49630786227453</v>
      </c>
      <c r="CY106" s="60">
        <f ca="1">AVERAGE(OFFSET($CX$3,0,0,'Données projet'!$E$13+1,1))-AVERAGE(OFFSET($H$3,0,0,'Données projet'!$E$13+1,1))</f>
        <v>350.3652766444938</v>
      </c>
      <c r="CZ106" s="60">
        <f t="shared" si="96"/>
        <v>197.04549436738586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3.4106051316484809E-13</v>
      </c>
      <c r="DP106" s="18">
        <f>DO106*VLOOKUP('Données projet'!$B$14,Paramètres!$A$1:$I$89,3,0)*VLOOKUP('Données projet'!$B$14,Paramètres!$A$1:$I$89,5,0)</f>
        <v>2.7134774427395314E-13</v>
      </c>
      <c r="DQ106" s="14">
        <f t="shared" si="97"/>
        <v>3.6292411711343559E-12</v>
      </c>
      <c r="DR106" s="22">
        <f t="shared" si="70"/>
        <v>6.7935256943361388E-12</v>
      </c>
      <c r="DS106" s="60">
        <f t="shared" si="71"/>
        <v>293.33333333334014</v>
      </c>
      <c r="DT106" s="60">
        <f ca="1">AVERAGE(OFFSET($DS$3,0,0,'Données projet'!$E$14+1,1))-AVERAGE(OFFSET($H$3,0,0,'Données projet'!$E$14+1,1))</f>
        <v>382.01991140382955</v>
      </c>
      <c r="DU106" s="60">
        <f t="shared" si="98"/>
        <v>389.53897948144339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323.92137573760789</v>
      </c>
      <c r="EP106" s="60">
        <f t="shared" si="100"/>
        <v>389.53897948144339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2.2737367544323206E-13</v>
      </c>
      <c r="FF106" s="18">
        <f>FE106*VLOOKUP('Données projet'!$B$16,Paramètres!$A$1:$I$89,3,0)*VLOOKUP('Données projet'!$B$16,Paramètres!$A$1:$I$89,5,0)</f>
        <v>1.8089849618263545E-13</v>
      </c>
      <c r="FG106" s="14">
        <f t="shared" si="101"/>
        <v>2.536422473342444E-12</v>
      </c>
      <c r="FH106" s="22">
        <f t="shared" si="76"/>
        <v>4.7326673552561798E-12</v>
      </c>
      <c r="FI106" s="60">
        <f t="shared" si="77"/>
        <v>293.33333333333803</v>
      </c>
      <c r="FJ106" s="60">
        <f ca="1">AVERAGE(OFFSET($FI$3,0,0,'Données projet'!$E$16+1,1))-AVERAGE(OFFSET($H$3,0,0,'Données projet'!$E$16+1,1))</f>
        <v>219.61164494001008</v>
      </c>
      <c r="FK106" s="60">
        <f t="shared" si="102"/>
        <v>219.59799863414111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5.6923076923076907</v>
      </c>
      <c r="FZ106" s="13">
        <f>IF('Données projet'!$A$244&gt;35,FZ105+FY106-GH105,IF(A106&lt;'Données projet'!$A$244,$FW$205^A106,IF(A106='Données projet'!$A$244,'Données projet'!$B$244,FZ105+FY106-GH105)))</f>
        <v>221.99999999999943</v>
      </c>
      <c r="GA106" s="18">
        <f>FZ106*VLOOKUP('Données projet'!$B$17,Paramètres!$A$1:$I$89,3,0)*VLOOKUP('Données projet'!$B$17,Paramètres!$A$1:$I$89,5,0)</f>
        <v>103.89599999999973</v>
      </c>
      <c r="GB106" s="14">
        <f t="shared" si="103"/>
        <v>27.888091127225749</v>
      </c>
      <c r="GC106" s="22">
        <f t="shared" si="79"/>
        <v>229.52395871325101</v>
      </c>
      <c r="GD106" s="60">
        <f t="shared" si="80"/>
        <v>522.85729204658435</v>
      </c>
      <c r="GE106" s="60">
        <f ca="1">AVERAGE(OFFSET($GD$3,0,0,'Données projet'!$E$17+1,1))-AVERAGE(OFFSET($H$3,0,0,'Données projet'!$E$17+1,1))</f>
        <v>147.5699668214238</v>
      </c>
      <c r="GF106" s="60">
        <f t="shared" si="104"/>
        <v>70.653739864908346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>
        <f>GU106*VLOOKUP('Données projet'!$B$18,Paramètres!$A$1:$I$89,3,0)*VLOOKUP('Données projet'!$B$18,Paramètres!$A$1:$I$89,5,0)</f>
        <v>0</v>
      </c>
      <c r="GW106" s="14" t="e">
        <f t="shared" si="105"/>
        <v>#NUM!</v>
      </c>
      <c r="GX106" s="22" t="e">
        <f t="shared" si="82"/>
        <v>#NUM!</v>
      </c>
      <c r="GY106" s="60" t="e">
        <f t="shared" si="83"/>
        <v>#NUM!</v>
      </c>
      <c r="GZ106" s="60">
        <f ca="1">AVERAGE(OFFSET($GY$3,0,0,'Données projet'!$E$18+1,1))-AVERAGE(OFFSET($H$3,0,0,'Données projet'!$E$18+1,1))</f>
        <v>136.03899433512379</v>
      </c>
      <c r="HA106" s="60">
        <f t="shared" si="106"/>
        <v>316.56646692826882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17.590966337392334</v>
      </c>
      <c r="HH106" s="23">
        <f>EXP(-LN(2)/25)*HH105+(1-EXP(-LN(2)/25))/(LN(2)/25)*Calculateur!HC106*Calculateur!HE106*VLOOKUP('Données projet'!$B$18,Paramètres!$A$1:$I$89,3,0)*0.475*44/12</f>
        <v>1.3320719487251582</v>
      </c>
      <c r="HI106" s="23">
        <f>EXP(-LN(2)/2)*HI105+(1-EXP(-LN(2)/2))/(LN(2)/2)*HC106*HF106*VLOOKUP('Données projet'!$B$18,Paramètres!$A$1:$I$89,3,0)*0.475*44/12</f>
        <v>3.0084356675489209E-11</v>
      </c>
      <c r="HJ106" s="24">
        <f t="shared" si="84"/>
        <v>18.923038286147577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327.5999999999998</v>
      </c>
      <c r="O107" s="14">
        <f>N107*VLOOKUP('Données projet'!$B$9,Paramètres!$A$1:$I$89,3,0)*VLOOKUP('Données projet'!$B$9,Paramètres!$A$1:$I$89,5,0)</f>
        <v>296.41247999999979</v>
      </c>
      <c r="P107" s="14">
        <f t="shared" si="87"/>
        <v>70.423855708154704</v>
      </c>
      <c r="Q107" s="22">
        <f t="shared" si="107"/>
        <v>638.90661802503575</v>
      </c>
      <c r="R107" s="60">
        <f t="shared" si="55"/>
        <v>932.23995135836913</v>
      </c>
      <c r="S107" s="60">
        <f ca="1">AVERAGE(OFFSET($R$3,0,0,'Données projet'!$E$9+1,1))-AVERAGE(OFFSET($H$3,0,0,'Données projet'!$E$9+1,1))</f>
        <v>384.44848355636935</v>
      </c>
      <c r="T107" s="60">
        <f t="shared" si="88"/>
        <v>203.5274665601915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252.07727999999975</v>
      </c>
      <c r="AK107" s="14">
        <f t="shared" si="89"/>
        <v>61.03054465215493</v>
      </c>
      <c r="AL107" s="22">
        <f t="shared" si="58"/>
        <v>545.32946126916943</v>
      </c>
      <c r="AM107" s="60">
        <f t="shared" si="59"/>
        <v>838.6627946025028</v>
      </c>
      <c r="AN107" s="60">
        <f ca="1">AVERAGE(OFFSET($AM$3,0,0,'Données projet'!$E$10+1,1))-AVERAGE(OFFSET($H$3,0,0,'Données projet'!$E$10+1,1))</f>
        <v>303.73499739059076</v>
      </c>
      <c r="AO107" s="60">
        <f t="shared" si="90"/>
        <v>172.32171001882188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327.5999999999998</v>
      </c>
      <c r="BE107" s="14">
        <f>BD107*VLOOKUP('Données projet'!$B$11,Paramètres!$A$1:$I$89,3,0)*VLOOKUP('Données projet'!$B$11,Paramètres!$A$1:$I$89,5,0)</f>
        <v>275.97023999999988</v>
      </c>
      <c r="BF107" s="14">
        <f t="shared" si="91"/>
        <v>66.114687585645072</v>
      </c>
      <c r="BG107" s="22">
        <f t="shared" si="61"/>
        <v>595.79791554499832</v>
      </c>
      <c r="BH107" s="60">
        <f t="shared" si="62"/>
        <v>889.13124887833169</v>
      </c>
      <c r="BI107" s="60">
        <f ca="1">AVERAGE(OFFSET($BH$3,0,0,'Données projet'!$E$11+1,1))-AVERAGE(OFFSET($H$3,0,0,'Données projet'!$E$11+1,1))</f>
        <v>352.29660374042186</v>
      </c>
      <c r="BJ107" s="60">
        <f t="shared" si="92"/>
        <v>187.26439695305618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234.69263999999981</v>
      </c>
      <c r="CA107" s="14">
        <f t="shared" si="93"/>
        <v>57.29614421540046</v>
      </c>
      <c r="CB107" s="22">
        <f t="shared" si="64"/>
        <v>508.54713250848886</v>
      </c>
      <c r="CC107" s="60">
        <f t="shared" si="65"/>
        <v>801.88046584182212</v>
      </c>
      <c r="CD107" s="60">
        <f ca="1">AVERAGE(OFFSET($CC$3,0,0,'Données projet'!$E$12+1,1))-AVERAGE(OFFSET($H$3,0,0,'Données projet'!$E$12+1,1))</f>
        <v>277.03735509061545</v>
      </c>
      <c r="CE107" s="60">
        <f t="shared" si="94"/>
        <v>158.16416492761959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282.50039999999973</v>
      </c>
      <c r="CV107" s="14">
        <f t="shared" si="95"/>
        <v>67.495141560894311</v>
      </c>
      <c r="CW107" s="22">
        <f t="shared" si="67"/>
        <v>609.57556821855712</v>
      </c>
      <c r="CX107" s="60">
        <f t="shared" si="68"/>
        <v>902.90890155189049</v>
      </c>
      <c r="CY107" s="60">
        <f ca="1">AVERAGE(OFFSET($CX$3,0,0,'Données projet'!$E$13+1,1))-AVERAGE(OFFSET($H$3,0,0,'Données projet'!$E$13+1,1))</f>
        <v>350.3652766444938</v>
      </c>
      <c r="CZ107" s="60">
        <f t="shared" si="96"/>
        <v>197.04549436738586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3.4106051316484809E-13</v>
      </c>
      <c r="DP107" s="18">
        <f>DO107*VLOOKUP('Données projet'!$B$14,Paramètres!$A$1:$I$89,3,0)*VLOOKUP('Données projet'!$B$14,Paramètres!$A$1:$I$89,5,0)</f>
        <v>2.7134774427395314E-13</v>
      </c>
      <c r="DQ107" s="14">
        <f t="shared" si="97"/>
        <v>3.6292411711343559E-12</v>
      </c>
      <c r="DR107" s="22">
        <f t="shared" si="70"/>
        <v>6.7935256943361388E-12</v>
      </c>
      <c r="DS107" s="60">
        <f t="shared" si="71"/>
        <v>293.33333333334014</v>
      </c>
      <c r="DT107" s="60">
        <f ca="1">AVERAGE(OFFSET($DS$3,0,0,'Données projet'!$E$14+1,1))-AVERAGE(OFFSET($H$3,0,0,'Données projet'!$E$14+1,1))</f>
        <v>382.01991140382955</v>
      </c>
      <c r="DU107" s="60">
        <f t="shared" si="98"/>
        <v>389.53897948144339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323.92137573760789</v>
      </c>
      <c r="EP107" s="60">
        <f t="shared" si="100"/>
        <v>389.53897948144339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2.2737367544323206E-13</v>
      </c>
      <c r="FF107" s="18">
        <f>FE107*VLOOKUP('Données projet'!$B$16,Paramètres!$A$1:$I$89,3,0)*VLOOKUP('Données projet'!$B$16,Paramètres!$A$1:$I$89,5,0)</f>
        <v>1.8089849618263545E-13</v>
      </c>
      <c r="FG107" s="14">
        <f t="shared" si="101"/>
        <v>2.536422473342444E-12</v>
      </c>
      <c r="FH107" s="22">
        <f t="shared" si="76"/>
        <v>4.7326673552561798E-12</v>
      </c>
      <c r="FI107" s="60">
        <f t="shared" si="77"/>
        <v>293.33333333333803</v>
      </c>
      <c r="FJ107" s="60">
        <f ca="1">AVERAGE(OFFSET($FI$3,0,0,'Données projet'!$E$16+1,1))-AVERAGE(OFFSET($H$3,0,0,'Données projet'!$E$16+1,1))</f>
        <v>219.61164494001008</v>
      </c>
      <c r="FK107" s="60">
        <f t="shared" si="102"/>
        <v>219.59799863414111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5.6923076923076907</v>
      </c>
      <c r="FZ107" s="13">
        <f>IF('Données projet'!$A$244&gt;35,FZ106+FY107-GH106,IF(A107&lt;'Données projet'!$A$244,$FW$205^A107,IF(A107='Données projet'!$A$244,'Données projet'!$B$244,FZ106+FY107-GH106)))</f>
        <v>227.69230769230711</v>
      </c>
      <c r="GA107" s="18">
        <f>FZ107*VLOOKUP('Données projet'!$B$17,Paramètres!$A$1:$I$89,3,0)*VLOOKUP('Données projet'!$B$17,Paramètres!$A$1:$I$89,5,0)</f>
        <v>106.55999999999973</v>
      </c>
      <c r="GB107" s="14">
        <f t="shared" si="103"/>
        <v>28.519001132310215</v>
      </c>
      <c r="GC107" s="22">
        <f t="shared" si="79"/>
        <v>235.26259363877315</v>
      </c>
      <c r="GD107" s="60">
        <f t="shared" si="80"/>
        <v>528.59592697210644</v>
      </c>
      <c r="GE107" s="60">
        <f ca="1">AVERAGE(OFFSET($GD$3,0,0,'Données projet'!$E$17+1,1))-AVERAGE(OFFSET($H$3,0,0,'Données projet'!$E$17+1,1))</f>
        <v>147.5699668214238</v>
      </c>
      <c r="GF107" s="60">
        <f t="shared" si="104"/>
        <v>70.653739864908346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>
        <f>GU107*VLOOKUP('Données projet'!$B$18,Paramètres!$A$1:$I$89,3,0)*VLOOKUP('Données projet'!$B$18,Paramètres!$A$1:$I$89,5,0)</f>
        <v>0</v>
      </c>
      <c r="GW107" s="14" t="e">
        <f t="shared" si="105"/>
        <v>#NUM!</v>
      </c>
      <c r="GX107" s="22" t="e">
        <f t="shared" si="82"/>
        <v>#NUM!</v>
      </c>
      <c r="GY107" s="60" t="e">
        <f t="shared" si="83"/>
        <v>#NUM!</v>
      </c>
      <c r="GZ107" s="60">
        <f ca="1">AVERAGE(OFFSET($GY$3,0,0,'Données projet'!$E$18+1,1))-AVERAGE(OFFSET($H$3,0,0,'Données projet'!$E$18+1,1))</f>
        <v>136.03899433512379</v>
      </c>
      <c r="HA107" s="60">
        <f t="shared" si="106"/>
        <v>316.56646692826882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17.246018216946094</v>
      </c>
      <c r="HH107" s="23">
        <f>EXP(-LN(2)/25)*HH106+(1-EXP(-LN(2)/25))/(LN(2)/25)*Calculateur!HC107*Calculateur!HE107*VLOOKUP('Données projet'!$B$18,Paramètres!$A$1:$I$89,3,0)*0.475*44/12</f>
        <v>1.2956463712366495</v>
      </c>
      <c r="HI107" s="23">
        <f>EXP(-LN(2)/2)*HI106+(1-EXP(-LN(2)/2))/(LN(2)/2)*HC107*HF107*VLOOKUP('Données projet'!$B$18,Paramètres!$A$1:$I$89,3,0)*0.475*44/12</f>
        <v>2.1272852612873199E-11</v>
      </c>
      <c r="HJ107" s="24">
        <f t="shared" si="84"/>
        <v>18.541664588204018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332.99999999999977</v>
      </c>
      <c r="O108" s="14">
        <f>N108*VLOOKUP('Données projet'!$B$9,Paramètres!$A$1:$I$89,3,0)*VLOOKUP('Données projet'!$B$9,Paramètres!$A$1:$I$89,5,0)</f>
        <v>301.29839999999979</v>
      </c>
      <c r="P108" s="14">
        <f t="shared" si="87"/>
        <v>71.448589534990461</v>
      </c>
      <c r="Q108" s="22">
        <f t="shared" si="107"/>
        <v>649.20100677344124</v>
      </c>
      <c r="R108" s="60">
        <f t="shared" si="55"/>
        <v>942.53434010677461</v>
      </c>
      <c r="S108" s="60">
        <f ca="1">AVERAGE(OFFSET($R$3,0,0,'Données projet'!$E$9+1,1))-AVERAGE(OFFSET($H$3,0,0,'Données projet'!$E$9+1,1))</f>
        <v>384.44848355636935</v>
      </c>
      <c r="T108" s="60">
        <f t="shared" si="88"/>
        <v>203.5274665601915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256.05839999999972</v>
      </c>
      <c r="AK108" s="14">
        <f t="shared" si="89"/>
        <v>61.881442594256434</v>
      </c>
      <c r="AL108" s="22">
        <f t="shared" si="58"/>
        <v>553.74522585166278</v>
      </c>
      <c r="AM108" s="60">
        <f t="shared" si="59"/>
        <v>847.07855918499604</v>
      </c>
      <c r="AN108" s="60">
        <f ca="1">AVERAGE(OFFSET($AM$3,0,0,'Données projet'!$E$10+1,1))-AVERAGE(OFFSET($H$3,0,0,'Données projet'!$E$10+1,1))</f>
        <v>303.73499739059076</v>
      </c>
      <c r="AO108" s="60">
        <f t="shared" si="90"/>
        <v>172.32171001882188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332.99999999999977</v>
      </c>
      <c r="BE108" s="14">
        <f>BD108*VLOOKUP('Données projet'!$B$11,Paramètres!$A$1:$I$89,3,0)*VLOOKUP('Données projet'!$B$11,Paramètres!$A$1:$I$89,5,0)</f>
        <v>280.51919999999984</v>
      </c>
      <c r="BF108" s="14">
        <f t="shared" si="91"/>
        <v>67.076718933381159</v>
      </c>
      <c r="BG108" s="22">
        <f t="shared" si="61"/>
        <v>605.39622547563852</v>
      </c>
      <c r="BH108" s="60">
        <f t="shared" si="62"/>
        <v>898.72955880897189</v>
      </c>
      <c r="BI108" s="60">
        <f ca="1">AVERAGE(OFFSET($BH$3,0,0,'Données projet'!$E$11+1,1))-AVERAGE(OFFSET($H$3,0,0,'Données projet'!$E$11+1,1))</f>
        <v>352.29660374042186</v>
      </c>
      <c r="BJ108" s="60">
        <f t="shared" si="92"/>
        <v>187.26439695305618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238.39919999999978</v>
      </c>
      <c r="CA108" s="14">
        <f t="shared" si="93"/>
        <v>58.094976529303359</v>
      </c>
      <c r="CB108" s="22">
        <f t="shared" si="64"/>
        <v>516.39402412186962</v>
      </c>
      <c r="CC108" s="60">
        <f t="shared" si="65"/>
        <v>809.72735745520299</v>
      </c>
      <c r="CD108" s="60">
        <f ca="1">AVERAGE(OFFSET($CC$3,0,0,'Données projet'!$E$12+1,1))-AVERAGE(OFFSET($H$3,0,0,'Données projet'!$E$12+1,1))</f>
        <v>277.03735509061545</v>
      </c>
      <c r="CE108" s="60">
        <f t="shared" si="94"/>
        <v>158.16416492761959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286.9619999999997</v>
      </c>
      <c r="CV108" s="14">
        <f t="shared" si="95"/>
        <v>68.436169981717796</v>
      </c>
      <c r="CW108" s="22">
        <f t="shared" si="67"/>
        <v>618.98514605149137</v>
      </c>
      <c r="CX108" s="60">
        <f t="shared" si="68"/>
        <v>912.31847938482474</v>
      </c>
      <c r="CY108" s="60">
        <f ca="1">AVERAGE(OFFSET($CX$3,0,0,'Données projet'!$E$13+1,1))-AVERAGE(OFFSET($H$3,0,0,'Données projet'!$E$13+1,1))</f>
        <v>350.3652766444938</v>
      </c>
      <c r="CZ108" s="60">
        <f t="shared" si="96"/>
        <v>197.04549436738586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3.4106051316484809E-13</v>
      </c>
      <c r="DP108" s="18">
        <f>DO108*VLOOKUP('Données projet'!$B$14,Paramètres!$A$1:$I$89,3,0)*VLOOKUP('Données projet'!$B$14,Paramètres!$A$1:$I$89,5,0)</f>
        <v>2.7134774427395314E-13</v>
      </c>
      <c r="DQ108" s="14">
        <f t="shared" si="97"/>
        <v>3.6292411711343559E-12</v>
      </c>
      <c r="DR108" s="22">
        <f t="shared" si="70"/>
        <v>6.7935256943361388E-12</v>
      </c>
      <c r="DS108" s="60">
        <f t="shared" si="71"/>
        <v>293.33333333334014</v>
      </c>
      <c r="DT108" s="60">
        <f ca="1">AVERAGE(OFFSET($DS$3,0,0,'Données projet'!$E$14+1,1))-AVERAGE(OFFSET($H$3,0,0,'Données projet'!$E$14+1,1))</f>
        <v>382.01991140382955</v>
      </c>
      <c r="DU108" s="60">
        <f t="shared" si="98"/>
        <v>389.53897948144339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323.92137573760789</v>
      </c>
      <c r="EP108" s="60">
        <f t="shared" si="100"/>
        <v>389.53897948144339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2.2737367544323206E-13</v>
      </c>
      <c r="FF108" s="18">
        <f>FE108*VLOOKUP('Données projet'!$B$16,Paramètres!$A$1:$I$89,3,0)*VLOOKUP('Données projet'!$B$16,Paramètres!$A$1:$I$89,5,0)</f>
        <v>1.8089849618263545E-13</v>
      </c>
      <c r="FG108" s="14">
        <f t="shared" si="101"/>
        <v>2.536422473342444E-12</v>
      </c>
      <c r="FH108" s="22">
        <f t="shared" si="76"/>
        <v>4.7326673552561798E-12</v>
      </c>
      <c r="FI108" s="60">
        <f t="shared" si="77"/>
        <v>293.33333333333803</v>
      </c>
      <c r="FJ108" s="60">
        <f ca="1">AVERAGE(OFFSET($FI$3,0,0,'Données projet'!$E$16+1,1))-AVERAGE(OFFSET($H$3,0,0,'Données projet'!$E$16+1,1))</f>
        <v>219.61164494001008</v>
      </c>
      <c r="FK108" s="60">
        <f t="shared" si="102"/>
        <v>219.59799863414111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5.6923076923076907</v>
      </c>
      <c r="FZ108" s="13">
        <f>IF('Données projet'!$A$244&gt;35,FZ107+FY108-GH107,IF(A108&lt;'Données projet'!$A$244,$FW$205^A108,IF(A108='Données projet'!$A$244,'Données projet'!$B$244,FZ107+FY108-GH107)))</f>
        <v>233.38461538461479</v>
      </c>
      <c r="GA108" s="18">
        <f>FZ108*VLOOKUP('Données projet'!$B$17,Paramètres!$A$1:$I$89,3,0)*VLOOKUP('Données projet'!$B$17,Paramètres!$A$1:$I$89,5,0)</f>
        <v>109.22399999999972</v>
      </c>
      <c r="GB108" s="14">
        <f t="shared" si="103"/>
        <v>29.148077656155348</v>
      </c>
      <c r="GC108" s="22">
        <f t="shared" si="79"/>
        <v>240.99803525113671</v>
      </c>
      <c r="GD108" s="60">
        <f t="shared" si="80"/>
        <v>534.33136858447006</v>
      </c>
      <c r="GE108" s="60">
        <f ca="1">AVERAGE(OFFSET($GD$3,0,0,'Données projet'!$E$17+1,1))-AVERAGE(OFFSET($H$3,0,0,'Données projet'!$E$17+1,1))</f>
        <v>147.5699668214238</v>
      </c>
      <c r="GF108" s="60">
        <f t="shared" si="104"/>
        <v>70.653739864908346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>
        <f>GU108*VLOOKUP('Données projet'!$B$18,Paramètres!$A$1:$I$89,3,0)*VLOOKUP('Données projet'!$B$18,Paramètres!$A$1:$I$89,5,0)</f>
        <v>0</v>
      </c>
      <c r="GW108" s="14" t="e">
        <f t="shared" si="105"/>
        <v>#NUM!</v>
      </c>
      <c r="GX108" s="22" t="e">
        <f t="shared" si="82"/>
        <v>#NUM!</v>
      </c>
      <c r="GY108" s="60" t="e">
        <f t="shared" si="83"/>
        <v>#NUM!</v>
      </c>
      <c r="GZ108" s="60">
        <f ca="1">AVERAGE(OFFSET($GY$3,0,0,'Données projet'!$E$18+1,1))-AVERAGE(OFFSET($H$3,0,0,'Données projet'!$E$18+1,1))</f>
        <v>136.03899433512379</v>
      </c>
      <c r="HA108" s="60">
        <f t="shared" si="106"/>
        <v>316.56646692826882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16.907834318744225</v>
      </c>
      <c r="HH108" s="23">
        <f>EXP(-LN(2)/25)*HH107+(1-EXP(-LN(2)/25))/(LN(2)/25)*Calculateur!HC108*Calculateur!HE108*VLOOKUP('Données projet'!$B$18,Paramètres!$A$1:$I$89,3,0)*0.475*44/12</f>
        <v>1.2602168530801019</v>
      </c>
      <c r="HI108" s="23">
        <f>EXP(-LN(2)/2)*HI107+(1-EXP(-LN(2)/2))/(LN(2)/2)*HC108*HF108*VLOOKUP('Données projet'!$B$18,Paramètres!$A$1:$I$89,3,0)*0.475*44/12</f>
        <v>1.5042178337744605E-11</v>
      </c>
      <c r="HJ108" s="24">
        <f t="shared" si="84"/>
        <v>18.16805117183937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</v>
      </c>
      <c r="N109" s="14">
        <f>IF('Données projet'!$A$36&gt;35,N108+M109-V108,IF(A109&lt;'Données projet'!$A$36,$K$205^A109,IF(A109='Données projet'!$A$36,'Données projet'!$B$36,N108+M109-V108)))</f>
        <v>338.39999999999975</v>
      </c>
      <c r="O109" s="14">
        <f>N109*VLOOKUP('Données projet'!$B$9,Paramètres!$A$1:$I$89,3,0)*VLOOKUP('Données projet'!$B$9,Paramètres!$A$1:$I$89,5,0)</f>
        <v>306.18431999999979</v>
      </c>
      <c r="P109" s="14">
        <f t="shared" si="87"/>
        <v>72.471390842310868</v>
      </c>
      <c r="Q109" s="22">
        <f t="shared" si="107"/>
        <v>659.49202971702437</v>
      </c>
      <c r="R109" s="60">
        <f t="shared" si="55"/>
        <v>952.82536305035774</v>
      </c>
      <c r="S109" s="60">
        <f ca="1">AVERAGE(OFFSET($R$3,0,0,'Données projet'!$E$9+1,1))-AVERAGE(OFFSET($H$3,0,0,'Données projet'!$E$9+1,1))</f>
        <v>384.44848355636935</v>
      </c>
      <c r="T109" s="60">
        <f t="shared" si="88"/>
        <v>203.5274665601915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260.0395199999997</v>
      </c>
      <c r="AK109" s="14">
        <f t="shared" si="89"/>
        <v>62.730801948604821</v>
      </c>
      <c r="AL109" s="22">
        <f t="shared" si="58"/>
        <v>562.15831072715287</v>
      </c>
      <c r="AM109" s="60">
        <f t="shared" si="59"/>
        <v>855.49164406048612</v>
      </c>
      <c r="AN109" s="60">
        <f ca="1">AVERAGE(OFFSET($AM$3,0,0,'Données projet'!$E$10+1,1))-AVERAGE(OFFSET($H$3,0,0,'Données projet'!$E$10+1,1))</f>
        <v>303.73499739059076</v>
      </c>
      <c r="AO109" s="60">
        <f t="shared" si="90"/>
        <v>172.32171001882188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5.4</v>
      </c>
      <c r="BD109" s="13">
        <f>IF('Données projet'!$A$88&gt;35,BD108+BC109-BL108,IF(A109&lt;'Données projet'!$A$88,$BA$205^A109,IF(A109='Données projet'!$A$88,'Données projet'!$B$88,BD108+BC109-BL108)))</f>
        <v>338.39999999999975</v>
      </c>
      <c r="BE109" s="14">
        <f>BD109*VLOOKUP('Données projet'!$B$11,Paramètres!$A$1:$I$89,3,0)*VLOOKUP('Données projet'!$B$11,Paramètres!$A$1:$I$89,5,0)</f>
        <v>285.06815999999981</v>
      </c>
      <c r="BF109" s="14">
        <f t="shared" si="91"/>
        <v>68.036936010615804</v>
      </c>
      <c r="BG109" s="22">
        <f t="shared" si="61"/>
        <v>614.99137555182222</v>
      </c>
      <c r="BH109" s="60">
        <f t="shared" si="62"/>
        <v>908.32470888515559</v>
      </c>
      <c r="BI109" s="60">
        <f ca="1">AVERAGE(OFFSET($BH$3,0,0,'Données projet'!$E$11+1,1))-AVERAGE(OFFSET($H$3,0,0,'Données projet'!$E$11+1,1))</f>
        <v>352.29660374042186</v>
      </c>
      <c r="BJ109" s="60">
        <f t="shared" si="92"/>
        <v>187.26439695305618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242.10575999999978</v>
      </c>
      <c r="CA109" s="14">
        <f t="shared" si="93"/>
        <v>58.89236440016068</v>
      </c>
      <c r="CB109" s="22">
        <f t="shared" si="64"/>
        <v>524.2383999969461</v>
      </c>
      <c r="CC109" s="60">
        <f t="shared" si="65"/>
        <v>817.57173333027936</v>
      </c>
      <c r="CD109" s="60">
        <f ca="1">AVERAGE(OFFSET($CC$3,0,0,'Données projet'!$E$12+1,1))-AVERAGE(OFFSET($H$3,0,0,'Données projet'!$E$12+1,1))</f>
        <v>277.03735509061545</v>
      </c>
      <c r="CE109" s="60">
        <f t="shared" si="94"/>
        <v>158.16416492761959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291.42359999999968</v>
      </c>
      <c r="CV109" s="14">
        <f t="shared" si="95"/>
        <v>69.375496841482104</v>
      </c>
      <c r="CW109" s="22">
        <f t="shared" si="67"/>
        <v>628.39176033224737</v>
      </c>
      <c r="CX109" s="60">
        <f t="shared" si="68"/>
        <v>921.72509366558074</v>
      </c>
      <c r="CY109" s="60">
        <f ca="1">AVERAGE(OFFSET($CX$3,0,0,'Données projet'!$E$13+1,1))-AVERAGE(OFFSET($H$3,0,0,'Données projet'!$E$13+1,1))</f>
        <v>350.3652766444938</v>
      </c>
      <c r="CZ109" s="60">
        <f t="shared" si="96"/>
        <v>197.04549436738586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3.4106051316484809E-13</v>
      </c>
      <c r="DP109" s="18">
        <f>DO109*VLOOKUP('Données projet'!$B$14,Paramètres!$A$1:$I$89,3,0)*VLOOKUP('Données projet'!$B$14,Paramètres!$A$1:$I$89,5,0)</f>
        <v>2.7134774427395314E-13</v>
      </c>
      <c r="DQ109" s="14">
        <f t="shared" si="97"/>
        <v>3.6292411711343559E-12</v>
      </c>
      <c r="DR109" s="22">
        <f t="shared" si="70"/>
        <v>6.7935256943361388E-12</v>
      </c>
      <c r="DS109" s="60">
        <f t="shared" si="71"/>
        <v>293.33333333334014</v>
      </c>
      <c r="DT109" s="60">
        <f ca="1">AVERAGE(OFFSET($DS$3,0,0,'Données projet'!$E$14+1,1))-AVERAGE(OFFSET($H$3,0,0,'Données projet'!$E$14+1,1))</f>
        <v>382.01991140382955</v>
      </c>
      <c r="DU109" s="60">
        <f t="shared" si="98"/>
        <v>389.53897948144339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323.92137573760789</v>
      </c>
      <c r="EP109" s="60">
        <f t="shared" si="100"/>
        <v>389.53897948144339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2.2737367544323206E-13</v>
      </c>
      <c r="FF109" s="18">
        <f>FE109*VLOOKUP('Données projet'!$B$16,Paramètres!$A$1:$I$89,3,0)*VLOOKUP('Données projet'!$B$16,Paramètres!$A$1:$I$89,5,0)</f>
        <v>1.8089849618263545E-13</v>
      </c>
      <c r="FG109" s="14">
        <f t="shared" si="101"/>
        <v>2.536422473342444E-12</v>
      </c>
      <c r="FH109" s="22">
        <f t="shared" si="76"/>
        <v>4.7326673552561798E-12</v>
      </c>
      <c r="FI109" s="60">
        <f t="shared" si="77"/>
        <v>293.33333333333803</v>
      </c>
      <c r="FJ109" s="60">
        <f ca="1">AVERAGE(OFFSET($FI$3,0,0,'Données projet'!$E$16+1,1))-AVERAGE(OFFSET($H$3,0,0,'Données projet'!$E$16+1,1))</f>
        <v>219.61164494001008</v>
      </c>
      <c r="FK109" s="60">
        <f t="shared" si="102"/>
        <v>219.59799863414111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5.6923076923076907</v>
      </c>
      <c r="FZ109" s="13">
        <f>IF('Données projet'!$A$244&gt;35,FZ108+FY109-GH108,IF(A109&lt;'Données projet'!$A$244,$FW$205^A109,IF(A109='Données projet'!$A$244,'Données projet'!$B$244,FZ108+FY109-GH108)))</f>
        <v>239.07692307692247</v>
      </c>
      <c r="GA109" s="18">
        <f>FZ109*VLOOKUP('Données projet'!$B$17,Paramètres!$A$1:$I$89,3,0)*VLOOKUP('Données projet'!$B$17,Paramètres!$A$1:$I$89,5,0)</f>
        <v>111.88799999999971</v>
      </c>
      <c r="GB109" s="14">
        <f t="shared" si="103"/>
        <v>29.775370562311089</v>
      </c>
      <c r="GC109" s="22">
        <f t="shared" si="79"/>
        <v>246.73037039602465</v>
      </c>
      <c r="GD109" s="60">
        <f t="shared" si="80"/>
        <v>540.06370372935794</v>
      </c>
      <c r="GE109" s="60">
        <f ca="1">AVERAGE(OFFSET($GD$3,0,0,'Données projet'!$E$17+1,1))-AVERAGE(OFFSET($H$3,0,0,'Données projet'!$E$17+1,1))</f>
        <v>147.5699668214238</v>
      </c>
      <c r="GF109" s="60">
        <f t="shared" si="104"/>
        <v>70.653739864908346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>
        <f>GU109*VLOOKUP('Données projet'!$B$18,Paramètres!$A$1:$I$89,3,0)*VLOOKUP('Données projet'!$B$18,Paramètres!$A$1:$I$89,5,0)</f>
        <v>0</v>
      </c>
      <c r="GW109" s="14" t="e">
        <f t="shared" si="105"/>
        <v>#NUM!</v>
      </c>
      <c r="GX109" s="22" t="e">
        <f t="shared" si="82"/>
        <v>#NUM!</v>
      </c>
      <c r="GY109" s="60" t="e">
        <f t="shared" si="83"/>
        <v>#NUM!</v>
      </c>
      <c r="GZ109" s="60">
        <f ca="1">AVERAGE(OFFSET($GY$3,0,0,'Données projet'!$E$18+1,1))-AVERAGE(OFFSET($H$3,0,0,'Données projet'!$E$18+1,1))</f>
        <v>136.03899433512379</v>
      </c>
      <c r="HA109" s="60">
        <f t="shared" si="106"/>
        <v>316.56646692826882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16.576282000514286</v>
      </c>
      <c r="HH109" s="23">
        <f>EXP(-LN(2)/25)*HH108+(1-EXP(-LN(2)/25))/(LN(2)/25)*Calculateur!HC109*Calculateur!HE109*VLOOKUP('Données projet'!$B$18,Paramètres!$A$1:$I$89,3,0)*0.475*44/12</f>
        <v>1.2257561569607025</v>
      </c>
      <c r="HI109" s="23">
        <f>EXP(-LN(2)/2)*HI108+(1-EXP(-LN(2)/2))/(LN(2)/2)*HC109*HF109*VLOOKUP('Données projet'!$B$18,Paramètres!$A$1:$I$89,3,0)*0.475*44/12</f>
        <v>1.0636426306436599E-11</v>
      </c>
      <c r="HJ109" s="24">
        <f t="shared" si="84"/>
        <v>17.802038157485626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</v>
      </c>
      <c r="N110" s="14">
        <f>IF('Données projet'!$A$36&gt;35,N109+M110-V109,IF(A110&lt;'Données projet'!$A$36,$K$205^A110,IF(A110='Données projet'!$A$36,'Données projet'!$B$36,N109+M110-V109)))</f>
        <v>343.79999999999973</v>
      </c>
      <c r="O110" s="14">
        <f>N110*VLOOKUP('Données projet'!$B$9,Paramètres!$A$1:$I$89,3,0)*VLOOKUP('Données projet'!$B$9,Paramètres!$A$1:$I$89,5,0)</f>
        <v>311.07023999999973</v>
      </c>
      <c r="P110" s="14">
        <f t="shared" si="87"/>
        <v>73.492294028732417</v>
      </c>
      <c r="Q110" s="22">
        <f t="shared" si="107"/>
        <v>669.77974676670851</v>
      </c>
      <c r="R110" s="60">
        <f t="shared" si="55"/>
        <v>963.11308010004177</v>
      </c>
      <c r="S110" s="60">
        <f ca="1">AVERAGE(OFFSET($R$3,0,0,'Données projet'!$E$9+1,1))-AVERAGE(OFFSET($H$3,0,0,'Données projet'!$E$9+1,1))</f>
        <v>384.44848355636935</v>
      </c>
      <c r="T110" s="60">
        <f t="shared" si="88"/>
        <v>203.5274665601915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264.02063999999967</v>
      </c>
      <c r="AK110" s="14">
        <f t="shared" si="89"/>
        <v>63.57864899095906</v>
      </c>
      <c r="AL110" s="22">
        <f t="shared" si="58"/>
        <v>570.56876165925303</v>
      </c>
      <c r="AM110" s="60">
        <f t="shared" si="59"/>
        <v>863.9020949925864</v>
      </c>
      <c r="AN110" s="60">
        <f ca="1">AVERAGE(OFFSET($AM$3,0,0,'Données projet'!$E$10+1,1))-AVERAGE(OFFSET($H$3,0,0,'Données projet'!$E$10+1,1))</f>
        <v>303.73499739059076</v>
      </c>
      <c r="AO110" s="60">
        <f t="shared" si="90"/>
        <v>172.32171001882188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5.4</v>
      </c>
      <c r="BD110" s="13">
        <f>IF('Données projet'!$A$88&gt;35,BD109+BC110-BL109,IF(A110&lt;'Données projet'!$A$88,$BA$205^A110,IF(A110='Données projet'!$A$88,'Données projet'!$B$88,BD109+BC110-BL109)))</f>
        <v>343.79999999999973</v>
      </c>
      <c r="BE110" s="14">
        <f>BD110*VLOOKUP('Données projet'!$B$11,Paramètres!$A$1:$I$89,3,0)*VLOOKUP('Données projet'!$B$11,Paramètres!$A$1:$I$89,5,0)</f>
        <v>289.61711999999983</v>
      </c>
      <c r="BF110" s="14">
        <f t="shared" si="91"/>
        <v>68.995371111147151</v>
      </c>
      <c r="BG110" s="22">
        <f t="shared" si="61"/>
        <v>624.58342201858102</v>
      </c>
      <c r="BH110" s="60">
        <f t="shared" si="62"/>
        <v>917.91675535191439</v>
      </c>
      <c r="BI110" s="60">
        <f ca="1">AVERAGE(OFFSET($BH$3,0,0,'Données projet'!$E$11+1,1))-AVERAGE(OFFSET($H$3,0,0,'Données projet'!$E$11+1,1))</f>
        <v>352.29660374042186</v>
      </c>
      <c r="BJ110" s="60">
        <f t="shared" si="92"/>
        <v>187.26439695305618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245.81231999999974</v>
      </c>
      <c r="CA110" s="14">
        <f t="shared" si="93"/>
        <v>59.68833249594293</v>
      </c>
      <c r="CB110" s="22">
        <f t="shared" si="64"/>
        <v>532.08030309710023</v>
      </c>
      <c r="CC110" s="60">
        <f t="shared" si="65"/>
        <v>825.4136364304336</v>
      </c>
      <c r="CD110" s="60">
        <f ca="1">AVERAGE(OFFSET($CC$3,0,0,'Données projet'!$E$12+1,1))-AVERAGE(OFFSET($H$3,0,0,'Données projet'!$E$12+1,1))</f>
        <v>277.03735509061545</v>
      </c>
      <c r="CE110" s="60">
        <f t="shared" si="94"/>
        <v>158.16416492761959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295.88519999999966</v>
      </c>
      <c r="CV110" s="14">
        <f t="shared" si="95"/>
        <v>70.313151199178748</v>
      </c>
      <c r="CW110" s="22">
        <f t="shared" si="67"/>
        <v>637.79546167190244</v>
      </c>
      <c r="CX110" s="60">
        <f t="shared" si="68"/>
        <v>931.12879500523582</v>
      </c>
      <c r="CY110" s="60">
        <f ca="1">AVERAGE(OFFSET($CX$3,0,0,'Données projet'!$E$13+1,1))-AVERAGE(OFFSET($H$3,0,0,'Données projet'!$E$13+1,1))</f>
        <v>350.3652766444938</v>
      </c>
      <c r="CZ110" s="60">
        <f t="shared" si="96"/>
        <v>197.04549436738586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3.4106051316484809E-13</v>
      </c>
      <c r="DP110" s="18">
        <f>DO110*VLOOKUP('Données projet'!$B$14,Paramètres!$A$1:$I$89,3,0)*VLOOKUP('Données projet'!$B$14,Paramètres!$A$1:$I$89,5,0)</f>
        <v>2.7134774427395314E-13</v>
      </c>
      <c r="DQ110" s="14">
        <f t="shared" si="97"/>
        <v>3.6292411711343559E-12</v>
      </c>
      <c r="DR110" s="22">
        <f t="shared" si="70"/>
        <v>6.7935256943361388E-12</v>
      </c>
      <c r="DS110" s="60">
        <f t="shared" si="71"/>
        <v>293.33333333334014</v>
      </c>
      <c r="DT110" s="60">
        <f ca="1">AVERAGE(OFFSET($DS$3,0,0,'Données projet'!$E$14+1,1))-AVERAGE(OFFSET($H$3,0,0,'Données projet'!$E$14+1,1))</f>
        <v>382.01991140382955</v>
      </c>
      <c r="DU110" s="60">
        <f t="shared" si="98"/>
        <v>389.53897948144339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323.92137573760789</v>
      </c>
      <c r="EP110" s="60">
        <f t="shared" si="100"/>
        <v>389.53897948144339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2.2737367544323206E-13</v>
      </c>
      <c r="FF110" s="18">
        <f>FE110*VLOOKUP('Données projet'!$B$16,Paramètres!$A$1:$I$89,3,0)*VLOOKUP('Données projet'!$B$16,Paramètres!$A$1:$I$89,5,0)</f>
        <v>1.8089849618263545E-13</v>
      </c>
      <c r="FG110" s="14">
        <f t="shared" si="101"/>
        <v>2.536422473342444E-12</v>
      </c>
      <c r="FH110" s="22">
        <f t="shared" si="76"/>
        <v>4.7326673552561798E-12</v>
      </c>
      <c r="FI110" s="60">
        <f t="shared" si="77"/>
        <v>293.33333333333803</v>
      </c>
      <c r="FJ110" s="60">
        <f ca="1">AVERAGE(OFFSET($FI$3,0,0,'Données projet'!$E$16+1,1))-AVERAGE(OFFSET($H$3,0,0,'Données projet'!$E$16+1,1))</f>
        <v>219.61164494001008</v>
      </c>
      <c r="FK110" s="60">
        <f t="shared" si="102"/>
        <v>219.59799863414111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5.6923076923076907</v>
      </c>
      <c r="FZ110" s="13">
        <f>IF('Données projet'!$A$244&gt;35,FZ109+FY110-GH109,IF(A110&lt;'Données projet'!$A$244,$FW$205^A110,IF(A110='Données projet'!$A$244,'Données projet'!$B$244,FZ109+FY110-GH109)))</f>
        <v>244.76923076923015</v>
      </c>
      <c r="GA110" s="18">
        <f>FZ110*VLOOKUP('Données projet'!$B$17,Paramètres!$A$1:$I$89,3,0)*VLOOKUP('Données projet'!$B$17,Paramètres!$A$1:$I$89,5,0)</f>
        <v>114.55199999999971</v>
      </c>
      <c r="GB110" s="14">
        <f t="shared" si="103"/>
        <v>30.400927204443892</v>
      </c>
      <c r="GC110" s="22">
        <f t="shared" si="79"/>
        <v>252.45968154773928</v>
      </c>
      <c r="GD110" s="60">
        <f t="shared" si="80"/>
        <v>545.79301488107262</v>
      </c>
      <c r="GE110" s="60">
        <f ca="1">AVERAGE(OFFSET($GD$3,0,0,'Données projet'!$E$17+1,1))-AVERAGE(OFFSET($H$3,0,0,'Données projet'!$E$17+1,1))</f>
        <v>147.5699668214238</v>
      </c>
      <c r="GF110" s="60">
        <f t="shared" si="104"/>
        <v>70.653739864908346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>
        <f>GU110*VLOOKUP('Données projet'!$B$18,Paramètres!$A$1:$I$89,3,0)*VLOOKUP('Données projet'!$B$18,Paramètres!$A$1:$I$89,5,0)</f>
        <v>0</v>
      </c>
      <c r="GW110" s="14" t="e">
        <f t="shared" si="105"/>
        <v>#NUM!</v>
      </c>
      <c r="GX110" s="22" t="e">
        <f t="shared" si="82"/>
        <v>#NUM!</v>
      </c>
      <c r="GY110" s="60" t="e">
        <f t="shared" si="83"/>
        <v>#NUM!</v>
      </c>
      <c r="GZ110" s="60">
        <f ca="1">AVERAGE(OFFSET($GY$3,0,0,'Données projet'!$E$18+1,1))-AVERAGE(OFFSET($H$3,0,0,'Données projet'!$E$18+1,1))</f>
        <v>136.03899433512379</v>
      </c>
      <c r="HA110" s="60">
        <f t="shared" si="106"/>
        <v>316.56646692826882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16.251231221017889</v>
      </c>
      <c r="HH110" s="23">
        <f>EXP(-LN(2)/25)*HH109+(1-EXP(-LN(2)/25))/(LN(2)/25)*Calculateur!HC110*Calculateur!HE110*VLOOKUP('Données projet'!$B$18,Paramètres!$A$1:$I$89,3,0)*0.475*44/12</f>
        <v>1.1922377903888972</v>
      </c>
      <c r="HI110" s="23">
        <f>EXP(-LN(2)/2)*HI109+(1-EXP(-LN(2)/2))/(LN(2)/2)*HC110*HF110*VLOOKUP('Données projet'!$B$18,Paramètres!$A$1:$I$89,3,0)*0.475*44/12</f>
        <v>7.5210891688723023E-12</v>
      </c>
      <c r="HJ110" s="24">
        <f t="shared" si="84"/>
        <v>17.443469011414308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</v>
      </c>
      <c r="N111" s="14">
        <f>IF('Données projet'!$A$36&gt;35,N110+M111-V110,IF(A111&lt;'Données projet'!$A$36,$K$205^A111,IF(A111='Données projet'!$A$36,'Données projet'!$B$36,N110+M111-V110)))</f>
        <v>349.1999999999997</v>
      </c>
      <c r="O111" s="14">
        <f>N111*VLOOKUP('Données projet'!$B$9,Paramètres!$A$1:$I$89,3,0)*VLOOKUP('Données projet'!$B$9,Paramètres!$A$1:$I$89,5,0)</f>
        <v>315.95615999999973</v>
      </c>
      <c r="P111" s="14">
        <f t="shared" si="87"/>
        <v>74.511332350300975</v>
      </c>
      <c r="Q111" s="22">
        <f t="shared" si="107"/>
        <v>680.06421584344037</v>
      </c>
      <c r="R111" s="60">
        <f t="shared" si="55"/>
        <v>973.39754917677374</v>
      </c>
      <c r="S111" s="60">
        <f ca="1">AVERAGE(OFFSET($R$3,0,0,'Données projet'!$E$9+1,1))-AVERAGE(OFFSET($H$3,0,0,'Données projet'!$E$9+1,1))</f>
        <v>384.44848355636935</v>
      </c>
      <c r="T111" s="60">
        <f t="shared" si="88"/>
        <v>203.5274665601915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268.00175999999971</v>
      </c>
      <c r="AK111" s="14">
        <f t="shared" si="89"/>
        <v>64.425009159185521</v>
      </c>
      <c r="AL111" s="22">
        <f t="shared" si="58"/>
        <v>578.97662295224757</v>
      </c>
      <c r="AM111" s="60">
        <f t="shared" si="59"/>
        <v>872.30995628558094</v>
      </c>
      <c r="AN111" s="60">
        <f ca="1">AVERAGE(OFFSET($AM$3,0,0,'Données projet'!$E$10+1,1))-AVERAGE(OFFSET($H$3,0,0,'Données projet'!$E$10+1,1))</f>
        <v>303.73499739059076</v>
      </c>
      <c r="AO111" s="60">
        <f t="shared" si="90"/>
        <v>172.32171001882188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5.4</v>
      </c>
      <c r="BD111" s="13">
        <f>IF('Données projet'!$A$88&gt;35,BD110+BC111-BL110,IF(A111&lt;'Données projet'!$A$88,$BA$205^A111,IF(A111='Données projet'!$A$88,'Données projet'!$B$88,BD110+BC111-BL110)))</f>
        <v>349.1999999999997</v>
      </c>
      <c r="BE111" s="14">
        <f>BD111*VLOOKUP('Données projet'!$B$11,Paramètres!$A$1:$I$89,3,0)*VLOOKUP('Données projet'!$B$11,Paramètres!$A$1:$I$89,5,0)</f>
        <v>294.16607999999974</v>
      </c>
      <c r="BF111" s="14">
        <f t="shared" si="91"/>
        <v>69.952055456115502</v>
      </c>
      <c r="BG111" s="22">
        <f t="shared" si="61"/>
        <v>634.1724192527339</v>
      </c>
      <c r="BH111" s="60">
        <f t="shared" si="62"/>
        <v>927.50575258606727</v>
      </c>
      <c r="BI111" s="60">
        <f ca="1">AVERAGE(OFFSET($BH$3,0,0,'Données projet'!$E$11+1,1))-AVERAGE(OFFSET($H$3,0,0,'Données projet'!$E$11+1,1))</f>
        <v>352.29660374042186</v>
      </c>
      <c r="BJ111" s="60">
        <f t="shared" si="92"/>
        <v>187.26439695305618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249.51887999999971</v>
      </c>
      <c r="CA111" s="14">
        <f t="shared" si="93"/>
        <v>60.482904697997853</v>
      </c>
      <c r="CB111" s="22">
        <f t="shared" si="64"/>
        <v>539.91977501567897</v>
      </c>
      <c r="CC111" s="60">
        <f t="shared" si="65"/>
        <v>833.25310834901234</v>
      </c>
      <c r="CD111" s="60">
        <f ca="1">AVERAGE(OFFSET($CC$3,0,0,'Données projet'!$E$12+1,1))-AVERAGE(OFFSET($H$3,0,0,'Données projet'!$E$12+1,1))</f>
        <v>277.03735509061545</v>
      </c>
      <c r="CE111" s="60">
        <f t="shared" si="94"/>
        <v>158.16416492761959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300.34679999999963</v>
      </c>
      <c r="CV111" s="14">
        <f t="shared" si="95"/>
        <v>71.249161187153291</v>
      </c>
      <c r="CW111" s="22">
        <f t="shared" si="67"/>
        <v>647.19629906762464</v>
      </c>
      <c r="CX111" s="60">
        <f t="shared" si="68"/>
        <v>940.52963240095801</v>
      </c>
      <c r="CY111" s="60">
        <f ca="1">AVERAGE(OFFSET($CX$3,0,0,'Données projet'!$E$13+1,1))-AVERAGE(OFFSET($H$3,0,0,'Données projet'!$E$13+1,1))</f>
        <v>350.3652766444938</v>
      </c>
      <c r="CZ111" s="60">
        <f t="shared" si="96"/>
        <v>197.04549436738586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3.4106051316484809E-13</v>
      </c>
      <c r="DP111" s="18">
        <f>DO111*VLOOKUP('Données projet'!$B$14,Paramètres!$A$1:$I$89,3,0)*VLOOKUP('Données projet'!$B$14,Paramètres!$A$1:$I$89,5,0)</f>
        <v>2.7134774427395314E-13</v>
      </c>
      <c r="DQ111" s="14">
        <f t="shared" si="97"/>
        <v>3.6292411711343559E-12</v>
      </c>
      <c r="DR111" s="22">
        <f t="shared" si="70"/>
        <v>6.7935256943361388E-12</v>
      </c>
      <c r="DS111" s="60">
        <f t="shared" si="71"/>
        <v>293.33333333334014</v>
      </c>
      <c r="DT111" s="60">
        <f ca="1">AVERAGE(OFFSET($DS$3,0,0,'Données projet'!$E$14+1,1))-AVERAGE(OFFSET($H$3,0,0,'Données projet'!$E$14+1,1))</f>
        <v>382.01991140382955</v>
      </c>
      <c r="DU111" s="60">
        <f t="shared" si="98"/>
        <v>389.53897948144339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323.92137573760789</v>
      </c>
      <c r="EP111" s="60">
        <f t="shared" si="100"/>
        <v>389.53897948144339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2.2737367544323206E-13</v>
      </c>
      <c r="FF111" s="18">
        <f>FE111*VLOOKUP('Données projet'!$B$16,Paramètres!$A$1:$I$89,3,0)*VLOOKUP('Données projet'!$B$16,Paramètres!$A$1:$I$89,5,0)</f>
        <v>1.8089849618263545E-13</v>
      </c>
      <c r="FG111" s="14">
        <f t="shared" si="101"/>
        <v>2.536422473342444E-12</v>
      </c>
      <c r="FH111" s="22">
        <f t="shared" si="76"/>
        <v>4.7326673552561798E-12</v>
      </c>
      <c r="FI111" s="60">
        <f t="shared" si="77"/>
        <v>293.33333333333803</v>
      </c>
      <c r="FJ111" s="60">
        <f ca="1">AVERAGE(OFFSET($FI$3,0,0,'Données projet'!$E$16+1,1))-AVERAGE(OFFSET($H$3,0,0,'Données projet'!$E$16+1,1))</f>
        <v>219.61164494001008</v>
      </c>
      <c r="FK111" s="60">
        <f t="shared" si="102"/>
        <v>219.59799863414111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5.6923076923076907</v>
      </c>
      <c r="FZ111" s="13">
        <f>IF('Données projet'!$A$244&gt;35,FZ110+FY111-GH110,IF(A111&lt;'Données projet'!$A$244,$FW$205^A111,IF(A111='Données projet'!$A$244,'Données projet'!$B$244,FZ110+FY111-GH110)))</f>
        <v>250.46153846153783</v>
      </c>
      <c r="GA111" s="18">
        <f>FZ111*VLOOKUP('Données projet'!$B$17,Paramètres!$A$1:$I$89,3,0)*VLOOKUP('Données projet'!$B$17,Paramètres!$A$1:$I$89,5,0)</f>
        <v>117.21599999999971</v>
      </c>
      <c r="GB111" s="14">
        <f t="shared" si="103"/>
        <v>31.024792608059023</v>
      </c>
      <c r="GC111" s="22">
        <f t="shared" si="79"/>
        <v>258.18604712570226</v>
      </c>
      <c r="GD111" s="60">
        <f t="shared" si="80"/>
        <v>551.51938045903557</v>
      </c>
      <c r="GE111" s="60">
        <f ca="1">AVERAGE(OFFSET($GD$3,0,0,'Données projet'!$E$17+1,1))-AVERAGE(OFFSET($H$3,0,0,'Données projet'!$E$17+1,1))</f>
        <v>147.5699668214238</v>
      </c>
      <c r="GF111" s="60">
        <f t="shared" si="104"/>
        <v>70.653739864908346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>
        <f>GU111*VLOOKUP('Données projet'!$B$18,Paramètres!$A$1:$I$89,3,0)*VLOOKUP('Données projet'!$B$18,Paramètres!$A$1:$I$89,5,0)</f>
        <v>0</v>
      </c>
      <c r="GW111" s="14" t="e">
        <f t="shared" si="105"/>
        <v>#NUM!</v>
      </c>
      <c r="GX111" s="22" t="e">
        <f t="shared" si="82"/>
        <v>#NUM!</v>
      </c>
      <c r="GY111" s="60" t="e">
        <f t="shared" si="83"/>
        <v>#NUM!</v>
      </c>
      <c r="GZ111" s="60">
        <f ca="1">AVERAGE(OFFSET($GY$3,0,0,'Données projet'!$E$18+1,1))-AVERAGE(OFFSET($H$3,0,0,'Données projet'!$E$18+1,1))</f>
        <v>136.03899433512379</v>
      </c>
      <c r="HA111" s="60">
        <f t="shared" si="106"/>
        <v>316.56646692826882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15.932554489046018</v>
      </c>
      <c r="HH111" s="23">
        <f>EXP(-LN(2)/25)*HH110+(1-EXP(-LN(2)/25))/(LN(2)/25)*Calculateur!HC111*Calculateur!HE111*VLOOKUP('Données projet'!$B$18,Paramètres!$A$1:$I$89,3,0)*0.475*44/12</f>
        <v>1.1596359853136524</v>
      </c>
      <c r="HI111" s="23">
        <f>EXP(-LN(2)/2)*HI110+(1-EXP(-LN(2)/2))/(LN(2)/2)*HC111*HF111*VLOOKUP('Données projet'!$B$18,Paramètres!$A$1:$I$89,3,0)*0.475*44/12</f>
        <v>5.3182131532182997E-12</v>
      </c>
      <c r="HJ111" s="24">
        <f t="shared" si="84"/>
        <v>17.092190474364987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5.4</v>
      </c>
      <c r="N112" s="14">
        <f>IF('Données projet'!$A$36&gt;35,N111+M112-V111,IF(A112&lt;'Données projet'!$A$36,$K$205^A112,IF(A112='Données projet'!$A$36,'Données projet'!$B$36,N111+M112-V111)))</f>
        <v>354.59999999999968</v>
      </c>
      <c r="O112" s="14">
        <f>N112*VLOOKUP('Données projet'!$B$9,Paramètres!$A$1:$I$89,3,0)*VLOOKUP('Données projet'!$B$9,Paramètres!$A$1:$I$89,5,0)</f>
        <v>320.84207999999973</v>
      </c>
      <c r="P112" s="14">
        <f t="shared" si="87"/>
        <v>75.528537975513771</v>
      </c>
      <c r="Q112" s="22">
        <f t="shared" si="107"/>
        <v>690.34549297401929</v>
      </c>
      <c r="R112" s="60">
        <f t="shared" si="55"/>
        <v>983.67882630735267</v>
      </c>
      <c r="S112" s="60">
        <f ca="1">AVERAGE(OFFSET($R$3,0,0,'Données projet'!$E$9+1,1))-AVERAGE(OFFSET($H$3,0,0,'Données projet'!$E$9+1,1))</f>
        <v>384.44848355636935</v>
      </c>
      <c r="T112" s="60">
        <f t="shared" si="88"/>
        <v>203.5274665601915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271.98287999999962</v>
      </c>
      <c r="AK112" s="14">
        <f t="shared" si="89"/>
        <v>65.269907092018684</v>
      </c>
      <c r="AL112" s="22">
        <f t="shared" si="58"/>
        <v>587.38193751859842</v>
      </c>
      <c r="AM112" s="60">
        <f t="shared" si="59"/>
        <v>880.71527085193179</v>
      </c>
      <c r="AN112" s="60">
        <f ca="1">AVERAGE(OFFSET($AM$3,0,0,'Données projet'!$E$10+1,1))-AVERAGE(OFFSET($H$3,0,0,'Données projet'!$E$10+1,1))</f>
        <v>303.73499739059076</v>
      </c>
      <c r="AO112" s="60">
        <f t="shared" si="90"/>
        <v>172.32171001882188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5.4</v>
      </c>
      <c r="BD112" s="13">
        <f>IF('Données projet'!$A$88&gt;35,BD111+BC112-BL111,IF(A112&lt;'Données projet'!$A$88,$BA$205^A112,IF(A112='Données projet'!$A$88,'Données projet'!$B$88,BD111+BC112-BL111)))</f>
        <v>354.59999999999968</v>
      </c>
      <c r="BE112" s="14">
        <f>BD112*VLOOKUP('Données projet'!$B$11,Paramètres!$A$1:$I$89,3,0)*VLOOKUP('Données projet'!$B$11,Paramètres!$A$1:$I$89,5,0)</f>
        <v>298.71503999999976</v>
      </c>
      <c r="BF112" s="14">
        <f t="shared" si="91"/>
        <v>70.907019245658716</v>
      </c>
      <c r="BG112" s="22">
        <f t="shared" si="61"/>
        <v>643.75841985285513</v>
      </c>
      <c r="BH112" s="60">
        <f t="shared" si="62"/>
        <v>937.0917531861885</v>
      </c>
      <c r="BI112" s="60">
        <f ca="1">AVERAGE(OFFSET($BH$3,0,0,'Données projet'!$E$11+1,1))-AVERAGE(OFFSET($H$3,0,0,'Données projet'!$E$11+1,1))</f>
        <v>352.29660374042186</v>
      </c>
      <c r="BJ112" s="60">
        <f t="shared" si="92"/>
        <v>187.26439695305618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253.22543999999971</v>
      </c>
      <c r="CA112" s="14">
        <f t="shared" si="93"/>
        <v>61.276104137439418</v>
      </c>
      <c r="CB112" s="22">
        <f t="shared" si="64"/>
        <v>547.75685603937313</v>
      </c>
      <c r="CC112" s="60">
        <f t="shared" si="65"/>
        <v>841.09018937270639</v>
      </c>
      <c r="CD112" s="60">
        <f ca="1">AVERAGE(OFFSET($CC$3,0,0,'Données projet'!$E$12+1,1))-AVERAGE(OFFSET($H$3,0,0,'Données projet'!$E$12+1,1))</f>
        <v>277.03735509061545</v>
      </c>
      <c r="CE112" s="60">
        <f t="shared" si="94"/>
        <v>158.16416492761959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304.80839999999961</v>
      </c>
      <c r="CV112" s="14">
        <f t="shared" si="95"/>
        <v>72.183554053972728</v>
      </c>
      <c r="CW112" s="22">
        <f t="shared" si="67"/>
        <v>656.59431997733509</v>
      </c>
      <c r="CX112" s="60">
        <f t="shared" si="68"/>
        <v>949.92765331066835</v>
      </c>
      <c r="CY112" s="60">
        <f ca="1">AVERAGE(OFFSET($CX$3,0,0,'Données projet'!$E$13+1,1))-AVERAGE(OFFSET($H$3,0,0,'Données projet'!$E$13+1,1))</f>
        <v>350.3652766444938</v>
      </c>
      <c r="CZ112" s="60">
        <f t="shared" si="96"/>
        <v>197.04549436738586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3.4106051316484809E-13</v>
      </c>
      <c r="DP112" s="18">
        <f>DO112*VLOOKUP('Données projet'!$B$14,Paramètres!$A$1:$I$89,3,0)*VLOOKUP('Données projet'!$B$14,Paramètres!$A$1:$I$89,5,0)</f>
        <v>2.7134774427395314E-13</v>
      </c>
      <c r="DQ112" s="14">
        <f t="shared" si="97"/>
        <v>3.6292411711343559E-12</v>
      </c>
      <c r="DR112" s="22">
        <f t="shared" si="70"/>
        <v>6.7935256943361388E-12</v>
      </c>
      <c r="DS112" s="60">
        <f t="shared" si="71"/>
        <v>293.33333333334014</v>
      </c>
      <c r="DT112" s="60">
        <f ca="1">AVERAGE(OFFSET($DS$3,0,0,'Données projet'!$E$14+1,1))-AVERAGE(OFFSET($H$3,0,0,'Données projet'!$E$14+1,1))</f>
        <v>382.01991140382955</v>
      </c>
      <c r="DU112" s="60">
        <f t="shared" si="98"/>
        <v>389.53897948144339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323.92137573760789</v>
      </c>
      <c r="EP112" s="60">
        <f t="shared" si="100"/>
        <v>389.53897948144339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2.2737367544323206E-13</v>
      </c>
      <c r="FF112" s="18">
        <f>FE112*VLOOKUP('Données projet'!$B$16,Paramètres!$A$1:$I$89,3,0)*VLOOKUP('Données projet'!$B$16,Paramètres!$A$1:$I$89,5,0)</f>
        <v>1.8089849618263545E-13</v>
      </c>
      <c r="FG112" s="14">
        <f t="shared" si="101"/>
        <v>2.536422473342444E-12</v>
      </c>
      <c r="FH112" s="22">
        <f t="shared" si="76"/>
        <v>4.7326673552561798E-12</v>
      </c>
      <c r="FI112" s="60">
        <f t="shared" si="77"/>
        <v>293.33333333333803</v>
      </c>
      <c r="FJ112" s="60">
        <f ca="1">AVERAGE(OFFSET($FI$3,0,0,'Données projet'!$E$16+1,1))-AVERAGE(OFFSET($H$3,0,0,'Données projet'!$E$16+1,1))</f>
        <v>219.61164494001008</v>
      </c>
      <c r="FK112" s="60">
        <f t="shared" si="102"/>
        <v>219.59799863414111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>
        <f>VLOOKUP(A112,'Données projet'!$A$243:$I$263,2,0)</f>
        <v>256.15384615384613</v>
      </c>
      <c r="FX112" s="13">
        <f>VLOOKUP(A112,'Données projet'!$A$243:$I$263,9,0)</f>
        <v>5.6923076923076907</v>
      </c>
      <c r="FY112" s="13">
        <f t="array" ref="FY112">INDEX(FX:FX,MIN(IF(ISNUMBER(FX112:FX308),ROW(FX112:FX308),"")))</f>
        <v>5.6923076923076907</v>
      </c>
      <c r="FZ112" s="13">
        <f>IF('Données projet'!$A$244&gt;35,FZ111+FY112-GH111,IF(A112&lt;'Données projet'!$A$244,$FW$205^A112,IF(A112='Données projet'!$A$244,'Données projet'!$B$244,FZ111+FY112-GH111)))</f>
        <v>256.15384615384551</v>
      </c>
      <c r="GA112" s="18">
        <f>FZ112*VLOOKUP('Données projet'!$B$17,Paramètres!$A$1:$I$89,3,0)*VLOOKUP('Données projet'!$B$17,Paramètres!$A$1:$I$89,5,0)</f>
        <v>119.8799999999997</v>
      </c>
      <c r="GB112" s="14">
        <f t="shared" si="103"/>
        <v>31.647009635236898</v>
      </c>
      <c r="GC112" s="22">
        <f t="shared" si="79"/>
        <v>263.90954178137036</v>
      </c>
      <c r="GD112" s="60">
        <f t="shared" si="80"/>
        <v>557.24287511470368</v>
      </c>
      <c r="GE112" s="60">
        <f ca="1">AVERAGE(OFFSET($GD$3,0,0,'Données projet'!$E$17+1,1))-AVERAGE(OFFSET($H$3,0,0,'Données projet'!$E$17+1,1))</f>
        <v>147.5699668214238</v>
      </c>
      <c r="GF112" s="60">
        <f t="shared" si="104"/>
        <v>70.653739864908346</v>
      </c>
      <c r="GG112" s="16">
        <f>IF(ISNA(VLOOKUP(A112,'Données projet'!$A$243:$I$263,3,0)),0,VLOOKUP(A112,'Données projet'!$A$243:$I$263,3,0))</f>
        <v>6</v>
      </c>
      <c r="GH112" s="16">
        <f>IF(ISNA(VLOOKUP(A112,'Données projet'!$A$243:$I$263,4,0)),0,VLOOKUP(A112,'Données projet'!$A$243:$I$263,4,0))</f>
        <v>256.15384615384613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>
        <f>GU112*VLOOKUP('Données projet'!$B$18,Paramètres!$A$1:$I$89,3,0)*VLOOKUP('Données projet'!$B$18,Paramètres!$A$1:$I$89,5,0)</f>
        <v>0</v>
      </c>
      <c r="GW112" s="14" t="e">
        <f t="shared" si="105"/>
        <v>#NUM!</v>
      </c>
      <c r="GX112" s="22" t="e">
        <f t="shared" si="82"/>
        <v>#NUM!</v>
      </c>
      <c r="GY112" s="60" t="e">
        <f t="shared" si="83"/>
        <v>#NUM!</v>
      </c>
      <c r="GZ112" s="60">
        <f ca="1">AVERAGE(OFFSET($GY$3,0,0,'Données projet'!$E$18+1,1))-AVERAGE(OFFSET($H$3,0,0,'Données projet'!$E$18+1,1))</f>
        <v>136.03899433512379</v>
      </c>
      <c r="HA112" s="60">
        <f t="shared" si="106"/>
        <v>316.56646692826882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15.620126813414501</v>
      </c>
      <c r="HH112" s="23">
        <f>EXP(-LN(2)/25)*HH111+(1-EXP(-LN(2)/25))/(LN(2)/25)*Calculateur!HC112*Calculateur!HE112*VLOOKUP('Données projet'!$B$18,Paramètres!$A$1:$I$89,3,0)*0.475*44/12</f>
        <v>1.1279256783126446</v>
      </c>
      <c r="HI112" s="23">
        <f>EXP(-LN(2)/2)*HI111+(1-EXP(-LN(2)/2))/(LN(2)/2)*HC112*HF112*VLOOKUP('Données projet'!$B$18,Paramètres!$A$1:$I$89,3,0)*0.475*44/12</f>
        <v>3.7605445844361512E-12</v>
      </c>
      <c r="HJ112" s="24">
        <f t="shared" si="84"/>
        <v>16.748052491730903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360</v>
      </c>
      <c r="L113" s="13">
        <f>VLOOKUP(A113,'Données projet'!$A$35:$I$55,9,0)</f>
        <v>5.4</v>
      </c>
      <c r="M113" s="13">
        <f t="array" ref="M113">INDEX(L:L,MIN(IF(ISNUMBER(L113:L309),ROW(L113:L309),"")))</f>
        <v>5.4</v>
      </c>
      <c r="N113" s="14">
        <f>IF('Données projet'!$A$36&gt;35,N112+M113-V112,IF(A113&lt;'Données projet'!$A$36,$K$205^A113,IF(A113='Données projet'!$A$36,'Données projet'!$B$36,N112+M113-V112)))</f>
        <v>359.99999999999966</v>
      </c>
      <c r="O113" s="14">
        <f>N113*VLOOKUP('Données projet'!$B$9,Paramètres!$A$1:$I$89,3,0)*VLOOKUP('Données projet'!$B$9,Paramètres!$A$1:$I$89,5,0)</f>
        <v>325.72799999999967</v>
      </c>
      <c r="P113" s="14">
        <f t="shared" si="87"/>
        <v>76.543942036893981</v>
      </c>
      <c r="Q113" s="22">
        <f t="shared" si="107"/>
        <v>700.62363238092303</v>
      </c>
      <c r="R113" s="60">
        <f t="shared" si="55"/>
        <v>993.95696571425628</v>
      </c>
      <c r="S113" s="60">
        <f ca="1">AVERAGE(OFFSET($R$3,0,0,'Données projet'!$E$9+1,1))-AVERAGE(OFFSET($H$3,0,0,'Données projet'!$E$9+1,1))</f>
        <v>384.44848355636935</v>
      </c>
      <c r="T113" s="60">
        <f t="shared" si="88"/>
        <v>203.5274665601915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53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275.9639999999996</v>
      </c>
      <c r="AK113" s="14">
        <f t="shared" si="89"/>
        <v>66.113366665488797</v>
      </c>
      <c r="AL113" s="22">
        <f t="shared" si="58"/>
        <v>595.7847469423923</v>
      </c>
      <c r="AM113" s="60">
        <f t="shared" si="59"/>
        <v>889.11808027572556</v>
      </c>
      <c r="AN113" s="60">
        <f ca="1">AVERAGE(OFFSET($AM$3,0,0,'Données projet'!$E$10+1,1))-AVERAGE(OFFSET($H$3,0,0,'Données projet'!$E$10+1,1))</f>
        <v>303.73499739059076</v>
      </c>
      <c r="AO113" s="60">
        <f t="shared" si="90"/>
        <v>172.32171001882188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360</v>
      </c>
      <c r="BB113" s="13">
        <f>VLOOKUP(A113,'Données projet'!$A$87:$I$107,9,0)</f>
        <v>5.4</v>
      </c>
      <c r="BC113" s="13">
        <f t="array" ref="BC113">INDEX(BB:BB,MIN(IF(ISNUMBER(BB113:BB309),ROW(BB113:BB309),"")))</f>
        <v>5.4</v>
      </c>
      <c r="BD113" s="13">
        <f>IF('Données projet'!$A$88&gt;35,BD112+BC113-BL112,IF(A113&lt;'Données projet'!$A$88,$BA$205^A113,IF(A113='Données projet'!$A$88,'Données projet'!$B$88,BD112+BC113-BL112)))</f>
        <v>359.99999999999966</v>
      </c>
      <c r="BE113" s="14">
        <f>BD113*VLOOKUP('Données projet'!$B$11,Paramètres!$A$1:$I$89,3,0)*VLOOKUP('Données projet'!$B$11,Paramètres!$A$1:$I$89,5,0)</f>
        <v>303.26399999999973</v>
      </c>
      <c r="BF113" s="14">
        <f t="shared" si="91"/>
        <v>71.860291707330802</v>
      </c>
      <c r="BG113" s="22">
        <f t="shared" si="61"/>
        <v>653.34147472360064</v>
      </c>
      <c r="BH113" s="60">
        <f t="shared" si="62"/>
        <v>946.6748080569339</v>
      </c>
      <c r="BI113" s="60">
        <f ca="1">AVERAGE(OFFSET($BH$3,0,0,'Données projet'!$E$11+1,1))-AVERAGE(OFFSET($H$3,0,0,'Données projet'!$E$11+1,1))</f>
        <v>352.29660374042186</v>
      </c>
      <c r="BJ113" s="60">
        <f t="shared" si="92"/>
        <v>187.26439695305618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53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256.93199999999968</v>
      </c>
      <c r="CA113" s="14">
        <f t="shared" si="93"/>
        <v>62.0679532293465</v>
      </c>
      <c r="CB113" s="22">
        <f t="shared" si="64"/>
        <v>555.59158520777794</v>
      </c>
      <c r="CC113" s="60">
        <f t="shared" si="65"/>
        <v>848.92491854111131</v>
      </c>
      <c r="CD113" s="60">
        <f ca="1">AVERAGE(OFFSET($CC$3,0,0,'Données projet'!$E$12+1,1))-AVERAGE(OFFSET($H$3,0,0,'Données projet'!$E$12+1,1))</f>
        <v>277.03735509061545</v>
      </c>
      <c r="CE113" s="60">
        <f t="shared" si="94"/>
        <v>158.16416492761959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309.26999999999958</v>
      </c>
      <c r="CV113" s="14">
        <f t="shared" si="95"/>
        <v>73.116356204710968</v>
      </c>
      <c r="CW113" s="22">
        <f t="shared" si="67"/>
        <v>665.98957038987078</v>
      </c>
      <c r="CX113" s="60">
        <f t="shared" si="68"/>
        <v>959.32290372320404</v>
      </c>
      <c r="CY113" s="60">
        <f ca="1">AVERAGE(OFFSET($CX$3,0,0,'Données projet'!$E$13+1,1))-AVERAGE(OFFSET($H$3,0,0,'Données projet'!$E$13+1,1))</f>
        <v>350.3652766444938</v>
      </c>
      <c r="CZ113" s="60">
        <f t="shared" si="96"/>
        <v>197.04549436738586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3.4106051316484809E-13</v>
      </c>
      <c r="DP113" s="18">
        <f>DO113*VLOOKUP('Données projet'!$B$14,Paramètres!$A$1:$I$89,3,0)*VLOOKUP('Données projet'!$B$14,Paramètres!$A$1:$I$89,5,0)</f>
        <v>2.7134774427395314E-13</v>
      </c>
      <c r="DQ113" s="14">
        <f t="shared" si="97"/>
        <v>3.6292411711343559E-12</v>
      </c>
      <c r="DR113" s="22">
        <f t="shared" si="70"/>
        <v>6.7935256943361388E-12</v>
      </c>
      <c r="DS113" s="60">
        <f t="shared" si="71"/>
        <v>293.33333333334014</v>
      </c>
      <c r="DT113" s="60">
        <f ca="1">AVERAGE(OFFSET($DS$3,0,0,'Données projet'!$E$14+1,1))-AVERAGE(OFFSET($H$3,0,0,'Données projet'!$E$14+1,1))</f>
        <v>382.01991140382955</v>
      </c>
      <c r="DU113" s="60">
        <f t="shared" si="98"/>
        <v>389.53897948144339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323.92137573760789</v>
      </c>
      <c r="EP113" s="60">
        <f t="shared" si="100"/>
        <v>389.53897948144339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2.2737367544323206E-13</v>
      </c>
      <c r="FF113" s="18">
        <f>FE113*VLOOKUP('Données projet'!$B$16,Paramètres!$A$1:$I$89,3,0)*VLOOKUP('Données projet'!$B$16,Paramètres!$A$1:$I$89,5,0)</f>
        <v>1.8089849618263545E-13</v>
      </c>
      <c r="FG113" s="14">
        <f t="shared" si="101"/>
        <v>2.536422473342444E-12</v>
      </c>
      <c r="FH113" s="22">
        <f t="shared" si="76"/>
        <v>4.7326673552561798E-12</v>
      </c>
      <c r="FI113" s="60">
        <f t="shared" si="77"/>
        <v>293.33333333333803</v>
      </c>
      <c r="FJ113" s="60">
        <f ca="1">AVERAGE(OFFSET($FI$3,0,0,'Données projet'!$E$16+1,1))-AVERAGE(OFFSET($H$3,0,0,'Données projet'!$E$16+1,1))</f>
        <v>219.61164494001008</v>
      </c>
      <c r="FK113" s="60">
        <f t="shared" si="102"/>
        <v>219.59799863414111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-6.2527760746888816E-13</v>
      </c>
      <c r="GA113" s="18">
        <f>FZ113*VLOOKUP('Données projet'!$B$17,Paramètres!$A$1:$I$89,3,0)*VLOOKUP('Données projet'!$B$17,Paramètres!$A$1:$I$89,5,0)</f>
        <v>-2.9262992029543964E-13</v>
      </c>
      <c r="GB113" s="14" t="e">
        <f t="shared" si="103"/>
        <v>#NUM!</v>
      </c>
      <c r="GC113" s="22" t="e">
        <f t="shared" si="79"/>
        <v>#NUM!</v>
      </c>
      <c r="GD113" s="60" t="e">
        <f t="shared" si="80"/>
        <v>#NUM!</v>
      </c>
      <c r="GE113" s="60">
        <f ca="1">AVERAGE(OFFSET($GD$3,0,0,'Données projet'!$E$17+1,1))-AVERAGE(OFFSET($H$3,0,0,'Données projet'!$E$17+1,1))</f>
        <v>147.5699668214238</v>
      </c>
      <c r="GF113" s="60">
        <f t="shared" si="104"/>
        <v>70.653739864908346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>
        <f>GU113*VLOOKUP('Données projet'!$B$18,Paramètres!$A$1:$I$89,3,0)*VLOOKUP('Données projet'!$B$18,Paramètres!$A$1:$I$89,5,0)</f>
        <v>0</v>
      </c>
      <c r="GW113" s="14" t="e">
        <f t="shared" si="105"/>
        <v>#NUM!</v>
      </c>
      <c r="GX113" s="22" t="e">
        <f t="shared" si="82"/>
        <v>#NUM!</v>
      </c>
      <c r="GY113" s="60" t="e">
        <f t="shared" si="83"/>
        <v>#NUM!</v>
      </c>
      <c r="GZ113" s="60">
        <f ca="1">AVERAGE(OFFSET($GY$3,0,0,'Données projet'!$E$18+1,1))-AVERAGE(OFFSET($H$3,0,0,'Données projet'!$E$18+1,1))</f>
        <v>136.03899433512379</v>
      </c>
      <c r="HA113" s="60">
        <f t="shared" si="106"/>
        <v>316.56646692826882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15.313825653940052</v>
      </c>
      <c r="HH113" s="23">
        <f>EXP(-LN(2)/25)*HH112+(1-EXP(-LN(2)/25))/(LN(2)/25)*Calculateur!HC113*Calculateur!HE113*VLOOKUP('Données projet'!$B$18,Paramètres!$A$1:$I$89,3,0)*0.475*44/12</f>
        <v>1.0970824913241517</v>
      </c>
      <c r="HI113" s="23">
        <f>EXP(-LN(2)/2)*HI112+(1-EXP(-LN(2)/2))/(LN(2)/2)*HC113*HF113*VLOOKUP('Données projet'!$B$18,Paramètres!$A$1:$I$89,3,0)*0.475*44/12</f>
        <v>2.6591065766091498E-12</v>
      </c>
      <c r="HJ113" s="24">
        <f t="shared" si="84"/>
        <v>16.410908145266863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311.49999999999966</v>
      </c>
      <c r="O114" s="14">
        <f>N114*VLOOKUP('Données projet'!$B$9,Paramètres!$A$1:$I$89,3,0)*VLOOKUP('Données projet'!$B$9,Paramètres!$A$1:$I$89,5,0)</f>
        <v>281.84519999999969</v>
      </c>
      <c r="P114" s="14">
        <f t="shared" si="87"/>
        <v>67.356803491560427</v>
      </c>
      <c r="Q114" s="22">
        <f t="shared" si="107"/>
        <v>608.19348941446708</v>
      </c>
      <c r="R114" s="60">
        <f t="shared" si="55"/>
        <v>901.52682274780045</v>
      </c>
      <c r="S114" s="60">
        <f ca="1">AVERAGE(OFFSET($R$3,0,0,'Données projet'!$E$9+1,1))-AVERAGE(OFFSET($H$3,0,0,'Données projet'!$E$9+1,1))</f>
        <v>384.44848355636935</v>
      </c>
      <c r="T114" s="60">
        <f t="shared" si="88"/>
        <v>203.5274665601915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244.02455999999964</v>
      </c>
      <c r="AK114" s="14">
        <f t="shared" si="89"/>
        <v>59.304594314969229</v>
      </c>
      <c r="AL114" s="22">
        <f t="shared" si="58"/>
        <v>528.29827709857079</v>
      </c>
      <c r="AM114" s="60">
        <f t="shared" si="59"/>
        <v>821.63161043190416</v>
      </c>
      <c r="AN114" s="60">
        <f ca="1">AVERAGE(OFFSET($AM$3,0,0,'Données projet'!$E$10+1,1))-AVERAGE(OFFSET($H$3,0,0,'Données projet'!$E$10+1,1))</f>
        <v>303.73499739059076</v>
      </c>
      <c r="AO114" s="60">
        <f t="shared" si="90"/>
        <v>172.32171001882188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311.49999999999966</v>
      </c>
      <c r="BE114" s="14">
        <f>BD114*VLOOKUP('Données projet'!$B$11,Paramètres!$A$1:$I$89,3,0)*VLOOKUP('Données projet'!$B$11,Paramètres!$A$1:$I$89,5,0)</f>
        <v>262.40759999999977</v>
      </c>
      <c r="BF114" s="14">
        <f t="shared" si="91"/>
        <v>63.235305349754363</v>
      </c>
      <c r="BG114" s="22">
        <f t="shared" si="61"/>
        <v>567.16139348415504</v>
      </c>
      <c r="BH114" s="60">
        <f t="shared" si="62"/>
        <v>860.4947268174883</v>
      </c>
      <c r="BI114" s="60">
        <f ca="1">AVERAGE(OFFSET($BH$3,0,0,'Données projet'!$E$11+1,1))-AVERAGE(OFFSET($H$3,0,0,'Données projet'!$E$11+1,1))</f>
        <v>352.29660374042186</v>
      </c>
      <c r="BJ114" s="60">
        <f t="shared" si="92"/>
        <v>187.26439695305618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227.19527999999966</v>
      </c>
      <c r="CA114" s="14">
        <f t="shared" si="93"/>
        <v>55.675803122401177</v>
      </c>
      <c r="CB114" s="22">
        <f t="shared" si="64"/>
        <v>492.66713643818139</v>
      </c>
      <c r="CC114" s="60">
        <f t="shared" si="65"/>
        <v>786.00046977151464</v>
      </c>
      <c r="CD114" s="60">
        <f ca="1">AVERAGE(OFFSET($CC$3,0,0,'Données projet'!$E$12+1,1))-AVERAGE(OFFSET($H$3,0,0,'Données projet'!$E$12+1,1))</f>
        <v>277.03735509061545</v>
      </c>
      <c r="CE114" s="60">
        <f t="shared" si="94"/>
        <v>158.16416492761959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273.47579999999959</v>
      </c>
      <c r="CV114" s="14">
        <f t="shared" si="95"/>
        <v>65.586371730977532</v>
      </c>
      <c r="CW114" s="22">
        <f t="shared" si="67"/>
        <v>590.53328243145177</v>
      </c>
      <c r="CX114" s="60">
        <f t="shared" si="68"/>
        <v>883.86661576478514</v>
      </c>
      <c r="CY114" s="60">
        <f ca="1">AVERAGE(OFFSET($CX$3,0,0,'Données projet'!$E$13+1,1))-AVERAGE(OFFSET($H$3,0,0,'Données projet'!$E$13+1,1))</f>
        <v>350.3652766444938</v>
      </c>
      <c r="CZ114" s="60">
        <f t="shared" si="96"/>
        <v>197.04549436738586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3.4106051316484809E-13</v>
      </c>
      <c r="DP114" s="18">
        <f>DO114*VLOOKUP('Données projet'!$B$14,Paramètres!$A$1:$I$89,3,0)*VLOOKUP('Données projet'!$B$14,Paramètres!$A$1:$I$89,5,0)</f>
        <v>2.7134774427395314E-13</v>
      </c>
      <c r="DQ114" s="14">
        <f t="shared" si="97"/>
        <v>3.6292411711343559E-12</v>
      </c>
      <c r="DR114" s="22">
        <f t="shared" si="70"/>
        <v>6.7935256943361388E-12</v>
      </c>
      <c r="DS114" s="60">
        <f t="shared" si="71"/>
        <v>293.33333333334014</v>
      </c>
      <c r="DT114" s="60">
        <f ca="1">AVERAGE(OFFSET($DS$3,0,0,'Données projet'!$E$14+1,1))-AVERAGE(OFFSET($H$3,0,0,'Données projet'!$E$14+1,1))</f>
        <v>382.01991140382955</v>
      </c>
      <c r="DU114" s="60">
        <f t="shared" si="98"/>
        <v>389.53897948144339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323.92137573760789</v>
      </c>
      <c r="EP114" s="60">
        <f t="shared" si="100"/>
        <v>389.53897948144339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2.2737367544323206E-13</v>
      </c>
      <c r="FF114" s="18">
        <f>FE114*VLOOKUP('Données projet'!$B$16,Paramètres!$A$1:$I$89,3,0)*VLOOKUP('Données projet'!$B$16,Paramètres!$A$1:$I$89,5,0)</f>
        <v>1.8089849618263545E-13</v>
      </c>
      <c r="FG114" s="14">
        <f t="shared" si="101"/>
        <v>2.536422473342444E-12</v>
      </c>
      <c r="FH114" s="22">
        <f t="shared" si="76"/>
        <v>4.7326673552561798E-12</v>
      </c>
      <c r="FI114" s="60">
        <f t="shared" si="77"/>
        <v>293.33333333333803</v>
      </c>
      <c r="FJ114" s="60">
        <f ca="1">AVERAGE(OFFSET($FI$3,0,0,'Données projet'!$E$16+1,1))-AVERAGE(OFFSET($H$3,0,0,'Données projet'!$E$16+1,1))</f>
        <v>219.61164494001008</v>
      </c>
      <c r="FK114" s="60">
        <f t="shared" si="102"/>
        <v>219.59799863414111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-6.2527760746888816E-13</v>
      </c>
      <c r="GA114" s="18">
        <f>FZ114*VLOOKUP('Données projet'!$B$17,Paramètres!$A$1:$I$89,3,0)*VLOOKUP('Données projet'!$B$17,Paramètres!$A$1:$I$89,5,0)</f>
        <v>-2.9262992029543964E-13</v>
      </c>
      <c r="GB114" s="14" t="e">
        <f t="shared" si="103"/>
        <v>#NUM!</v>
      </c>
      <c r="GC114" s="22" t="e">
        <f t="shared" si="79"/>
        <v>#NUM!</v>
      </c>
      <c r="GD114" s="60" t="e">
        <f t="shared" si="80"/>
        <v>#NUM!</v>
      </c>
      <c r="GE114" s="60">
        <f ca="1">AVERAGE(OFFSET($GD$3,0,0,'Données projet'!$E$17+1,1))-AVERAGE(OFFSET($H$3,0,0,'Données projet'!$E$17+1,1))</f>
        <v>147.5699668214238</v>
      </c>
      <c r="GF114" s="60">
        <f t="shared" si="104"/>
        <v>70.653739864908346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>
        <f>GU114*VLOOKUP('Données projet'!$B$18,Paramètres!$A$1:$I$89,3,0)*VLOOKUP('Données projet'!$B$18,Paramètres!$A$1:$I$89,5,0)</f>
        <v>0</v>
      </c>
      <c r="GW114" s="14" t="e">
        <f t="shared" si="105"/>
        <v>#NUM!</v>
      </c>
      <c r="GX114" s="22" t="e">
        <f t="shared" si="82"/>
        <v>#NUM!</v>
      </c>
      <c r="GY114" s="60" t="e">
        <f t="shared" si="83"/>
        <v>#NUM!</v>
      </c>
      <c r="GZ114" s="60">
        <f ca="1">AVERAGE(OFFSET($GY$3,0,0,'Données projet'!$E$18+1,1))-AVERAGE(OFFSET($H$3,0,0,'Données projet'!$E$18+1,1))</f>
        <v>136.03899433512379</v>
      </c>
      <c r="HA114" s="60">
        <f t="shared" si="106"/>
        <v>316.56646692826882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15.013530873377638</v>
      </c>
      <c r="HH114" s="23">
        <f>EXP(-LN(2)/25)*HH113+(1-EXP(-LN(2)/25))/(LN(2)/25)*Calculateur!HC114*Calculateur!HE114*VLOOKUP('Données projet'!$B$18,Paramètres!$A$1:$I$89,3,0)*0.475*44/12</f>
        <v>1.067082712905832</v>
      </c>
      <c r="HI114" s="23">
        <f>EXP(-LN(2)/2)*HI113+(1-EXP(-LN(2)/2))/(LN(2)/2)*HC114*HF114*VLOOKUP('Données projet'!$B$18,Paramètres!$A$1:$I$89,3,0)*0.475*44/12</f>
        <v>1.8802722922180756E-12</v>
      </c>
      <c r="HJ114" s="24">
        <f t="shared" si="84"/>
        <v>16.080613586285349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315.99999999999966</v>
      </c>
      <c r="O115" s="14">
        <f>N115*VLOOKUP('Données projet'!$B$9,Paramètres!$A$1:$I$89,3,0)*VLOOKUP('Données projet'!$B$9,Paramètres!$A$1:$I$89,5,0)</f>
        <v>285.91679999999968</v>
      </c>
      <c r="P115" s="14">
        <f t="shared" si="87"/>
        <v>68.215872977287475</v>
      </c>
      <c r="Q115" s="22">
        <f t="shared" si="107"/>
        <v>616.7810721021084</v>
      </c>
      <c r="R115" s="60">
        <f t="shared" si="55"/>
        <v>910.11440543544177</v>
      </c>
      <c r="S115" s="60">
        <f ca="1">AVERAGE(OFFSET($R$3,0,0,'Données projet'!$E$9+1,1))-AVERAGE(OFFSET($H$3,0,0,'Données projet'!$E$9+1,1))</f>
        <v>384.44848355636935</v>
      </c>
      <c r="T115" s="60">
        <f t="shared" si="88"/>
        <v>203.5274665601915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247.3723199999996</v>
      </c>
      <c r="AK115" s="14">
        <f t="shared" si="89"/>
        <v>60.022917171130942</v>
      </c>
      <c r="AL115" s="22">
        <f t="shared" si="58"/>
        <v>535.38003807305233</v>
      </c>
      <c r="AM115" s="60">
        <f t="shared" si="59"/>
        <v>828.7133714063857</v>
      </c>
      <c r="AN115" s="60">
        <f ca="1">AVERAGE(OFFSET($AM$3,0,0,'Données projet'!$E$10+1,1))-AVERAGE(OFFSET($H$3,0,0,'Données projet'!$E$10+1,1))</f>
        <v>303.73499739059076</v>
      </c>
      <c r="AO115" s="60">
        <f t="shared" si="90"/>
        <v>172.32171001882188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315.99999999999966</v>
      </c>
      <c r="BE115" s="14">
        <f>BD115*VLOOKUP('Données projet'!$B$11,Paramètres!$A$1:$I$89,3,0)*VLOOKUP('Données projet'!$B$11,Paramètres!$A$1:$I$89,5,0)</f>
        <v>266.19839999999971</v>
      </c>
      <c r="BF115" s="14">
        <f t="shared" si="91"/>
        <v>64.041809198373159</v>
      </c>
      <c r="BG115" s="22">
        <f t="shared" si="61"/>
        <v>575.16836435383277</v>
      </c>
      <c r="BH115" s="60">
        <f t="shared" si="62"/>
        <v>868.50169768716614</v>
      </c>
      <c r="BI115" s="60">
        <f ca="1">AVERAGE(OFFSET($BH$3,0,0,'Données projet'!$E$11+1,1))-AVERAGE(OFFSET($H$3,0,0,'Données projet'!$E$11+1,1))</f>
        <v>352.29660374042186</v>
      </c>
      <c r="BJ115" s="60">
        <f t="shared" si="92"/>
        <v>187.26439695305618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230.31215999999969</v>
      </c>
      <c r="CA115" s="14">
        <f t="shared" si="93"/>
        <v>56.350172492598332</v>
      </c>
      <c r="CB115" s="22">
        <f t="shared" si="64"/>
        <v>499.27022909127487</v>
      </c>
      <c r="CC115" s="60">
        <f t="shared" si="65"/>
        <v>792.60356242460819</v>
      </c>
      <c r="CD115" s="60">
        <f ca="1">AVERAGE(OFFSET($CC$3,0,0,'Données projet'!$E$12+1,1))-AVERAGE(OFFSET($H$3,0,0,'Données projet'!$E$12+1,1))</f>
        <v>277.03735509061545</v>
      </c>
      <c r="CE115" s="60">
        <f t="shared" si="94"/>
        <v>158.16416492761959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277.2275999999996</v>
      </c>
      <c r="CV115" s="14">
        <f t="shared" si="95"/>
        <v>66.380782187895392</v>
      </c>
      <c r="CW115" s="22">
        <f t="shared" si="67"/>
        <v>598.45126564391705</v>
      </c>
      <c r="CX115" s="60">
        <f t="shared" si="68"/>
        <v>891.78459897725043</v>
      </c>
      <c r="CY115" s="60">
        <f ca="1">AVERAGE(OFFSET($CX$3,0,0,'Données projet'!$E$13+1,1))-AVERAGE(OFFSET($H$3,0,0,'Données projet'!$E$13+1,1))</f>
        <v>350.3652766444938</v>
      </c>
      <c r="CZ115" s="60">
        <f t="shared" si="96"/>
        <v>197.04549436738586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3.4106051316484809E-13</v>
      </c>
      <c r="DP115" s="18">
        <f>DO115*VLOOKUP('Données projet'!$B$14,Paramètres!$A$1:$I$89,3,0)*VLOOKUP('Données projet'!$B$14,Paramètres!$A$1:$I$89,5,0)</f>
        <v>2.7134774427395314E-13</v>
      </c>
      <c r="DQ115" s="14">
        <f t="shared" si="97"/>
        <v>3.6292411711343559E-12</v>
      </c>
      <c r="DR115" s="22">
        <f t="shared" si="70"/>
        <v>6.7935256943361388E-12</v>
      </c>
      <c r="DS115" s="60">
        <f t="shared" si="71"/>
        <v>293.33333333334014</v>
      </c>
      <c r="DT115" s="60">
        <f ca="1">AVERAGE(OFFSET($DS$3,0,0,'Données projet'!$E$14+1,1))-AVERAGE(OFFSET($H$3,0,0,'Données projet'!$E$14+1,1))</f>
        <v>382.01991140382955</v>
      </c>
      <c r="DU115" s="60">
        <f t="shared" si="98"/>
        <v>389.53897948144339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323.92137573760789</v>
      </c>
      <c r="EP115" s="60">
        <f t="shared" si="100"/>
        <v>389.53897948144339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2.2737367544323206E-13</v>
      </c>
      <c r="FF115" s="18">
        <f>FE115*VLOOKUP('Données projet'!$B$16,Paramètres!$A$1:$I$89,3,0)*VLOOKUP('Données projet'!$B$16,Paramètres!$A$1:$I$89,5,0)</f>
        <v>1.8089849618263545E-13</v>
      </c>
      <c r="FG115" s="14">
        <f t="shared" si="101"/>
        <v>2.536422473342444E-12</v>
      </c>
      <c r="FH115" s="22">
        <f t="shared" si="76"/>
        <v>4.7326673552561798E-12</v>
      </c>
      <c r="FI115" s="60">
        <f t="shared" si="77"/>
        <v>293.33333333333803</v>
      </c>
      <c r="FJ115" s="60">
        <f ca="1">AVERAGE(OFFSET($FI$3,0,0,'Données projet'!$E$16+1,1))-AVERAGE(OFFSET($H$3,0,0,'Données projet'!$E$16+1,1))</f>
        <v>219.61164494001008</v>
      </c>
      <c r="FK115" s="60">
        <f t="shared" si="102"/>
        <v>219.59799863414111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-6.2527760746888816E-13</v>
      </c>
      <c r="GA115" s="18">
        <f>FZ115*VLOOKUP('Données projet'!$B$17,Paramètres!$A$1:$I$89,3,0)*VLOOKUP('Données projet'!$B$17,Paramètres!$A$1:$I$89,5,0)</f>
        <v>-2.9262992029543964E-13</v>
      </c>
      <c r="GB115" s="14" t="e">
        <f t="shared" si="103"/>
        <v>#NUM!</v>
      </c>
      <c r="GC115" s="22" t="e">
        <f t="shared" si="79"/>
        <v>#NUM!</v>
      </c>
      <c r="GD115" s="60" t="e">
        <f t="shared" si="80"/>
        <v>#NUM!</v>
      </c>
      <c r="GE115" s="60">
        <f ca="1">AVERAGE(OFFSET($GD$3,0,0,'Données projet'!$E$17+1,1))-AVERAGE(OFFSET($H$3,0,0,'Données projet'!$E$17+1,1))</f>
        <v>147.5699668214238</v>
      </c>
      <c r="GF115" s="60">
        <f t="shared" si="104"/>
        <v>70.653739864908346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>
        <f>GU115*VLOOKUP('Données projet'!$B$18,Paramètres!$A$1:$I$89,3,0)*VLOOKUP('Données projet'!$B$18,Paramètres!$A$1:$I$89,5,0)</f>
        <v>0</v>
      </c>
      <c r="GW115" s="14" t="e">
        <f t="shared" si="105"/>
        <v>#NUM!</v>
      </c>
      <c r="GX115" s="22" t="e">
        <f t="shared" si="82"/>
        <v>#NUM!</v>
      </c>
      <c r="GY115" s="60" t="e">
        <f t="shared" si="83"/>
        <v>#NUM!</v>
      </c>
      <c r="GZ115" s="60">
        <f ca="1">AVERAGE(OFFSET($GY$3,0,0,'Données projet'!$E$18+1,1))-AVERAGE(OFFSET($H$3,0,0,'Données projet'!$E$18+1,1))</f>
        <v>136.03899433512379</v>
      </c>
      <c r="HA115" s="60">
        <f t="shared" si="106"/>
        <v>316.56646692826882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14.719124690300323</v>
      </c>
      <c r="HH115" s="23">
        <f>EXP(-LN(2)/25)*HH114+(1-EXP(-LN(2)/25))/(LN(2)/25)*Calculateur!HC115*Calculateur!HE115*VLOOKUP('Données projet'!$B$18,Paramètres!$A$1:$I$89,3,0)*0.475*44/12</f>
        <v>1.0379032800059811</v>
      </c>
      <c r="HI115" s="23">
        <f>EXP(-LN(2)/2)*HI114+(1-EXP(-LN(2)/2))/(LN(2)/2)*HC115*HF115*VLOOKUP('Données projet'!$B$18,Paramètres!$A$1:$I$89,3,0)*0.475*44/12</f>
        <v>1.3295532883045749E-12</v>
      </c>
      <c r="HJ115" s="24">
        <f t="shared" si="84"/>
        <v>15.757027970307632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320.49999999999966</v>
      </c>
      <c r="O116" s="14">
        <f>N116*VLOOKUP('Données projet'!$B$9,Paramètres!$A$1:$I$89,3,0)*VLOOKUP('Données projet'!$B$9,Paramètres!$A$1:$I$89,5,0)</f>
        <v>289.98839999999967</v>
      </c>
      <c r="P116" s="14">
        <f t="shared" si="87"/>
        <v>69.073519602481454</v>
      </c>
      <c r="Q116" s="22">
        <f t="shared" si="107"/>
        <v>625.36617664098787</v>
      </c>
      <c r="R116" s="60">
        <f t="shared" si="55"/>
        <v>918.69950997432124</v>
      </c>
      <c r="S116" s="60">
        <f ca="1">AVERAGE(OFFSET($R$3,0,0,'Données projet'!$E$9+1,1))-AVERAGE(OFFSET($H$3,0,0,'Données projet'!$E$9+1,1))</f>
        <v>384.44848355636935</v>
      </c>
      <c r="T116" s="60">
        <f t="shared" si="88"/>
        <v>203.5274665601915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250.7200799999996</v>
      </c>
      <c r="AK116" s="14">
        <f t="shared" si="89"/>
        <v>60.740109326032709</v>
      </c>
      <c r="AL116" s="22">
        <f t="shared" si="58"/>
        <v>542.45982974283959</v>
      </c>
      <c r="AM116" s="60">
        <f t="shared" si="59"/>
        <v>835.79316307617296</v>
      </c>
      <c r="AN116" s="60">
        <f ca="1">AVERAGE(OFFSET($AM$3,0,0,'Données projet'!$E$10+1,1))-AVERAGE(OFFSET($H$3,0,0,'Données projet'!$E$10+1,1))</f>
        <v>303.73499739059076</v>
      </c>
      <c r="AO116" s="60">
        <f t="shared" si="90"/>
        <v>172.32171001882188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320.49999999999966</v>
      </c>
      <c r="BE116" s="14">
        <f>BD116*VLOOKUP('Données projet'!$B$11,Paramètres!$A$1:$I$89,3,0)*VLOOKUP('Données projet'!$B$11,Paramètres!$A$1:$I$89,5,0)</f>
        <v>269.98919999999976</v>
      </c>
      <c r="BF116" s="14">
        <f t="shared" si="91"/>
        <v>64.846977249929026</v>
      </c>
      <c r="BG116" s="22">
        <f t="shared" si="61"/>
        <v>583.17300871029261</v>
      </c>
      <c r="BH116" s="60">
        <f t="shared" si="62"/>
        <v>876.50634204362586</v>
      </c>
      <c r="BI116" s="60">
        <f ca="1">AVERAGE(OFFSET($BH$3,0,0,'Données projet'!$E$11+1,1))-AVERAGE(OFFSET($H$3,0,0,'Données projet'!$E$11+1,1))</f>
        <v>352.29660374042186</v>
      </c>
      <c r="BJ116" s="60">
        <f t="shared" si="92"/>
        <v>187.26439695305618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233.42903999999967</v>
      </c>
      <c r="CA116" s="14">
        <f t="shared" si="93"/>
        <v>57.023480348060083</v>
      </c>
      <c r="CB116" s="22">
        <f t="shared" si="64"/>
        <v>505.87147293953734</v>
      </c>
      <c r="CC116" s="60">
        <f t="shared" si="65"/>
        <v>799.20480627287066</v>
      </c>
      <c r="CD116" s="60">
        <f ca="1">AVERAGE(OFFSET($CC$3,0,0,'Données projet'!$E$12+1,1))-AVERAGE(OFFSET($H$3,0,0,'Données projet'!$E$12+1,1))</f>
        <v>277.03735509061545</v>
      </c>
      <c r="CE116" s="60">
        <f t="shared" si="94"/>
        <v>158.16416492761959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280.9793999999996</v>
      </c>
      <c r="CV116" s="14">
        <f t="shared" si="95"/>
        <v>67.173942175199358</v>
      </c>
      <c r="CW116" s="22">
        <f t="shared" si="67"/>
        <v>606.36707095513827</v>
      </c>
      <c r="CX116" s="60">
        <f t="shared" si="68"/>
        <v>899.70040428847165</v>
      </c>
      <c r="CY116" s="60">
        <f ca="1">AVERAGE(OFFSET($CX$3,0,0,'Données projet'!$E$13+1,1))-AVERAGE(OFFSET($H$3,0,0,'Données projet'!$E$13+1,1))</f>
        <v>350.3652766444938</v>
      </c>
      <c r="CZ116" s="60">
        <f t="shared" si="96"/>
        <v>197.04549436738586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3.4106051316484809E-13</v>
      </c>
      <c r="DP116" s="18">
        <f>DO116*VLOOKUP('Données projet'!$B$14,Paramètres!$A$1:$I$89,3,0)*VLOOKUP('Données projet'!$B$14,Paramètres!$A$1:$I$89,5,0)</f>
        <v>2.7134774427395314E-13</v>
      </c>
      <c r="DQ116" s="14">
        <f t="shared" si="97"/>
        <v>3.6292411711343559E-12</v>
      </c>
      <c r="DR116" s="22">
        <f t="shared" si="70"/>
        <v>6.7935256943361388E-12</v>
      </c>
      <c r="DS116" s="60">
        <f t="shared" si="71"/>
        <v>293.33333333334014</v>
      </c>
      <c r="DT116" s="60">
        <f ca="1">AVERAGE(OFFSET($DS$3,0,0,'Données projet'!$E$14+1,1))-AVERAGE(OFFSET($H$3,0,0,'Données projet'!$E$14+1,1))</f>
        <v>382.01991140382955</v>
      </c>
      <c r="DU116" s="60">
        <f t="shared" si="98"/>
        <v>389.53897948144339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323.92137573760789</v>
      </c>
      <c r="EP116" s="60">
        <f t="shared" si="100"/>
        <v>389.53897948144339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2.2737367544323206E-13</v>
      </c>
      <c r="FF116" s="18">
        <f>FE116*VLOOKUP('Données projet'!$B$16,Paramètres!$A$1:$I$89,3,0)*VLOOKUP('Données projet'!$B$16,Paramètres!$A$1:$I$89,5,0)</f>
        <v>1.8089849618263545E-13</v>
      </c>
      <c r="FG116" s="14">
        <f t="shared" si="101"/>
        <v>2.536422473342444E-12</v>
      </c>
      <c r="FH116" s="22">
        <f t="shared" si="76"/>
        <v>4.7326673552561798E-12</v>
      </c>
      <c r="FI116" s="60">
        <f t="shared" si="77"/>
        <v>293.33333333333803</v>
      </c>
      <c r="FJ116" s="60">
        <f ca="1">AVERAGE(OFFSET($FI$3,0,0,'Données projet'!$E$16+1,1))-AVERAGE(OFFSET($H$3,0,0,'Données projet'!$E$16+1,1))</f>
        <v>219.61164494001008</v>
      </c>
      <c r="FK116" s="60">
        <f t="shared" si="102"/>
        <v>219.59799863414111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-6.2527760746888816E-13</v>
      </c>
      <c r="GA116" s="18">
        <f>FZ116*VLOOKUP('Données projet'!$B$17,Paramètres!$A$1:$I$89,3,0)*VLOOKUP('Données projet'!$B$17,Paramètres!$A$1:$I$89,5,0)</f>
        <v>-2.9262992029543964E-13</v>
      </c>
      <c r="GB116" s="14" t="e">
        <f t="shared" si="103"/>
        <v>#NUM!</v>
      </c>
      <c r="GC116" s="22" t="e">
        <f t="shared" si="79"/>
        <v>#NUM!</v>
      </c>
      <c r="GD116" s="60" t="e">
        <f t="shared" si="80"/>
        <v>#NUM!</v>
      </c>
      <c r="GE116" s="60">
        <f ca="1">AVERAGE(OFFSET($GD$3,0,0,'Données projet'!$E$17+1,1))-AVERAGE(OFFSET($H$3,0,0,'Données projet'!$E$17+1,1))</f>
        <v>147.5699668214238</v>
      </c>
      <c r="GF116" s="60">
        <f t="shared" si="104"/>
        <v>70.653739864908346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>
        <f>GU116*VLOOKUP('Données projet'!$B$18,Paramètres!$A$1:$I$89,3,0)*VLOOKUP('Données projet'!$B$18,Paramètres!$A$1:$I$89,5,0)</f>
        <v>0</v>
      </c>
      <c r="GW116" s="14" t="e">
        <f t="shared" si="105"/>
        <v>#NUM!</v>
      </c>
      <c r="GX116" s="22" t="e">
        <f t="shared" si="82"/>
        <v>#NUM!</v>
      </c>
      <c r="GY116" s="60" t="e">
        <f t="shared" si="83"/>
        <v>#NUM!</v>
      </c>
      <c r="GZ116" s="60">
        <f ca="1">AVERAGE(OFFSET($GY$3,0,0,'Données projet'!$E$18+1,1))-AVERAGE(OFFSET($H$3,0,0,'Données projet'!$E$18+1,1))</f>
        <v>136.03899433512379</v>
      </c>
      <c r="HA116" s="60">
        <f t="shared" si="106"/>
        <v>316.56646692826882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14.430491632903113</v>
      </c>
      <c r="HH116" s="23">
        <f>EXP(-LN(2)/25)*HH115+(1-EXP(-LN(2)/25))/(LN(2)/25)*Calculateur!HC116*Calculateur!HE116*VLOOKUP('Données projet'!$B$18,Paramètres!$A$1:$I$89,3,0)*0.475*44/12</f>
        <v>1.0095217602332562</v>
      </c>
      <c r="HI116" s="23">
        <f>EXP(-LN(2)/2)*HI115+(1-EXP(-LN(2)/2))/(LN(2)/2)*HC116*HF116*VLOOKUP('Données projet'!$B$18,Paramètres!$A$1:$I$89,3,0)*0.475*44/12</f>
        <v>9.4013614610903779E-13</v>
      </c>
      <c r="HJ116" s="24">
        <f t="shared" si="84"/>
        <v>15.440013393137308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324.99999999999966</v>
      </c>
      <c r="O117" s="14">
        <f>N117*VLOOKUP('Données projet'!$B$9,Paramètres!$A$1:$I$89,3,0)*VLOOKUP('Données projet'!$B$9,Paramètres!$A$1:$I$89,5,0)</f>
        <v>294.05999999999972</v>
      </c>
      <c r="P117" s="14">
        <f t="shared" si="87"/>
        <v>69.929765653573313</v>
      </c>
      <c r="Q117" s="22">
        <f t="shared" si="107"/>
        <v>633.94884184663977</v>
      </c>
      <c r="R117" s="60">
        <f t="shared" si="55"/>
        <v>927.28217517997314</v>
      </c>
      <c r="S117" s="60">
        <f ca="1">AVERAGE(OFFSET($R$3,0,0,'Données projet'!$E$9+1,1))-AVERAGE(OFFSET($H$3,0,0,'Données projet'!$E$9+1,1))</f>
        <v>384.44848355636935</v>
      </c>
      <c r="T117" s="60">
        <f t="shared" si="88"/>
        <v>203.5274665601915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254.06783999999956</v>
      </c>
      <c r="AK117" s="14">
        <f t="shared" si="89"/>
        <v>61.456187622750669</v>
      </c>
      <c r="AL117" s="22">
        <f t="shared" si="58"/>
        <v>549.53768144295657</v>
      </c>
      <c r="AM117" s="60">
        <f t="shared" si="59"/>
        <v>842.87101477628994</v>
      </c>
      <c r="AN117" s="60">
        <f ca="1">AVERAGE(OFFSET($AM$3,0,0,'Données projet'!$E$10+1,1))-AVERAGE(OFFSET($H$3,0,0,'Données projet'!$E$10+1,1))</f>
        <v>303.73499739059076</v>
      </c>
      <c r="AO117" s="60">
        <f t="shared" si="90"/>
        <v>172.32171001882188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</v>
      </c>
      <c r="BD117" s="13">
        <f>IF('Données projet'!$A$88&gt;35,BD116+BC117-BL116,IF(A117&lt;'Données projet'!$A$88,$BA$205^A117,IF(A117='Données projet'!$A$88,'Données projet'!$B$88,BD116+BC117-BL116)))</f>
        <v>324.99999999999966</v>
      </c>
      <c r="BE117" s="14">
        <f>BD117*VLOOKUP('Données projet'!$B$11,Paramètres!$A$1:$I$89,3,0)*VLOOKUP('Données projet'!$B$11,Paramètres!$A$1:$I$89,5,0)</f>
        <v>273.77999999999975</v>
      </c>
      <c r="BF117" s="14">
        <f t="shared" si="91"/>
        <v>65.650830427167435</v>
      </c>
      <c r="BG117" s="22">
        <f t="shared" si="61"/>
        <v>591.17536299398284</v>
      </c>
      <c r="BH117" s="60">
        <f t="shared" si="62"/>
        <v>884.5086963273161</v>
      </c>
      <c r="BI117" s="60">
        <f ca="1">AVERAGE(OFFSET($BH$3,0,0,'Données projet'!$E$11+1,1))-AVERAGE(OFFSET($H$3,0,0,'Données projet'!$E$11+1,1))</f>
        <v>352.29660374042186</v>
      </c>
      <c r="BJ117" s="60">
        <f t="shared" si="92"/>
        <v>187.26439695305618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236.54591999999965</v>
      </c>
      <c r="CA117" s="14">
        <f t="shared" si="93"/>
        <v>57.695742501250976</v>
      </c>
      <c r="CB117" s="22">
        <f t="shared" si="64"/>
        <v>512.47089552301156</v>
      </c>
      <c r="CC117" s="60">
        <f t="shared" si="65"/>
        <v>805.80422885634493</v>
      </c>
      <c r="CD117" s="60">
        <f ca="1">AVERAGE(OFFSET($CC$3,0,0,'Données projet'!$E$12+1,1))-AVERAGE(OFFSET($H$3,0,0,'Données projet'!$E$12+1,1))</f>
        <v>277.03735509061545</v>
      </c>
      <c r="CE117" s="60">
        <f t="shared" si="94"/>
        <v>158.16416492761959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284.7311999999996</v>
      </c>
      <c r="CV117" s="14">
        <f t="shared" si="95"/>
        <v>67.965870320050882</v>
      </c>
      <c r="CW117" s="22">
        <f t="shared" si="67"/>
        <v>614.28073080742126</v>
      </c>
      <c r="CX117" s="60">
        <f t="shared" si="68"/>
        <v>907.61406414075464</v>
      </c>
      <c r="CY117" s="60">
        <f ca="1">AVERAGE(OFFSET($CX$3,0,0,'Données projet'!$E$13+1,1))-AVERAGE(OFFSET($H$3,0,0,'Données projet'!$E$13+1,1))</f>
        <v>350.3652766444938</v>
      </c>
      <c r="CZ117" s="60">
        <f t="shared" si="96"/>
        <v>197.04549436738586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3.4106051316484809E-13</v>
      </c>
      <c r="DP117" s="18">
        <f>DO117*VLOOKUP('Données projet'!$B$14,Paramètres!$A$1:$I$89,3,0)*VLOOKUP('Données projet'!$B$14,Paramètres!$A$1:$I$89,5,0)</f>
        <v>2.7134774427395314E-13</v>
      </c>
      <c r="DQ117" s="14">
        <f t="shared" si="97"/>
        <v>3.6292411711343559E-12</v>
      </c>
      <c r="DR117" s="22">
        <f t="shared" si="70"/>
        <v>6.7935256943361388E-12</v>
      </c>
      <c r="DS117" s="60">
        <f t="shared" si="71"/>
        <v>293.33333333334014</v>
      </c>
      <c r="DT117" s="60">
        <f ca="1">AVERAGE(OFFSET($DS$3,0,0,'Données projet'!$E$14+1,1))-AVERAGE(OFFSET($H$3,0,0,'Données projet'!$E$14+1,1))</f>
        <v>382.01991140382955</v>
      </c>
      <c r="DU117" s="60">
        <f t="shared" si="98"/>
        <v>389.53897948144339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323.92137573760789</v>
      </c>
      <c r="EP117" s="60">
        <f t="shared" si="100"/>
        <v>389.53897948144339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2.2737367544323206E-13</v>
      </c>
      <c r="FF117" s="18">
        <f>FE117*VLOOKUP('Données projet'!$B$16,Paramètres!$A$1:$I$89,3,0)*VLOOKUP('Données projet'!$B$16,Paramètres!$A$1:$I$89,5,0)</f>
        <v>1.8089849618263545E-13</v>
      </c>
      <c r="FG117" s="14">
        <f t="shared" si="101"/>
        <v>2.536422473342444E-12</v>
      </c>
      <c r="FH117" s="22">
        <f t="shared" si="76"/>
        <v>4.7326673552561798E-12</v>
      </c>
      <c r="FI117" s="60">
        <f t="shared" si="77"/>
        <v>293.33333333333803</v>
      </c>
      <c r="FJ117" s="60">
        <f ca="1">AVERAGE(OFFSET($FI$3,0,0,'Données projet'!$E$16+1,1))-AVERAGE(OFFSET($H$3,0,0,'Données projet'!$E$16+1,1))</f>
        <v>219.61164494001008</v>
      </c>
      <c r="FK117" s="60">
        <f t="shared" si="102"/>
        <v>219.59799863414111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-6.2527760746888816E-13</v>
      </c>
      <c r="GA117" s="18">
        <f>FZ117*VLOOKUP('Données projet'!$B$17,Paramètres!$A$1:$I$89,3,0)*VLOOKUP('Données projet'!$B$17,Paramètres!$A$1:$I$89,5,0)</f>
        <v>-2.9262992029543964E-13</v>
      </c>
      <c r="GB117" s="14" t="e">
        <f t="shared" si="103"/>
        <v>#NUM!</v>
      </c>
      <c r="GC117" s="22" t="e">
        <f t="shared" si="79"/>
        <v>#NUM!</v>
      </c>
      <c r="GD117" s="60" t="e">
        <f t="shared" si="80"/>
        <v>#NUM!</v>
      </c>
      <c r="GE117" s="60">
        <f ca="1">AVERAGE(OFFSET($GD$3,0,0,'Données projet'!$E$17+1,1))-AVERAGE(OFFSET($H$3,0,0,'Données projet'!$E$17+1,1))</f>
        <v>147.5699668214238</v>
      </c>
      <c r="GF117" s="60">
        <f t="shared" si="104"/>
        <v>70.653739864908346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>
        <f>GU117*VLOOKUP('Données projet'!$B$18,Paramètres!$A$1:$I$89,3,0)*VLOOKUP('Données projet'!$B$18,Paramètres!$A$1:$I$89,5,0)</f>
        <v>0</v>
      </c>
      <c r="GW117" s="14" t="e">
        <f t="shared" si="105"/>
        <v>#NUM!</v>
      </c>
      <c r="GX117" s="22" t="e">
        <f t="shared" si="82"/>
        <v>#NUM!</v>
      </c>
      <c r="GY117" s="60" t="e">
        <f t="shared" si="83"/>
        <v>#NUM!</v>
      </c>
      <c r="GZ117" s="60">
        <f ca="1">AVERAGE(OFFSET($GY$3,0,0,'Données projet'!$E$18+1,1))-AVERAGE(OFFSET($H$3,0,0,'Données projet'!$E$18+1,1))</f>
        <v>136.03899433512379</v>
      </c>
      <c r="HA117" s="60">
        <f t="shared" si="106"/>
        <v>316.56646692826882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14.147518493712679</v>
      </c>
      <c r="HH117" s="23">
        <f>EXP(-LN(2)/25)*HH116+(1-EXP(-LN(2)/25))/(LN(2)/25)*Calculateur!HC117*Calculateur!HE117*VLOOKUP('Données projet'!$B$18,Paramètres!$A$1:$I$89,3,0)*0.475*44/12</f>
        <v>0.98191633461123573</v>
      </c>
      <c r="HI117" s="23">
        <f>EXP(-LN(2)/2)*HI116+(1-EXP(-LN(2)/2))/(LN(2)/2)*HC117*HF117*VLOOKUP('Données projet'!$B$18,Paramètres!$A$1:$I$89,3,0)*0.475*44/12</f>
        <v>6.6477664415228746E-13</v>
      </c>
      <c r="HJ117" s="24">
        <f t="shared" si="84"/>
        <v>15.12943482832458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329.49999999999966</v>
      </c>
      <c r="O118" s="14">
        <f>N118*VLOOKUP('Données projet'!$B$9,Paramètres!$A$1:$I$89,3,0)*VLOOKUP('Données projet'!$B$9,Paramètres!$A$1:$I$89,5,0)</f>
        <v>298.13159999999965</v>
      </c>
      <c r="P118" s="14">
        <f t="shared" si="87"/>
        <v>70.784632764375971</v>
      </c>
      <c r="Q118" s="22">
        <f t="shared" si="107"/>
        <v>642.52910539795425</v>
      </c>
      <c r="R118" s="60">
        <f t="shared" si="55"/>
        <v>935.86243873128751</v>
      </c>
      <c r="S118" s="60">
        <f ca="1">AVERAGE(OFFSET($R$3,0,0,'Données projet'!$E$9+1,1))-AVERAGE(OFFSET($H$3,0,0,'Données projet'!$E$9+1,1))</f>
        <v>384.44848355636935</v>
      </c>
      <c r="T118" s="60">
        <f t="shared" si="88"/>
        <v>203.5274665601915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257.41559999999959</v>
      </c>
      <c r="AK118" s="14">
        <f t="shared" si="89"/>
        <v>62.171168434977062</v>
      </c>
      <c r="AL118" s="22">
        <f t="shared" si="58"/>
        <v>556.61362169091774</v>
      </c>
      <c r="AM118" s="60">
        <f t="shared" si="59"/>
        <v>849.94695502425111</v>
      </c>
      <c r="AN118" s="60">
        <f ca="1">AVERAGE(OFFSET($AM$3,0,0,'Données projet'!$E$10+1,1))-AVERAGE(OFFSET($H$3,0,0,'Données projet'!$E$10+1,1))</f>
        <v>303.73499739059076</v>
      </c>
      <c r="AO118" s="60">
        <f t="shared" si="90"/>
        <v>172.32171001882188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</v>
      </c>
      <c r="BD118" s="13">
        <f>IF('Données projet'!$A$88&gt;35,BD117+BC118-BL117,IF(A118&lt;'Données projet'!$A$88,$BA$205^A118,IF(A118='Données projet'!$A$88,'Données projet'!$B$88,BD117+BC118-BL117)))</f>
        <v>329.49999999999966</v>
      </c>
      <c r="BE118" s="14">
        <f>BD118*VLOOKUP('Données projet'!$B$11,Paramètres!$A$1:$I$89,3,0)*VLOOKUP('Données projet'!$B$11,Paramètres!$A$1:$I$89,5,0)</f>
        <v>277.57079999999974</v>
      </c>
      <c r="BF118" s="14">
        <f t="shared" si="91"/>
        <v>66.453389040149148</v>
      </c>
      <c r="BG118" s="22">
        <f t="shared" si="61"/>
        <v>599.17546257825927</v>
      </c>
      <c r="BH118" s="60">
        <f t="shared" si="62"/>
        <v>892.50879591159264</v>
      </c>
      <c r="BI118" s="60">
        <f ca="1">AVERAGE(OFFSET($BH$3,0,0,'Données projet'!$E$11+1,1))-AVERAGE(OFFSET($H$3,0,0,'Données projet'!$E$11+1,1))</f>
        <v>352.29660374042186</v>
      </c>
      <c r="BJ118" s="60">
        <f t="shared" si="92"/>
        <v>187.26439695305618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239.66279999999963</v>
      </c>
      <c r="CA118" s="14">
        <f t="shared" si="93"/>
        <v>58.366974323972691</v>
      </c>
      <c r="CB118" s="22">
        <f t="shared" si="64"/>
        <v>519.06852361425183</v>
      </c>
      <c r="CC118" s="60">
        <f t="shared" si="65"/>
        <v>812.4018569475852</v>
      </c>
      <c r="CD118" s="60">
        <f ca="1">AVERAGE(OFFSET($CC$3,0,0,'Données projet'!$E$12+1,1))-AVERAGE(OFFSET($H$3,0,0,'Données projet'!$E$12+1,1))</f>
        <v>277.03735509061545</v>
      </c>
      <c r="CE118" s="60">
        <f t="shared" si="94"/>
        <v>158.16416492761959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288.48299999999955</v>
      </c>
      <c r="CV118" s="14">
        <f t="shared" si="95"/>
        <v>68.756584730508635</v>
      </c>
      <c r="CW118" s="22">
        <f t="shared" si="67"/>
        <v>622.19227673896842</v>
      </c>
      <c r="CX118" s="60">
        <f t="shared" si="68"/>
        <v>915.52561007230179</v>
      </c>
      <c r="CY118" s="60">
        <f ca="1">AVERAGE(OFFSET($CX$3,0,0,'Données projet'!$E$13+1,1))-AVERAGE(OFFSET($H$3,0,0,'Données projet'!$E$13+1,1))</f>
        <v>350.3652766444938</v>
      </c>
      <c r="CZ118" s="60">
        <f t="shared" si="96"/>
        <v>197.04549436738586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3.4106051316484809E-13</v>
      </c>
      <c r="DP118" s="18">
        <f>DO118*VLOOKUP('Données projet'!$B$14,Paramètres!$A$1:$I$89,3,0)*VLOOKUP('Données projet'!$B$14,Paramètres!$A$1:$I$89,5,0)</f>
        <v>2.7134774427395314E-13</v>
      </c>
      <c r="DQ118" s="14">
        <f t="shared" si="97"/>
        <v>3.6292411711343559E-12</v>
      </c>
      <c r="DR118" s="22">
        <f t="shared" si="70"/>
        <v>6.7935256943361388E-12</v>
      </c>
      <c r="DS118" s="60">
        <f t="shared" si="71"/>
        <v>293.33333333334014</v>
      </c>
      <c r="DT118" s="60">
        <f ca="1">AVERAGE(OFFSET($DS$3,0,0,'Données projet'!$E$14+1,1))-AVERAGE(OFFSET($H$3,0,0,'Données projet'!$E$14+1,1))</f>
        <v>382.01991140382955</v>
      </c>
      <c r="DU118" s="60">
        <f t="shared" si="98"/>
        <v>389.53897948144339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323.92137573760789</v>
      </c>
      <c r="EP118" s="60">
        <f t="shared" si="100"/>
        <v>389.53897948144339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2.2737367544323206E-13</v>
      </c>
      <c r="FF118" s="18">
        <f>FE118*VLOOKUP('Données projet'!$B$16,Paramètres!$A$1:$I$89,3,0)*VLOOKUP('Données projet'!$B$16,Paramètres!$A$1:$I$89,5,0)</f>
        <v>1.8089849618263545E-13</v>
      </c>
      <c r="FG118" s="14">
        <f t="shared" si="101"/>
        <v>2.536422473342444E-12</v>
      </c>
      <c r="FH118" s="22">
        <f t="shared" si="76"/>
        <v>4.7326673552561798E-12</v>
      </c>
      <c r="FI118" s="60">
        <f t="shared" si="77"/>
        <v>293.33333333333803</v>
      </c>
      <c r="FJ118" s="60">
        <f ca="1">AVERAGE(OFFSET($FI$3,0,0,'Données projet'!$E$16+1,1))-AVERAGE(OFFSET($H$3,0,0,'Données projet'!$E$16+1,1))</f>
        <v>219.61164494001008</v>
      </c>
      <c r="FK118" s="60">
        <f t="shared" si="102"/>
        <v>219.59799863414111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-6.2527760746888816E-13</v>
      </c>
      <c r="GA118" s="18">
        <f>FZ118*VLOOKUP('Données projet'!$B$17,Paramètres!$A$1:$I$89,3,0)*VLOOKUP('Données projet'!$B$17,Paramètres!$A$1:$I$89,5,0)</f>
        <v>-2.9262992029543964E-13</v>
      </c>
      <c r="GB118" s="14" t="e">
        <f t="shared" si="103"/>
        <v>#NUM!</v>
      </c>
      <c r="GC118" s="22" t="e">
        <f t="shared" si="79"/>
        <v>#NUM!</v>
      </c>
      <c r="GD118" s="60" t="e">
        <f t="shared" si="80"/>
        <v>#NUM!</v>
      </c>
      <c r="GE118" s="60">
        <f ca="1">AVERAGE(OFFSET($GD$3,0,0,'Données projet'!$E$17+1,1))-AVERAGE(OFFSET($H$3,0,0,'Données projet'!$E$17+1,1))</f>
        <v>147.5699668214238</v>
      </c>
      <c r="GF118" s="60">
        <f t="shared" si="104"/>
        <v>70.653739864908346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>
        <f>GU118*VLOOKUP('Données projet'!$B$18,Paramètres!$A$1:$I$89,3,0)*VLOOKUP('Données projet'!$B$18,Paramètres!$A$1:$I$89,5,0)</f>
        <v>0</v>
      </c>
      <c r="GW118" s="14" t="e">
        <f t="shared" si="105"/>
        <v>#NUM!</v>
      </c>
      <c r="GX118" s="22" t="e">
        <f t="shared" si="82"/>
        <v>#NUM!</v>
      </c>
      <c r="GY118" s="60" t="e">
        <f t="shared" si="83"/>
        <v>#NUM!</v>
      </c>
      <c r="GZ118" s="60">
        <f ca="1">AVERAGE(OFFSET($GY$3,0,0,'Données projet'!$E$18+1,1))-AVERAGE(OFFSET($H$3,0,0,'Données projet'!$E$18+1,1))</f>
        <v>136.03899433512379</v>
      </c>
      <c r="HA118" s="60">
        <f t="shared" si="106"/>
        <v>316.56646692826882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13.870094285185198</v>
      </c>
      <c r="HH118" s="23">
        <f>EXP(-LN(2)/25)*HH117+(1-EXP(-LN(2)/25))/(LN(2)/25)*Calculateur!HC118*Calculateur!HE118*VLOOKUP('Données projet'!$B$18,Paramètres!$A$1:$I$89,3,0)*0.475*44/12</f>
        <v>0.95506578080455562</v>
      </c>
      <c r="HI118" s="23">
        <f>EXP(-LN(2)/2)*HI117+(1-EXP(-LN(2)/2))/(LN(2)/2)*HC118*HF118*VLOOKUP('Données projet'!$B$18,Paramètres!$A$1:$I$89,3,0)*0.475*44/12</f>
        <v>4.7006807305451889E-13</v>
      </c>
      <c r="HJ118" s="24">
        <f t="shared" si="84"/>
        <v>14.825160065990225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333.99999999999966</v>
      </c>
      <c r="O119" s="14">
        <f>N119*VLOOKUP('Données projet'!$B$9,Paramètres!$A$1:$I$89,3,0)*VLOOKUP('Données projet'!$B$9,Paramètres!$A$1:$I$89,5,0)</f>
        <v>302.2031999999997</v>
      </c>
      <c r="P119" s="14">
        <f t="shared" si="87"/>
        <v>71.638141943842228</v>
      </c>
      <c r="Q119" s="22">
        <f t="shared" si="107"/>
        <v>651.1070038855247</v>
      </c>
      <c r="R119" s="60">
        <f t="shared" si="55"/>
        <v>944.44033721885808</v>
      </c>
      <c r="S119" s="60">
        <f ca="1">AVERAGE(OFFSET($R$3,0,0,'Données projet'!$E$9+1,1))-AVERAGE(OFFSET($H$3,0,0,'Données projet'!$E$9+1,1))</f>
        <v>384.44848355636935</v>
      </c>
      <c r="T119" s="60">
        <f t="shared" si="88"/>
        <v>203.5274665601915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260.76335999999958</v>
      </c>
      <c r="AK119" s="14">
        <f t="shared" si="89"/>
        <v>62.885067686031896</v>
      </c>
      <c r="AL119" s="22">
        <f t="shared" si="58"/>
        <v>563.68767821983818</v>
      </c>
      <c r="AM119" s="60">
        <f t="shared" si="59"/>
        <v>857.02101155317155</v>
      </c>
      <c r="AN119" s="60">
        <f ca="1">AVERAGE(OFFSET($AM$3,0,0,'Données projet'!$E$10+1,1))-AVERAGE(OFFSET($H$3,0,0,'Données projet'!$E$10+1,1))</f>
        <v>303.73499739059076</v>
      </c>
      <c r="AO119" s="60">
        <f t="shared" si="90"/>
        <v>172.32171001882188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</v>
      </c>
      <c r="BD119" s="13">
        <f>IF('Données projet'!$A$88&gt;35,BD118+BC119-BL118,IF(A119&lt;'Données projet'!$A$88,$BA$205^A119,IF(A119='Données projet'!$A$88,'Données projet'!$B$88,BD118+BC119-BL118)))</f>
        <v>333.99999999999966</v>
      </c>
      <c r="BE119" s="14">
        <f>BD119*VLOOKUP('Données projet'!$B$11,Paramètres!$A$1:$I$89,3,0)*VLOOKUP('Données projet'!$B$11,Paramètres!$A$1:$I$89,5,0)</f>
        <v>281.36159999999973</v>
      </c>
      <c r="BF119" s="14">
        <f t="shared" si="91"/>
        <v>67.254672812309238</v>
      </c>
      <c r="BG119" s="22">
        <f t="shared" si="61"/>
        <v>607.17334181477145</v>
      </c>
      <c r="BH119" s="60">
        <f t="shared" si="62"/>
        <v>900.5066751481047</v>
      </c>
      <c r="BI119" s="60">
        <f ca="1">AVERAGE(OFFSET($BH$3,0,0,'Données projet'!$E$11+1,1))-AVERAGE(OFFSET($H$3,0,0,'Données projet'!$E$11+1,1))</f>
        <v>352.29660374042186</v>
      </c>
      <c r="BJ119" s="60">
        <f t="shared" si="92"/>
        <v>187.26439695305618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242.77967999999964</v>
      </c>
      <c r="CA119" s="14">
        <f t="shared" si="93"/>
        <v>59.037190765212706</v>
      </c>
      <c r="CB119" s="22">
        <f t="shared" si="64"/>
        <v>525.66438324941146</v>
      </c>
      <c r="CC119" s="60">
        <f t="shared" si="65"/>
        <v>818.99771658274472</v>
      </c>
      <c r="CD119" s="60">
        <f ca="1">AVERAGE(OFFSET($CC$3,0,0,'Données projet'!$E$12+1,1))-AVERAGE(OFFSET($H$3,0,0,'Données projet'!$E$12+1,1))</f>
        <v>277.03735509061545</v>
      </c>
      <c r="CE119" s="60">
        <f t="shared" si="94"/>
        <v>158.16416492761959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292.23479999999955</v>
      </c>
      <c r="CV119" s="14">
        <f t="shared" si="95"/>
        <v>69.546103016553644</v>
      </c>
      <c r="CW119" s="22">
        <f t="shared" si="67"/>
        <v>630.10173942049676</v>
      </c>
      <c r="CX119" s="60">
        <f t="shared" si="68"/>
        <v>923.43507275383013</v>
      </c>
      <c r="CY119" s="60">
        <f ca="1">AVERAGE(OFFSET($CX$3,0,0,'Données projet'!$E$13+1,1))-AVERAGE(OFFSET($H$3,0,0,'Données projet'!$E$13+1,1))</f>
        <v>350.3652766444938</v>
      </c>
      <c r="CZ119" s="60">
        <f t="shared" si="96"/>
        <v>197.04549436738586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3.4106051316484809E-13</v>
      </c>
      <c r="DP119" s="18">
        <f>DO119*VLOOKUP('Données projet'!$B$14,Paramètres!$A$1:$I$89,3,0)*VLOOKUP('Données projet'!$B$14,Paramètres!$A$1:$I$89,5,0)</f>
        <v>2.7134774427395314E-13</v>
      </c>
      <c r="DQ119" s="14">
        <f t="shared" si="97"/>
        <v>3.6292411711343559E-12</v>
      </c>
      <c r="DR119" s="22">
        <f t="shared" si="70"/>
        <v>6.7935256943361388E-12</v>
      </c>
      <c r="DS119" s="60">
        <f t="shared" si="71"/>
        <v>293.33333333334014</v>
      </c>
      <c r="DT119" s="60">
        <f ca="1">AVERAGE(OFFSET($DS$3,0,0,'Données projet'!$E$14+1,1))-AVERAGE(OFFSET($H$3,0,0,'Données projet'!$E$14+1,1))</f>
        <v>382.01991140382955</v>
      </c>
      <c r="DU119" s="60">
        <f t="shared" si="98"/>
        <v>389.53897948144339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323.92137573760789</v>
      </c>
      <c r="EP119" s="60">
        <f t="shared" si="100"/>
        <v>389.53897948144339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2.2737367544323206E-13</v>
      </c>
      <c r="FF119" s="18">
        <f>FE119*VLOOKUP('Données projet'!$B$16,Paramètres!$A$1:$I$89,3,0)*VLOOKUP('Données projet'!$B$16,Paramètres!$A$1:$I$89,5,0)</f>
        <v>1.8089849618263545E-13</v>
      </c>
      <c r="FG119" s="14">
        <f t="shared" si="101"/>
        <v>2.536422473342444E-12</v>
      </c>
      <c r="FH119" s="22">
        <f t="shared" si="76"/>
        <v>4.7326673552561798E-12</v>
      </c>
      <c r="FI119" s="60">
        <f t="shared" si="77"/>
        <v>293.33333333333803</v>
      </c>
      <c r="FJ119" s="60">
        <f ca="1">AVERAGE(OFFSET($FI$3,0,0,'Données projet'!$E$16+1,1))-AVERAGE(OFFSET($H$3,0,0,'Données projet'!$E$16+1,1))</f>
        <v>219.61164494001008</v>
      </c>
      <c r="FK119" s="60">
        <f t="shared" si="102"/>
        <v>219.59799863414111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-6.2527760746888816E-13</v>
      </c>
      <c r="GA119" s="18">
        <f>FZ119*VLOOKUP('Données projet'!$B$17,Paramètres!$A$1:$I$89,3,0)*VLOOKUP('Données projet'!$B$17,Paramètres!$A$1:$I$89,5,0)</f>
        <v>-2.9262992029543964E-13</v>
      </c>
      <c r="GB119" s="14" t="e">
        <f t="shared" si="103"/>
        <v>#NUM!</v>
      </c>
      <c r="GC119" s="22" t="e">
        <f t="shared" si="79"/>
        <v>#NUM!</v>
      </c>
      <c r="GD119" s="60" t="e">
        <f t="shared" si="80"/>
        <v>#NUM!</v>
      </c>
      <c r="GE119" s="60">
        <f ca="1">AVERAGE(OFFSET($GD$3,0,0,'Données projet'!$E$17+1,1))-AVERAGE(OFFSET($H$3,0,0,'Données projet'!$E$17+1,1))</f>
        <v>147.5699668214238</v>
      </c>
      <c r="GF119" s="60">
        <f t="shared" si="104"/>
        <v>70.653739864908346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>
        <f>GU119*VLOOKUP('Données projet'!$B$18,Paramètres!$A$1:$I$89,3,0)*VLOOKUP('Données projet'!$B$18,Paramètres!$A$1:$I$89,5,0)</f>
        <v>0</v>
      </c>
      <c r="GW119" s="14" t="e">
        <f t="shared" si="105"/>
        <v>#NUM!</v>
      </c>
      <c r="GX119" s="22" t="e">
        <f t="shared" si="82"/>
        <v>#NUM!</v>
      </c>
      <c r="GY119" s="60" t="e">
        <f t="shared" si="83"/>
        <v>#NUM!</v>
      </c>
      <c r="GZ119" s="60">
        <f ca="1">AVERAGE(OFFSET($GY$3,0,0,'Données projet'!$E$18+1,1))-AVERAGE(OFFSET($H$3,0,0,'Données projet'!$E$18+1,1))</f>
        <v>136.03899433512379</v>
      </c>
      <c r="HA119" s="60">
        <f t="shared" si="106"/>
        <v>316.56646692826882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13.598110196174883</v>
      </c>
      <c r="HH119" s="23">
        <f>EXP(-LN(2)/25)*HH118+(1-EXP(-LN(2)/25))/(LN(2)/25)*Calculateur!HC119*Calculateur!HE119*VLOOKUP('Données projet'!$B$18,Paramètres!$A$1:$I$89,3,0)*0.475*44/12</f>
        <v>0.92894945680372842</v>
      </c>
      <c r="HI119" s="23">
        <f>EXP(-LN(2)/2)*HI118+(1-EXP(-LN(2)/2))/(LN(2)/2)*HC119*HF119*VLOOKUP('Données projet'!$B$18,Paramètres!$A$1:$I$89,3,0)*0.475*44/12</f>
        <v>3.3238832207614373E-13</v>
      </c>
      <c r="HJ119" s="24">
        <f t="shared" si="84"/>
        <v>14.527059652978943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338.49999999999966</v>
      </c>
      <c r="O120" s="14">
        <f>N120*VLOOKUP('Données projet'!$B$9,Paramètres!$A$1:$I$89,3,0)*VLOOKUP('Données projet'!$B$9,Paramètres!$A$1:$I$89,5,0)</f>
        <v>306.27479999999969</v>
      </c>
      <c r="P120" s="14">
        <f t="shared" si="87"/>
        <v>72.490313602282981</v>
      </c>
      <c r="Q120" s="22">
        <f t="shared" si="107"/>
        <v>659.68257285730897</v>
      </c>
      <c r="R120" s="60">
        <f t="shared" si="55"/>
        <v>953.01590619064223</v>
      </c>
      <c r="S120" s="60">
        <f ca="1">AVERAGE(OFFSET($R$3,0,0,'Données projet'!$E$9+1,1))-AVERAGE(OFFSET($H$3,0,0,'Données projet'!$E$9+1,1))</f>
        <v>384.44848355636935</v>
      </c>
      <c r="T120" s="60">
        <f t="shared" si="88"/>
        <v>203.5274665601915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264.11111999999957</v>
      </c>
      <c r="AK120" s="14">
        <f t="shared" si="89"/>
        <v>63.597900866870546</v>
      </c>
      <c r="AL120" s="22">
        <f t="shared" si="58"/>
        <v>570.75987800979885</v>
      </c>
      <c r="AM120" s="60">
        <f t="shared" si="59"/>
        <v>864.09321134313223</v>
      </c>
      <c r="AN120" s="60">
        <f ca="1">AVERAGE(OFFSET($AM$3,0,0,'Données projet'!$E$10+1,1))-AVERAGE(OFFSET($H$3,0,0,'Données projet'!$E$10+1,1))</f>
        <v>303.73499739059076</v>
      </c>
      <c r="AO120" s="60">
        <f t="shared" si="90"/>
        <v>172.32171001882188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</v>
      </c>
      <c r="BD120" s="13">
        <f>IF('Données projet'!$A$88&gt;35,BD119+BC120-BL119,IF(A120&lt;'Données projet'!$A$88,$BA$205^A120,IF(A120='Données projet'!$A$88,'Données projet'!$B$88,BD119+BC120-BL119)))</f>
        <v>338.49999999999966</v>
      </c>
      <c r="BE120" s="14">
        <f>BD120*VLOOKUP('Données projet'!$B$11,Paramètres!$A$1:$I$89,3,0)*VLOOKUP('Données projet'!$B$11,Paramètres!$A$1:$I$89,5,0)</f>
        <v>285.15239999999972</v>
      </c>
      <c r="BF120" s="14">
        <f t="shared" si="91"/>
        <v>68.054700905071442</v>
      </c>
      <c r="BG120" s="22">
        <f t="shared" si="61"/>
        <v>615.1690340763322</v>
      </c>
      <c r="BH120" s="60">
        <f t="shared" si="62"/>
        <v>908.50236740966557</v>
      </c>
      <c r="BI120" s="60">
        <f ca="1">AVERAGE(OFFSET($BH$3,0,0,'Données projet'!$E$11+1,1))-AVERAGE(OFFSET($H$3,0,0,'Données projet'!$E$11+1,1))</f>
        <v>352.29660374042186</v>
      </c>
      <c r="BJ120" s="60">
        <f t="shared" si="92"/>
        <v>187.26439695305618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245.89655999999962</v>
      </c>
      <c r="CA120" s="14">
        <f t="shared" si="93"/>
        <v>59.706406368049571</v>
      </c>
      <c r="CB120" s="22">
        <f t="shared" si="64"/>
        <v>532.25849975768563</v>
      </c>
      <c r="CC120" s="60">
        <f t="shared" si="65"/>
        <v>825.591833091019</v>
      </c>
      <c r="CD120" s="60">
        <f ca="1">AVERAGE(OFFSET($CC$3,0,0,'Données projet'!$E$12+1,1))-AVERAGE(OFFSET($H$3,0,0,'Données projet'!$E$12+1,1))</f>
        <v>277.03735509061545</v>
      </c>
      <c r="CE120" s="60">
        <f t="shared" si="94"/>
        <v>158.16416492761959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295.98659999999956</v>
      </c>
      <c r="CV120" s="14">
        <f t="shared" si="95"/>
        <v>70.334442310004661</v>
      </c>
      <c r="CW120" s="22">
        <f t="shared" si="67"/>
        <v>638.00914868992402</v>
      </c>
      <c r="CX120" s="60">
        <f t="shared" si="68"/>
        <v>931.34248202325739</v>
      </c>
      <c r="CY120" s="60">
        <f ca="1">AVERAGE(OFFSET($CX$3,0,0,'Données projet'!$E$13+1,1))-AVERAGE(OFFSET($H$3,0,0,'Données projet'!$E$13+1,1))</f>
        <v>350.3652766444938</v>
      </c>
      <c r="CZ120" s="60">
        <f t="shared" si="96"/>
        <v>197.04549436738586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3.4106051316484809E-13</v>
      </c>
      <c r="DP120" s="18">
        <f>DO120*VLOOKUP('Données projet'!$B$14,Paramètres!$A$1:$I$89,3,0)*VLOOKUP('Données projet'!$B$14,Paramètres!$A$1:$I$89,5,0)</f>
        <v>2.7134774427395314E-13</v>
      </c>
      <c r="DQ120" s="14">
        <f t="shared" si="97"/>
        <v>3.6292411711343559E-12</v>
      </c>
      <c r="DR120" s="22">
        <f t="shared" si="70"/>
        <v>6.7935256943361388E-12</v>
      </c>
      <c r="DS120" s="60">
        <f t="shared" si="71"/>
        <v>293.33333333334014</v>
      </c>
      <c r="DT120" s="60">
        <f ca="1">AVERAGE(OFFSET($DS$3,0,0,'Données projet'!$E$14+1,1))-AVERAGE(OFFSET($H$3,0,0,'Données projet'!$E$14+1,1))</f>
        <v>382.01991140382955</v>
      </c>
      <c r="DU120" s="60">
        <f t="shared" si="98"/>
        <v>389.53897948144339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323.92137573760789</v>
      </c>
      <c r="EP120" s="60">
        <f t="shared" si="100"/>
        <v>389.53897948144339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2.2737367544323206E-13</v>
      </c>
      <c r="FF120" s="18">
        <f>FE120*VLOOKUP('Données projet'!$B$16,Paramètres!$A$1:$I$89,3,0)*VLOOKUP('Données projet'!$B$16,Paramètres!$A$1:$I$89,5,0)</f>
        <v>1.8089849618263545E-13</v>
      </c>
      <c r="FG120" s="14">
        <f t="shared" si="101"/>
        <v>2.536422473342444E-12</v>
      </c>
      <c r="FH120" s="22">
        <f t="shared" si="76"/>
        <v>4.7326673552561798E-12</v>
      </c>
      <c r="FI120" s="60">
        <f t="shared" si="77"/>
        <v>293.33333333333803</v>
      </c>
      <c r="FJ120" s="60">
        <f ca="1">AVERAGE(OFFSET($FI$3,0,0,'Données projet'!$E$16+1,1))-AVERAGE(OFFSET($H$3,0,0,'Données projet'!$E$16+1,1))</f>
        <v>219.61164494001008</v>
      </c>
      <c r="FK120" s="60">
        <f t="shared" si="102"/>
        <v>219.59799863414111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-6.2527760746888816E-13</v>
      </c>
      <c r="GA120" s="18">
        <f>FZ120*VLOOKUP('Données projet'!$B$17,Paramètres!$A$1:$I$89,3,0)*VLOOKUP('Données projet'!$B$17,Paramètres!$A$1:$I$89,5,0)</f>
        <v>-2.9262992029543964E-13</v>
      </c>
      <c r="GB120" s="14" t="e">
        <f t="shared" si="103"/>
        <v>#NUM!</v>
      </c>
      <c r="GC120" s="22" t="e">
        <f t="shared" si="79"/>
        <v>#NUM!</v>
      </c>
      <c r="GD120" s="60" t="e">
        <f t="shared" si="80"/>
        <v>#NUM!</v>
      </c>
      <c r="GE120" s="60">
        <f ca="1">AVERAGE(OFFSET($GD$3,0,0,'Données projet'!$E$17+1,1))-AVERAGE(OFFSET($H$3,0,0,'Données projet'!$E$17+1,1))</f>
        <v>147.5699668214238</v>
      </c>
      <c r="GF120" s="60">
        <f t="shared" si="104"/>
        <v>70.653739864908346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>
        <f>GU120*VLOOKUP('Données projet'!$B$18,Paramètres!$A$1:$I$89,3,0)*VLOOKUP('Données projet'!$B$18,Paramètres!$A$1:$I$89,5,0)</f>
        <v>0</v>
      </c>
      <c r="GW120" s="14" t="e">
        <f t="shared" si="105"/>
        <v>#NUM!</v>
      </c>
      <c r="GX120" s="22" t="e">
        <f t="shared" si="82"/>
        <v>#NUM!</v>
      </c>
      <c r="GY120" s="60" t="e">
        <f t="shared" si="83"/>
        <v>#NUM!</v>
      </c>
      <c r="GZ120" s="60">
        <f ca="1">AVERAGE(OFFSET($GY$3,0,0,'Données projet'!$E$18+1,1))-AVERAGE(OFFSET($H$3,0,0,'Données projet'!$E$18+1,1))</f>
        <v>136.03899433512379</v>
      </c>
      <c r="HA120" s="60">
        <f t="shared" si="106"/>
        <v>316.56646692826882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13.331459549256145</v>
      </c>
      <c r="HH120" s="23">
        <f>EXP(-LN(2)/25)*HH119+(1-EXP(-LN(2)/25))/(LN(2)/25)*Calculateur!HC120*Calculateur!HE120*VLOOKUP('Données projet'!$B$18,Paramètres!$A$1:$I$89,3,0)*0.475*44/12</f>
        <v>0.90354728505610171</v>
      </c>
      <c r="HI120" s="23">
        <f>EXP(-LN(2)/2)*HI119+(1-EXP(-LN(2)/2))/(LN(2)/2)*HC120*HF120*VLOOKUP('Données projet'!$B$18,Paramètres!$A$1:$I$89,3,0)*0.475*44/12</f>
        <v>2.3503403652725945E-13</v>
      </c>
      <c r="HJ120" s="24">
        <f t="shared" si="84"/>
        <v>14.235006834312481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342.99999999999966</v>
      </c>
      <c r="O121" s="14">
        <f>N121*VLOOKUP('Données projet'!$B$9,Paramètres!$A$1:$I$89,3,0)*VLOOKUP('Données projet'!$B$9,Paramètres!$A$1:$I$89,5,0)</f>
        <v>310.34639999999968</v>
      </c>
      <c r="P121" s="14">
        <f t="shared" si="87"/>
        <v>73.341167576152998</v>
      </c>
      <c r="Q121" s="22">
        <f t="shared" si="107"/>
        <v>668.25584686179923</v>
      </c>
      <c r="R121" s="60">
        <f t="shared" si="55"/>
        <v>961.58918019513249</v>
      </c>
      <c r="S121" s="60">
        <f ca="1">AVERAGE(OFFSET($R$3,0,0,'Données projet'!$E$9+1,1))-AVERAGE(OFFSET($H$3,0,0,'Données projet'!$E$9+1,1))</f>
        <v>384.44848355636935</v>
      </c>
      <c r="T121" s="60">
        <f t="shared" si="88"/>
        <v>203.5274665601915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267.45887999999951</v>
      </c>
      <c r="AK121" s="14">
        <f t="shared" si="89"/>
        <v>64.309683053152327</v>
      </c>
      <c r="AL121" s="22">
        <f t="shared" si="58"/>
        <v>577.8302473175728</v>
      </c>
      <c r="AM121" s="60">
        <f t="shared" si="59"/>
        <v>871.16358065090617</v>
      </c>
      <c r="AN121" s="60">
        <f ca="1">AVERAGE(OFFSET($AM$3,0,0,'Données projet'!$E$10+1,1))-AVERAGE(OFFSET($H$3,0,0,'Données projet'!$E$10+1,1))</f>
        <v>303.73499739059076</v>
      </c>
      <c r="AO121" s="60">
        <f t="shared" si="90"/>
        <v>172.32171001882188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</v>
      </c>
      <c r="BD121" s="13">
        <f>IF('Données projet'!$A$88&gt;35,BD120+BC121-BL120,IF(A121&lt;'Données projet'!$A$88,$BA$205^A121,IF(A121='Données projet'!$A$88,'Données projet'!$B$88,BD120+BC121-BL120)))</f>
        <v>342.99999999999966</v>
      </c>
      <c r="BE121" s="14">
        <f>BD121*VLOOKUP('Données projet'!$B$11,Paramètres!$A$1:$I$89,3,0)*VLOOKUP('Données projet'!$B$11,Paramètres!$A$1:$I$89,5,0)</f>
        <v>288.94319999999976</v>
      </c>
      <c r="BF121" s="14">
        <f t="shared" si="91"/>
        <v>68.853491941116658</v>
      </c>
      <c r="BG121" s="22">
        <f t="shared" si="61"/>
        <v>623.16257179744446</v>
      </c>
      <c r="BH121" s="60">
        <f t="shared" si="62"/>
        <v>916.49590513077783</v>
      </c>
      <c r="BI121" s="60">
        <f ca="1">AVERAGE(OFFSET($BH$3,0,0,'Données projet'!$E$11+1,1))-AVERAGE(OFFSET($H$3,0,0,'Données projet'!$E$11+1,1))</f>
        <v>352.29660374042186</v>
      </c>
      <c r="BJ121" s="60">
        <f t="shared" si="92"/>
        <v>187.26439695305618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249.0134399999996</v>
      </c>
      <c r="CA121" s="14">
        <f t="shared" si="93"/>
        <v>60.374635285677471</v>
      </c>
      <c r="CB121" s="22">
        <f t="shared" si="64"/>
        <v>538.85089778922088</v>
      </c>
      <c r="CC121" s="60">
        <f t="shared" si="65"/>
        <v>832.18423112255414</v>
      </c>
      <c r="CD121" s="60">
        <f ca="1">AVERAGE(OFFSET($CC$3,0,0,'Données projet'!$E$12+1,1))-AVERAGE(OFFSET($H$3,0,0,'Données projet'!$E$12+1,1))</f>
        <v>277.03735509061545</v>
      </c>
      <c r="CE121" s="60">
        <f t="shared" si="94"/>
        <v>158.16416492761959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299.73839999999956</v>
      </c>
      <c r="CV121" s="14">
        <f t="shared" si="95"/>
        <v>71.121619283394352</v>
      </c>
      <c r="CW121" s="22">
        <f t="shared" si="67"/>
        <v>645.91453358524438</v>
      </c>
      <c r="CX121" s="60">
        <f t="shared" si="68"/>
        <v>939.24786691857776</v>
      </c>
      <c r="CY121" s="60">
        <f ca="1">AVERAGE(OFFSET($CX$3,0,0,'Données projet'!$E$13+1,1))-AVERAGE(OFFSET($H$3,0,0,'Données projet'!$E$13+1,1))</f>
        <v>350.3652766444938</v>
      </c>
      <c r="CZ121" s="60">
        <f t="shared" si="96"/>
        <v>197.04549436738586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3.4106051316484809E-13</v>
      </c>
      <c r="DP121" s="18">
        <f>DO121*VLOOKUP('Données projet'!$B$14,Paramètres!$A$1:$I$89,3,0)*VLOOKUP('Données projet'!$B$14,Paramètres!$A$1:$I$89,5,0)</f>
        <v>2.7134774427395314E-13</v>
      </c>
      <c r="DQ121" s="14">
        <f t="shared" si="97"/>
        <v>3.6292411711343559E-12</v>
      </c>
      <c r="DR121" s="22">
        <f t="shared" si="70"/>
        <v>6.7935256943361388E-12</v>
      </c>
      <c r="DS121" s="60">
        <f t="shared" si="71"/>
        <v>293.33333333334014</v>
      </c>
      <c r="DT121" s="60">
        <f ca="1">AVERAGE(OFFSET($DS$3,0,0,'Données projet'!$E$14+1,1))-AVERAGE(OFFSET($H$3,0,0,'Données projet'!$E$14+1,1))</f>
        <v>382.01991140382955</v>
      </c>
      <c r="DU121" s="60">
        <f t="shared" si="98"/>
        <v>389.53897948144339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323.92137573760789</v>
      </c>
      <c r="EP121" s="60">
        <f t="shared" si="100"/>
        <v>389.53897948144339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2.2737367544323206E-13</v>
      </c>
      <c r="FF121" s="18">
        <f>FE121*VLOOKUP('Données projet'!$B$16,Paramètres!$A$1:$I$89,3,0)*VLOOKUP('Données projet'!$B$16,Paramètres!$A$1:$I$89,5,0)</f>
        <v>1.8089849618263545E-13</v>
      </c>
      <c r="FG121" s="14">
        <f t="shared" si="101"/>
        <v>2.536422473342444E-12</v>
      </c>
      <c r="FH121" s="22">
        <f t="shared" si="76"/>
        <v>4.7326673552561798E-12</v>
      </c>
      <c r="FI121" s="60">
        <f t="shared" si="77"/>
        <v>293.33333333333803</v>
      </c>
      <c r="FJ121" s="60">
        <f ca="1">AVERAGE(OFFSET($FI$3,0,0,'Données projet'!$E$16+1,1))-AVERAGE(OFFSET($H$3,0,0,'Données projet'!$E$16+1,1))</f>
        <v>219.61164494001008</v>
      </c>
      <c r="FK121" s="60">
        <f t="shared" si="102"/>
        <v>219.59799863414111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-6.2527760746888816E-13</v>
      </c>
      <c r="GA121" s="18">
        <f>FZ121*VLOOKUP('Données projet'!$B$17,Paramètres!$A$1:$I$89,3,0)*VLOOKUP('Données projet'!$B$17,Paramètres!$A$1:$I$89,5,0)</f>
        <v>-2.9262992029543964E-13</v>
      </c>
      <c r="GB121" s="14" t="e">
        <f t="shared" si="103"/>
        <v>#NUM!</v>
      </c>
      <c r="GC121" s="22" t="e">
        <f t="shared" si="79"/>
        <v>#NUM!</v>
      </c>
      <c r="GD121" s="60" t="e">
        <f t="shared" si="80"/>
        <v>#NUM!</v>
      </c>
      <c r="GE121" s="60">
        <f ca="1">AVERAGE(OFFSET($GD$3,0,0,'Données projet'!$E$17+1,1))-AVERAGE(OFFSET($H$3,0,0,'Données projet'!$E$17+1,1))</f>
        <v>147.5699668214238</v>
      </c>
      <c r="GF121" s="60">
        <f t="shared" si="104"/>
        <v>70.653739864908346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>
        <f>GU121*VLOOKUP('Données projet'!$B$18,Paramètres!$A$1:$I$89,3,0)*VLOOKUP('Données projet'!$B$18,Paramètres!$A$1:$I$89,5,0)</f>
        <v>0</v>
      </c>
      <c r="GW121" s="14" t="e">
        <f t="shared" si="105"/>
        <v>#NUM!</v>
      </c>
      <c r="GX121" s="22" t="e">
        <f t="shared" si="82"/>
        <v>#NUM!</v>
      </c>
      <c r="GY121" s="60" t="e">
        <f t="shared" si="83"/>
        <v>#NUM!</v>
      </c>
      <c r="GZ121" s="60">
        <f ca="1">AVERAGE(OFFSET($GY$3,0,0,'Données projet'!$E$18+1,1))-AVERAGE(OFFSET($H$3,0,0,'Données projet'!$E$18+1,1))</f>
        <v>136.03899433512379</v>
      </c>
      <c r="HA121" s="60">
        <f t="shared" si="106"/>
        <v>316.56646692826882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13.07003775888265</v>
      </c>
      <c r="HH121" s="23">
        <f>EXP(-LN(2)/25)*HH120+(1-EXP(-LN(2)/25))/(LN(2)/25)*Calculateur!HC121*Calculateur!HE121*VLOOKUP('Données projet'!$B$18,Paramètres!$A$1:$I$89,3,0)*0.475*44/12</f>
        <v>0.87883973703075602</v>
      </c>
      <c r="HI121" s="23">
        <f>EXP(-LN(2)/2)*HI120+(1-EXP(-LN(2)/2))/(LN(2)/2)*HC121*HF121*VLOOKUP('Données projet'!$B$18,Paramètres!$A$1:$I$89,3,0)*0.475*44/12</f>
        <v>1.6619416103807186E-13</v>
      </c>
      <c r="HJ121" s="24">
        <f t="shared" si="84"/>
        <v>13.948877495913573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347.49999999999966</v>
      </c>
      <c r="O122" s="14">
        <f>N122*VLOOKUP('Données projet'!$B$9,Paramètres!$A$1:$I$89,3,0)*VLOOKUP('Données projet'!$B$9,Paramètres!$A$1:$I$89,5,0)</f>
        <v>314.41799999999967</v>
      </c>
      <c r="P122" s="14">
        <f t="shared" si="87"/>
        <v>74.190723151497266</v>
      </c>
      <c r="Q122" s="22">
        <f t="shared" si="107"/>
        <v>676.82685948885705</v>
      </c>
      <c r="R122" s="60">
        <f t="shared" si="55"/>
        <v>970.16019282219031</v>
      </c>
      <c r="S122" s="60">
        <f ca="1">AVERAGE(OFFSET($R$3,0,0,'Données projet'!$E$9+1,1))-AVERAGE(OFFSET($H$3,0,0,'Données projet'!$E$9+1,1))</f>
        <v>384.44848355636935</v>
      </c>
      <c r="T122" s="60">
        <f t="shared" si="88"/>
        <v>203.5274665601915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270.80663999999956</v>
      </c>
      <c r="AK122" s="14">
        <f t="shared" si="89"/>
        <v>65.020428921429911</v>
      </c>
      <c r="AL122" s="22">
        <f t="shared" si="58"/>
        <v>584.89881170482306</v>
      </c>
      <c r="AM122" s="60">
        <f t="shared" si="59"/>
        <v>878.23214503815643</v>
      </c>
      <c r="AN122" s="60">
        <f ca="1">AVERAGE(OFFSET($AM$3,0,0,'Données projet'!$E$10+1,1))-AVERAGE(OFFSET($H$3,0,0,'Données projet'!$E$10+1,1))</f>
        <v>303.73499739059076</v>
      </c>
      <c r="AO122" s="60">
        <f t="shared" si="90"/>
        <v>172.32171001882188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</v>
      </c>
      <c r="BD122" s="13">
        <f>IF('Données projet'!$A$88&gt;35,BD121+BC122-BL121,IF(A122&lt;'Données projet'!$A$88,$BA$205^A122,IF(A122='Données projet'!$A$88,'Données projet'!$B$88,BD121+BC122-BL121)))</f>
        <v>347.49999999999966</v>
      </c>
      <c r="BE122" s="14">
        <f>BD122*VLOOKUP('Données projet'!$B$11,Paramètres!$A$1:$I$89,3,0)*VLOOKUP('Données projet'!$B$11,Paramètres!$A$1:$I$89,5,0)</f>
        <v>292.73399999999975</v>
      </c>
      <c r="BF122" s="14">
        <f t="shared" si="91"/>
        <v>69.651064026395574</v>
      </c>
      <c r="BG122" s="22">
        <f t="shared" si="61"/>
        <v>631.15398651263843</v>
      </c>
      <c r="BH122" s="60">
        <f t="shared" si="62"/>
        <v>924.4873198459718</v>
      </c>
      <c r="BI122" s="60">
        <f ca="1">AVERAGE(OFFSET($BH$3,0,0,'Données projet'!$E$11+1,1))-AVERAGE(OFFSET($H$3,0,0,'Données projet'!$E$11+1,1))</f>
        <v>352.29660374042186</v>
      </c>
      <c r="BJ122" s="60">
        <f t="shared" si="92"/>
        <v>187.26439695305618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252.13031999999959</v>
      </c>
      <c r="CA122" s="14">
        <f t="shared" si="93"/>
        <v>61.041891296605009</v>
      </c>
      <c r="CB122" s="22">
        <f t="shared" si="64"/>
        <v>545.44160134158631</v>
      </c>
      <c r="CC122" s="60">
        <f t="shared" si="65"/>
        <v>838.77493467491968</v>
      </c>
      <c r="CD122" s="60">
        <f ca="1">AVERAGE(OFFSET($CC$3,0,0,'Données projet'!$E$12+1,1))-AVERAGE(OFFSET($H$3,0,0,'Données projet'!$E$12+1,1))</f>
        <v>277.03735509061545</v>
      </c>
      <c r="CE122" s="60">
        <f t="shared" si="94"/>
        <v>158.16416492761959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303.4901999999995</v>
      </c>
      <c r="CV122" s="14">
        <f t="shared" si="95"/>
        <v>71.907650167874138</v>
      </c>
      <c r="CW122" s="22">
        <f t="shared" si="67"/>
        <v>653.81792237571324</v>
      </c>
      <c r="CX122" s="60">
        <f t="shared" si="68"/>
        <v>947.15125570904661</v>
      </c>
      <c r="CY122" s="60">
        <f ca="1">AVERAGE(OFFSET($CX$3,0,0,'Données projet'!$E$13+1,1))-AVERAGE(OFFSET($H$3,0,0,'Données projet'!$E$13+1,1))</f>
        <v>350.3652766444938</v>
      </c>
      <c r="CZ122" s="60">
        <f t="shared" si="96"/>
        <v>197.04549436738586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3.4106051316484809E-13</v>
      </c>
      <c r="DP122" s="18">
        <f>DO122*VLOOKUP('Données projet'!$B$14,Paramètres!$A$1:$I$89,3,0)*VLOOKUP('Données projet'!$B$14,Paramètres!$A$1:$I$89,5,0)</f>
        <v>2.7134774427395314E-13</v>
      </c>
      <c r="DQ122" s="14">
        <f t="shared" si="97"/>
        <v>3.6292411711343559E-12</v>
      </c>
      <c r="DR122" s="22">
        <f t="shared" si="70"/>
        <v>6.7935256943361388E-12</v>
      </c>
      <c r="DS122" s="60">
        <f t="shared" si="71"/>
        <v>293.33333333334014</v>
      </c>
      <c r="DT122" s="60">
        <f ca="1">AVERAGE(OFFSET($DS$3,0,0,'Données projet'!$E$14+1,1))-AVERAGE(OFFSET($H$3,0,0,'Données projet'!$E$14+1,1))</f>
        <v>382.01991140382955</v>
      </c>
      <c r="DU122" s="60">
        <f t="shared" si="98"/>
        <v>389.53897948144339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323.92137573760789</v>
      </c>
      <c r="EP122" s="60">
        <f t="shared" si="100"/>
        <v>389.53897948144339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2.2737367544323206E-13</v>
      </c>
      <c r="FF122" s="18">
        <f>FE122*VLOOKUP('Données projet'!$B$16,Paramètres!$A$1:$I$89,3,0)*VLOOKUP('Données projet'!$B$16,Paramètres!$A$1:$I$89,5,0)</f>
        <v>1.8089849618263545E-13</v>
      </c>
      <c r="FG122" s="14">
        <f t="shared" si="101"/>
        <v>2.536422473342444E-12</v>
      </c>
      <c r="FH122" s="22">
        <f t="shared" si="76"/>
        <v>4.7326673552561798E-12</v>
      </c>
      <c r="FI122" s="60">
        <f t="shared" si="77"/>
        <v>293.33333333333803</v>
      </c>
      <c r="FJ122" s="60">
        <f ca="1">AVERAGE(OFFSET($FI$3,0,0,'Données projet'!$E$16+1,1))-AVERAGE(OFFSET($H$3,0,0,'Données projet'!$E$16+1,1))</f>
        <v>219.61164494001008</v>
      </c>
      <c r="FK122" s="60">
        <f t="shared" si="102"/>
        <v>219.59799863414111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-6.2527760746888816E-13</v>
      </c>
      <c r="GA122" s="18">
        <f>FZ122*VLOOKUP('Données projet'!$B$17,Paramètres!$A$1:$I$89,3,0)*VLOOKUP('Données projet'!$B$17,Paramètres!$A$1:$I$89,5,0)</f>
        <v>-2.9262992029543964E-13</v>
      </c>
      <c r="GB122" s="14" t="e">
        <f t="shared" si="103"/>
        <v>#NUM!</v>
      </c>
      <c r="GC122" s="22" t="e">
        <f t="shared" si="79"/>
        <v>#NUM!</v>
      </c>
      <c r="GD122" s="60" t="e">
        <f t="shared" si="80"/>
        <v>#NUM!</v>
      </c>
      <c r="GE122" s="60">
        <f ca="1">AVERAGE(OFFSET($GD$3,0,0,'Données projet'!$E$17+1,1))-AVERAGE(OFFSET($H$3,0,0,'Données projet'!$E$17+1,1))</f>
        <v>147.5699668214238</v>
      </c>
      <c r="GF122" s="60">
        <f t="shared" si="104"/>
        <v>70.653739864908346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>
        <f>GU122*VLOOKUP('Données projet'!$B$18,Paramètres!$A$1:$I$89,3,0)*VLOOKUP('Données projet'!$B$18,Paramètres!$A$1:$I$89,5,0)</f>
        <v>0</v>
      </c>
      <c r="GW122" s="14" t="e">
        <f t="shared" si="105"/>
        <v>#NUM!</v>
      </c>
      <c r="GX122" s="22" t="e">
        <f t="shared" si="82"/>
        <v>#NUM!</v>
      </c>
      <c r="GY122" s="60" t="e">
        <f t="shared" si="83"/>
        <v>#NUM!</v>
      </c>
      <c r="GZ122" s="60">
        <f ca="1">AVERAGE(OFFSET($GY$3,0,0,'Données projet'!$E$18+1,1))-AVERAGE(OFFSET($H$3,0,0,'Données projet'!$E$18+1,1))</f>
        <v>136.03899433512379</v>
      </c>
      <c r="HA122" s="60">
        <f t="shared" si="106"/>
        <v>316.56646692826882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12.813742290366831</v>
      </c>
      <c r="HH122" s="23">
        <f>EXP(-LN(2)/25)*HH121+(1-EXP(-LN(2)/25))/(LN(2)/25)*Calculateur!HC122*Calculateur!HE122*VLOOKUP('Données projet'!$B$18,Paramètres!$A$1:$I$89,3,0)*0.475*44/12</f>
        <v>0.8548078182054768</v>
      </c>
      <c r="HI122" s="23">
        <f>EXP(-LN(2)/2)*HI121+(1-EXP(-LN(2)/2))/(LN(2)/2)*HC122*HF122*VLOOKUP('Données projet'!$B$18,Paramètres!$A$1:$I$89,3,0)*0.475*44/12</f>
        <v>1.1751701826362972E-13</v>
      </c>
      <c r="HJ122" s="24">
        <f t="shared" si="84"/>
        <v>13.668550108572425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351.99999999999966</v>
      </c>
      <c r="O123" s="14">
        <f>N123*VLOOKUP('Données projet'!$B$9,Paramètres!$A$1:$I$89,3,0)*VLOOKUP('Données projet'!$B$9,Paramètres!$A$1:$I$89,5,0)</f>
        <v>318.48959999999971</v>
      </c>
      <c r="P123" s="14">
        <f t="shared" si="87"/>
        <v>75.038999086150227</v>
      </c>
      <c r="Q123" s="22">
        <f t="shared" si="107"/>
        <v>685.39564340837785</v>
      </c>
      <c r="R123" s="60">
        <f t="shared" si="55"/>
        <v>978.72897674171122</v>
      </c>
      <c r="S123" s="60">
        <f ca="1">AVERAGE(OFFSET($R$3,0,0,'Données projet'!$E$9+1,1))-AVERAGE(OFFSET($H$3,0,0,'Données projet'!$E$9+1,1))</f>
        <v>384.44848355636935</v>
      </c>
      <c r="T123" s="60">
        <f t="shared" si="88"/>
        <v>203.5274665601915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274.15439999999955</v>
      </c>
      <c r="AK123" s="14">
        <f t="shared" si="89"/>
        <v>65.730152764515779</v>
      </c>
      <c r="AL123" s="22">
        <f t="shared" si="58"/>
        <v>591.96559606486414</v>
      </c>
      <c r="AM123" s="60">
        <f t="shared" si="59"/>
        <v>885.29892939819752</v>
      </c>
      <c r="AN123" s="60">
        <f ca="1">AVERAGE(OFFSET($AM$3,0,0,'Données projet'!$E$10+1,1))-AVERAGE(OFFSET($H$3,0,0,'Données projet'!$E$10+1,1))</f>
        <v>303.73499739059076</v>
      </c>
      <c r="AO123" s="60">
        <f t="shared" si="90"/>
        <v>172.32171001882188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352</v>
      </c>
      <c r="BB123" s="13">
        <f>VLOOKUP(A123,'Données projet'!$A$87:$I$107,9,0)</f>
        <v>4.5</v>
      </c>
      <c r="BC123" s="13">
        <f t="array" ref="BC123">INDEX(BB:BB,MIN(IF(ISNUMBER(BB123:BB319),ROW(BB123:BB319),"")))</f>
        <v>4.5</v>
      </c>
      <c r="BD123" s="13">
        <f>IF('Données projet'!$A$88&gt;35,BD122+BC123-BL122,IF(A123&lt;'Données projet'!$A$88,$BA$205^A123,IF(A123='Données projet'!$A$88,'Données projet'!$B$88,BD122+BC123-BL122)))</f>
        <v>351.99999999999966</v>
      </c>
      <c r="BE123" s="14">
        <f>BD123*VLOOKUP('Données projet'!$B$11,Paramètres!$A$1:$I$89,3,0)*VLOOKUP('Données projet'!$B$11,Paramètres!$A$1:$I$89,5,0)</f>
        <v>296.52479999999974</v>
      </c>
      <c r="BF123" s="14">
        <f t="shared" si="91"/>
        <v>70.447434770968471</v>
      </c>
      <c r="BG123" s="22">
        <f t="shared" si="61"/>
        <v>639.1433088927696</v>
      </c>
      <c r="BH123" s="60">
        <f t="shared" si="62"/>
        <v>932.47664222610297</v>
      </c>
      <c r="BI123" s="60">
        <f ca="1">AVERAGE(OFFSET($BH$3,0,0,'Données projet'!$E$11+1,1))-AVERAGE(OFFSET($H$3,0,0,'Données projet'!$E$11+1,1))</f>
        <v>352.29660374042186</v>
      </c>
      <c r="BJ123" s="60">
        <f t="shared" si="92"/>
        <v>187.26439695305618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47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255.24719999999957</v>
      </c>
      <c r="CA123" s="14">
        <f t="shared" si="93"/>
        <v>61.708187819081161</v>
      </c>
      <c r="CB123" s="22">
        <f t="shared" si="64"/>
        <v>552.0306337848989</v>
      </c>
      <c r="CC123" s="60">
        <f t="shared" si="65"/>
        <v>845.36396711823227</v>
      </c>
      <c r="CD123" s="60">
        <f ca="1">AVERAGE(OFFSET($CC$3,0,0,'Données projet'!$E$12+1,1))-AVERAGE(OFFSET($H$3,0,0,'Données projet'!$E$12+1,1))</f>
        <v>277.03735509061545</v>
      </c>
      <c r="CE123" s="60">
        <f t="shared" si="94"/>
        <v>158.16416492761959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307.24199999999951</v>
      </c>
      <c r="CV123" s="14">
        <f t="shared" si="95"/>
        <v>72.692550770207717</v>
      </c>
      <c r="CW123" s="22">
        <f t="shared" si="67"/>
        <v>661.71934259144427</v>
      </c>
      <c r="CX123" s="60">
        <f t="shared" si="68"/>
        <v>955.05267592477753</v>
      </c>
      <c r="CY123" s="60">
        <f ca="1">AVERAGE(OFFSET($CX$3,0,0,'Données projet'!$E$13+1,1))-AVERAGE(OFFSET($H$3,0,0,'Données projet'!$E$13+1,1))</f>
        <v>350.3652766444938</v>
      </c>
      <c r="CZ123" s="60">
        <f t="shared" si="96"/>
        <v>197.04549436738586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3.4106051316484809E-13</v>
      </c>
      <c r="DP123" s="18">
        <f>DO123*VLOOKUP('Données projet'!$B$14,Paramètres!$A$1:$I$89,3,0)*VLOOKUP('Données projet'!$B$14,Paramètres!$A$1:$I$89,5,0)</f>
        <v>2.7134774427395314E-13</v>
      </c>
      <c r="DQ123" s="14">
        <f t="shared" si="97"/>
        <v>3.6292411711343559E-12</v>
      </c>
      <c r="DR123" s="22">
        <f t="shared" si="70"/>
        <v>6.7935256943361388E-12</v>
      </c>
      <c r="DS123" s="60">
        <f t="shared" si="71"/>
        <v>293.33333333334014</v>
      </c>
      <c r="DT123" s="60">
        <f ca="1">AVERAGE(OFFSET($DS$3,0,0,'Données projet'!$E$14+1,1))-AVERAGE(OFFSET($H$3,0,0,'Données projet'!$E$14+1,1))</f>
        <v>382.01991140382955</v>
      </c>
      <c r="DU123" s="60">
        <f t="shared" si="98"/>
        <v>389.53897948144339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323.92137573760789</v>
      </c>
      <c r="EP123" s="60">
        <f t="shared" si="100"/>
        <v>389.53897948144339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2.2737367544323206E-13</v>
      </c>
      <c r="FF123" s="18">
        <f>FE123*VLOOKUP('Données projet'!$B$16,Paramètres!$A$1:$I$89,3,0)*VLOOKUP('Données projet'!$B$16,Paramètres!$A$1:$I$89,5,0)</f>
        <v>1.8089849618263545E-13</v>
      </c>
      <c r="FG123" s="14">
        <f t="shared" si="101"/>
        <v>2.536422473342444E-12</v>
      </c>
      <c r="FH123" s="22">
        <f t="shared" si="76"/>
        <v>4.7326673552561798E-12</v>
      </c>
      <c r="FI123" s="60">
        <f t="shared" si="77"/>
        <v>293.33333333333803</v>
      </c>
      <c r="FJ123" s="60">
        <f ca="1">AVERAGE(OFFSET($FI$3,0,0,'Données projet'!$E$16+1,1))-AVERAGE(OFFSET($H$3,0,0,'Données projet'!$E$16+1,1))</f>
        <v>219.61164494001008</v>
      </c>
      <c r="FK123" s="60">
        <f t="shared" si="102"/>
        <v>219.59799863414111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-6.2527760746888816E-13</v>
      </c>
      <c r="GA123" s="18">
        <f>FZ123*VLOOKUP('Données projet'!$B$17,Paramètres!$A$1:$I$89,3,0)*VLOOKUP('Données projet'!$B$17,Paramètres!$A$1:$I$89,5,0)</f>
        <v>-2.9262992029543964E-13</v>
      </c>
      <c r="GB123" s="14" t="e">
        <f t="shared" si="103"/>
        <v>#NUM!</v>
      </c>
      <c r="GC123" s="22" t="e">
        <f t="shared" si="79"/>
        <v>#NUM!</v>
      </c>
      <c r="GD123" s="60" t="e">
        <f t="shared" si="80"/>
        <v>#NUM!</v>
      </c>
      <c r="GE123" s="60">
        <f ca="1">AVERAGE(OFFSET($GD$3,0,0,'Données projet'!$E$17+1,1))-AVERAGE(OFFSET($H$3,0,0,'Données projet'!$E$17+1,1))</f>
        <v>147.5699668214238</v>
      </c>
      <c r="GF123" s="60">
        <f t="shared" si="104"/>
        <v>70.653739864908346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>
        <f>GU123*VLOOKUP('Données projet'!$B$18,Paramètres!$A$1:$I$89,3,0)*VLOOKUP('Données projet'!$B$18,Paramètres!$A$1:$I$89,5,0)</f>
        <v>0</v>
      </c>
      <c r="GW123" s="14" t="e">
        <f t="shared" si="105"/>
        <v>#NUM!</v>
      </c>
      <c r="GX123" s="22" t="e">
        <f t="shared" si="82"/>
        <v>#NUM!</v>
      </c>
      <c r="GY123" s="60" t="e">
        <f t="shared" si="83"/>
        <v>#NUM!</v>
      </c>
      <c r="GZ123" s="60">
        <f ca="1">AVERAGE(OFFSET($GY$3,0,0,'Données projet'!$E$18+1,1))-AVERAGE(OFFSET($H$3,0,0,'Données projet'!$E$18+1,1))</f>
        <v>136.03899433512379</v>
      </c>
      <c r="HA123" s="60">
        <f t="shared" si="106"/>
        <v>316.56646692826882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12.562472619663806</v>
      </c>
      <c r="HH123" s="23">
        <f>EXP(-LN(2)/25)*HH122+(1-EXP(-LN(2)/25))/(LN(2)/25)*Calculateur!HC123*Calculateur!HE123*VLOOKUP('Données projet'!$B$18,Paramètres!$A$1:$I$89,3,0)*0.475*44/12</f>
        <v>0.83143305346425855</v>
      </c>
      <c r="HI123" s="23">
        <f>EXP(-LN(2)/2)*HI122+(1-EXP(-LN(2)/2))/(LN(2)/2)*HC123*HF123*VLOOKUP('Données projet'!$B$18,Paramètres!$A$1:$I$89,3,0)*0.475*44/12</f>
        <v>8.3097080519035932E-14</v>
      </c>
      <c r="HJ123" s="24">
        <f t="shared" si="84"/>
        <v>13.393905673128149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309.19999999999965</v>
      </c>
      <c r="O124" s="14">
        <f>N124*VLOOKUP('Données projet'!$B$9,Paramètres!$A$1:$I$89,3,0)*VLOOKUP('Données projet'!$B$9,Paramètres!$A$1:$I$89,5,0)</f>
        <v>279.76415999999966</v>
      </c>
      <c r="P124" s="14">
        <f t="shared" si="87"/>
        <v>66.917166665547271</v>
      </c>
      <c r="Q124" s="22">
        <f t="shared" si="107"/>
        <v>603.8033106091608</v>
      </c>
      <c r="R124" s="60">
        <f t="shared" si="55"/>
        <v>897.13664394249417</v>
      </c>
      <c r="S124" s="60">
        <f ca="1">AVERAGE(OFFSET($R$3,0,0,'Données projet'!$E$9+1,1))-AVERAGE(OFFSET($H$3,0,0,'Données projet'!$E$9+1,1))</f>
        <v>384.44848355636935</v>
      </c>
      <c r="T124" s="60">
        <f t="shared" si="88"/>
        <v>203.5274665601915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245.3817599999995</v>
      </c>
      <c r="AK124" s="14">
        <f t="shared" si="89"/>
        <v>59.595943661626663</v>
      </c>
      <c r="AL124" s="22">
        <f t="shared" si="58"/>
        <v>531.16950054399888</v>
      </c>
      <c r="AM124" s="60">
        <f t="shared" si="59"/>
        <v>824.50283387733225</v>
      </c>
      <c r="AN124" s="60">
        <f ca="1">AVERAGE(OFFSET($AM$3,0,0,'Données projet'!$E$10+1,1))-AVERAGE(OFFSET($H$3,0,0,'Données projet'!$E$10+1,1))</f>
        <v>303.73499739059076</v>
      </c>
      <c r="AO124" s="60">
        <f t="shared" si="90"/>
        <v>172.32171001882188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4.2</v>
      </c>
      <c r="BD124" s="13">
        <f>IF('Données projet'!$A$88&gt;35,BD123+BC124-BL123,IF(A124&lt;'Données projet'!$A$88,$BA$205^A124,IF(A124='Données projet'!$A$88,'Données projet'!$B$88,BD123+BC124-BL123)))</f>
        <v>309.19999999999965</v>
      </c>
      <c r="BE124" s="14">
        <f>BD124*VLOOKUP('Données projet'!$B$11,Paramètres!$A$1:$I$89,3,0)*VLOOKUP('Données projet'!$B$11,Paramètres!$A$1:$I$89,5,0)</f>
        <v>260.47007999999971</v>
      </c>
      <c r="BF124" s="14">
        <f t="shared" si="91"/>
        <v>62.822569479065045</v>
      </c>
      <c r="BG124" s="22">
        <f t="shared" si="61"/>
        <v>563.06803117603783</v>
      </c>
      <c r="BH124" s="60">
        <f t="shared" si="62"/>
        <v>856.40136450937121</v>
      </c>
      <c r="BI124" s="60">
        <f ca="1">AVERAGE(OFFSET($BH$3,0,0,'Données projet'!$E$11+1,1))-AVERAGE(OFFSET($H$3,0,0,'Données projet'!$E$11+1,1))</f>
        <v>352.29660374042186</v>
      </c>
      <c r="BJ124" s="60">
        <f t="shared" si="92"/>
        <v>187.26439695305618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228.45887999999957</v>
      </c>
      <c r="CA124" s="14">
        <f t="shared" si="93"/>
        <v>55.949325082237735</v>
      </c>
      <c r="CB124" s="22">
        <f t="shared" si="64"/>
        <v>495.34429051823003</v>
      </c>
      <c r="CC124" s="60">
        <f t="shared" si="65"/>
        <v>788.67762385156334</v>
      </c>
      <c r="CD124" s="60">
        <f ca="1">AVERAGE(OFFSET($CC$3,0,0,'Données projet'!$E$12+1,1))-AVERAGE(OFFSET($H$3,0,0,'Données projet'!$E$12+1,1))</f>
        <v>277.03735509061545</v>
      </c>
      <c r="CE124" s="60">
        <f t="shared" si="94"/>
        <v>158.16416492761959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274.9967999999995</v>
      </c>
      <c r="CV124" s="14">
        <f t="shared" si="95"/>
        <v>65.908581953881495</v>
      </c>
      <c r="CW124" s="22">
        <f t="shared" si="67"/>
        <v>593.74354023634271</v>
      </c>
      <c r="CX124" s="60">
        <f t="shared" si="68"/>
        <v>887.07687356967608</v>
      </c>
      <c r="CY124" s="60">
        <f ca="1">AVERAGE(OFFSET($CX$3,0,0,'Données projet'!$E$13+1,1))-AVERAGE(OFFSET($H$3,0,0,'Données projet'!$E$13+1,1))</f>
        <v>350.3652766444938</v>
      </c>
      <c r="CZ124" s="60">
        <f t="shared" si="96"/>
        <v>197.04549436738586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3.4106051316484809E-13</v>
      </c>
      <c r="DP124" s="18">
        <f>DO124*VLOOKUP('Données projet'!$B$14,Paramètres!$A$1:$I$89,3,0)*VLOOKUP('Données projet'!$B$14,Paramètres!$A$1:$I$89,5,0)</f>
        <v>2.7134774427395314E-13</v>
      </c>
      <c r="DQ124" s="14">
        <f t="shared" si="97"/>
        <v>3.6292411711343559E-12</v>
      </c>
      <c r="DR124" s="22">
        <f t="shared" si="70"/>
        <v>6.7935256943361388E-12</v>
      </c>
      <c r="DS124" s="60">
        <f t="shared" si="71"/>
        <v>293.33333333334014</v>
      </c>
      <c r="DT124" s="60">
        <f ca="1">AVERAGE(OFFSET($DS$3,0,0,'Données projet'!$E$14+1,1))-AVERAGE(OFFSET($H$3,0,0,'Données projet'!$E$14+1,1))</f>
        <v>382.01991140382955</v>
      </c>
      <c r="DU124" s="60">
        <f t="shared" si="98"/>
        <v>389.53897948144339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323.92137573760789</v>
      </c>
      <c r="EP124" s="60">
        <f t="shared" si="100"/>
        <v>389.53897948144339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2.2737367544323206E-13</v>
      </c>
      <c r="FF124" s="18">
        <f>FE124*VLOOKUP('Données projet'!$B$16,Paramètres!$A$1:$I$89,3,0)*VLOOKUP('Données projet'!$B$16,Paramètres!$A$1:$I$89,5,0)</f>
        <v>1.8089849618263545E-13</v>
      </c>
      <c r="FG124" s="14">
        <f t="shared" si="101"/>
        <v>2.536422473342444E-12</v>
      </c>
      <c r="FH124" s="22">
        <f t="shared" si="76"/>
        <v>4.7326673552561798E-12</v>
      </c>
      <c r="FI124" s="60">
        <f t="shared" si="77"/>
        <v>293.33333333333803</v>
      </c>
      <c r="FJ124" s="60">
        <f ca="1">AVERAGE(OFFSET($FI$3,0,0,'Données projet'!$E$16+1,1))-AVERAGE(OFFSET($H$3,0,0,'Données projet'!$E$16+1,1))</f>
        <v>219.61164494001008</v>
      </c>
      <c r="FK124" s="60">
        <f t="shared" si="102"/>
        <v>219.59799863414111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-6.2527760746888816E-13</v>
      </c>
      <c r="GA124" s="18">
        <f>FZ124*VLOOKUP('Données projet'!$B$17,Paramètres!$A$1:$I$89,3,0)*VLOOKUP('Données projet'!$B$17,Paramètres!$A$1:$I$89,5,0)</f>
        <v>-2.9262992029543964E-13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147.5699668214238</v>
      </c>
      <c r="GF124" s="60">
        <f t="shared" si="104"/>
        <v>70.653739864908346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>
        <f>GU124*VLOOKUP('Données projet'!$B$18,Paramètres!$A$1:$I$89,3,0)*VLOOKUP('Données projet'!$B$18,Paramètres!$A$1:$I$89,5,0)</f>
        <v>0</v>
      </c>
      <c r="GW124" s="14" t="e">
        <f t="shared" si="105"/>
        <v>#NUM!</v>
      </c>
      <c r="GX124" s="22" t="e">
        <f t="shared" si="82"/>
        <v>#NUM!</v>
      </c>
      <c r="GY124" s="60" t="e">
        <f t="shared" si="83"/>
        <v>#NUM!</v>
      </c>
      <c r="GZ124" s="60">
        <f ca="1">AVERAGE(OFFSET($GY$3,0,0,'Données projet'!$E$18+1,1))-AVERAGE(OFFSET($H$3,0,0,'Données projet'!$E$18+1,1))</f>
        <v>136.03899433512379</v>
      </c>
      <c r="HA124" s="60">
        <f t="shared" si="106"/>
        <v>316.56646692826882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12.316130193943902</v>
      </c>
      <c r="HH124" s="23">
        <f>EXP(-LN(2)/25)*HH123+(1-EXP(-LN(2)/25))/(LN(2)/25)*Calculateur!HC124*Calculateur!HE124*VLOOKUP('Données projet'!$B$18,Paramètres!$A$1:$I$89,3,0)*0.475*44/12</f>
        <v>0.80869747289411442</v>
      </c>
      <c r="HI124" s="23">
        <f>EXP(-LN(2)/2)*HI123+(1-EXP(-LN(2)/2))/(LN(2)/2)*HC124*HF124*VLOOKUP('Données projet'!$B$18,Paramètres!$A$1:$I$89,3,0)*0.475*44/12</f>
        <v>5.8758509131814862E-14</v>
      </c>
      <c r="HJ124" s="24">
        <f t="shared" si="84"/>
        <v>13.124827666838074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313.39999999999964</v>
      </c>
      <c r="O125" s="14">
        <f>N125*VLOOKUP('Données projet'!$B$9,Paramètres!$A$1:$I$89,3,0)*VLOOKUP('Données projet'!$B$9,Paramètres!$A$1:$I$89,5,0)</f>
        <v>283.56431999999967</v>
      </c>
      <c r="P125" s="14">
        <f t="shared" si="87"/>
        <v>67.71969673023186</v>
      </c>
      <c r="Q125" s="22">
        <f t="shared" si="107"/>
        <v>611.81966247181992</v>
      </c>
      <c r="R125" s="60">
        <f t="shared" si="55"/>
        <v>905.1529958051533</v>
      </c>
      <c r="S125" s="60">
        <f ca="1">AVERAGE(OFFSET($R$3,0,0,'Données projet'!$E$9+1,1))-AVERAGE(OFFSET($H$3,0,0,'Données projet'!$E$9+1,1))</f>
        <v>384.44848355636935</v>
      </c>
      <c r="T125" s="60">
        <f t="shared" si="88"/>
        <v>203.5274665601915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248.27711999999951</v>
      </c>
      <c r="AK125" s="14">
        <f t="shared" si="89"/>
        <v>60.216863677580257</v>
      </c>
      <c r="AL125" s="22">
        <f t="shared" si="58"/>
        <v>537.29368823845141</v>
      </c>
      <c r="AM125" s="60">
        <f t="shared" si="59"/>
        <v>830.62702157178478</v>
      </c>
      <c r="AN125" s="60">
        <f ca="1">AVERAGE(OFFSET($AM$3,0,0,'Données projet'!$E$10+1,1))-AVERAGE(OFFSET($H$3,0,0,'Données projet'!$E$10+1,1))</f>
        <v>303.73499739059076</v>
      </c>
      <c r="AO125" s="60">
        <f t="shared" si="90"/>
        <v>172.32171001882188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4.2</v>
      </c>
      <c r="BD125" s="13">
        <f>IF('Données projet'!$A$88&gt;35,BD124+BC125-BL124,IF(A125&lt;'Données projet'!$A$88,$BA$205^A125,IF(A125='Données projet'!$A$88,'Données projet'!$B$88,BD124+BC125-BL124)))</f>
        <v>313.39999999999964</v>
      </c>
      <c r="BE125" s="14">
        <f>BD125*VLOOKUP('Données projet'!$B$11,Paramètres!$A$1:$I$89,3,0)*VLOOKUP('Données projet'!$B$11,Paramètres!$A$1:$I$89,5,0)</f>
        <v>264.00815999999975</v>
      </c>
      <c r="BF125" s="14">
        <f t="shared" si="91"/>
        <v>63.575993499536068</v>
      </c>
      <c r="BG125" s="22">
        <f t="shared" si="61"/>
        <v>570.54240067835826</v>
      </c>
      <c r="BH125" s="60">
        <f t="shared" si="62"/>
        <v>863.87573401169152</v>
      </c>
      <c r="BI125" s="60">
        <f ca="1">AVERAGE(OFFSET($BH$3,0,0,'Données projet'!$E$11+1,1))-AVERAGE(OFFSET($H$3,0,0,'Données projet'!$E$11+1,1))</f>
        <v>352.29660374042186</v>
      </c>
      <c r="BJ125" s="60">
        <f t="shared" si="92"/>
        <v>187.26439695305618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231.15455999999958</v>
      </c>
      <c r="CA125" s="14">
        <f t="shared" si="93"/>
        <v>56.532251598510435</v>
      </c>
      <c r="CB125" s="22">
        <f t="shared" si="64"/>
        <v>501.05453020073833</v>
      </c>
      <c r="CC125" s="60">
        <f t="shared" si="65"/>
        <v>794.38786353407158</v>
      </c>
      <c r="CD125" s="60">
        <f ca="1">AVERAGE(OFFSET($CC$3,0,0,'Données projet'!$E$12+1,1))-AVERAGE(OFFSET($H$3,0,0,'Données projet'!$E$12+1,1))</f>
        <v>277.03735509061545</v>
      </c>
      <c r="CE125" s="60">
        <f t="shared" si="94"/>
        <v>158.16416492761959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278.24159999999949</v>
      </c>
      <c r="CV125" s="14">
        <f t="shared" si="95"/>
        <v>66.595272276139681</v>
      </c>
      <c r="CW125" s="22">
        <f t="shared" si="67"/>
        <v>600.59088588094244</v>
      </c>
      <c r="CX125" s="60">
        <f t="shared" si="68"/>
        <v>893.92421921427581</v>
      </c>
      <c r="CY125" s="60">
        <f ca="1">AVERAGE(OFFSET($CX$3,0,0,'Données projet'!$E$13+1,1))-AVERAGE(OFFSET($H$3,0,0,'Données projet'!$E$13+1,1))</f>
        <v>350.3652766444938</v>
      </c>
      <c r="CZ125" s="60">
        <f t="shared" si="96"/>
        <v>197.04549436738586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3.4106051316484809E-13</v>
      </c>
      <c r="DP125" s="18">
        <f>DO125*VLOOKUP('Données projet'!$B$14,Paramètres!$A$1:$I$89,3,0)*VLOOKUP('Données projet'!$B$14,Paramètres!$A$1:$I$89,5,0)</f>
        <v>2.7134774427395314E-13</v>
      </c>
      <c r="DQ125" s="14">
        <f t="shared" si="97"/>
        <v>3.6292411711343559E-12</v>
      </c>
      <c r="DR125" s="22">
        <f t="shared" si="70"/>
        <v>6.7935256943361388E-12</v>
      </c>
      <c r="DS125" s="60">
        <f t="shared" si="71"/>
        <v>293.33333333334014</v>
      </c>
      <c r="DT125" s="60">
        <f ca="1">AVERAGE(OFFSET($DS$3,0,0,'Données projet'!$E$14+1,1))-AVERAGE(OFFSET($H$3,0,0,'Données projet'!$E$14+1,1))</f>
        <v>382.01991140382955</v>
      </c>
      <c r="DU125" s="60">
        <f t="shared" si="98"/>
        <v>389.53897948144339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323.92137573760789</v>
      </c>
      <c r="EP125" s="60">
        <f t="shared" si="100"/>
        <v>389.53897948144339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2.2737367544323206E-13</v>
      </c>
      <c r="FF125" s="18">
        <f>FE125*VLOOKUP('Données projet'!$B$16,Paramètres!$A$1:$I$89,3,0)*VLOOKUP('Données projet'!$B$16,Paramètres!$A$1:$I$89,5,0)</f>
        <v>1.8089849618263545E-13</v>
      </c>
      <c r="FG125" s="14">
        <f t="shared" si="101"/>
        <v>2.536422473342444E-12</v>
      </c>
      <c r="FH125" s="22">
        <f t="shared" si="76"/>
        <v>4.7326673552561798E-12</v>
      </c>
      <c r="FI125" s="60">
        <f t="shared" si="77"/>
        <v>293.33333333333803</v>
      </c>
      <c r="FJ125" s="60">
        <f ca="1">AVERAGE(OFFSET($FI$3,0,0,'Données projet'!$E$16+1,1))-AVERAGE(OFFSET($H$3,0,0,'Données projet'!$E$16+1,1))</f>
        <v>219.61164494001008</v>
      </c>
      <c r="FK125" s="60">
        <f t="shared" si="102"/>
        <v>219.59799863414111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-6.2527760746888816E-13</v>
      </c>
      <c r="GA125" s="18">
        <f>FZ125*VLOOKUP('Données projet'!$B$17,Paramètres!$A$1:$I$89,3,0)*VLOOKUP('Données projet'!$B$17,Paramètres!$A$1:$I$89,5,0)</f>
        <v>-2.9262992029543964E-13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147.5699668214238</v>
      </c>
      <c r="GF125" s="60">
        <f t="shared" si="104"/>
        <v>70.653739864908346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>
        <f>GU125*VLOOKUP('Données projet'!$B$18,Paramètres!$A$1:$I$89,3,0)*VLOOKUP('Données projet'!$B$18,Paramètres!$A$1:$I$89,5,0)</f>
        <v>0</v>
      </c>
      <c r="GW125" s="14" t="e">
        <f t="shared" si="105"/>
        <v>#NUM!</v>
      </c>
      <c r="GX125" s="22" t="e">
        <f t="shared" si="82"/>
        <v>#NUM!</v>
      </c>
      <c r="GY125" s="60" t="e">
        <f t="shared" si="83"/>
        <v>#NUM!</v>
      </c>
      <c r="GZ125" s="60">
        <f ca="1">AVERAGE(OFFSET($GY$3,0,0,'Données projet'!$E$18+1,1))-AVERAGE(OFFSET($H$3,0,0,'Données projet'!$E$18+1,1))</f>
        <v>136.03899433512379</v>
      </c>
      <c r="HA125" s="60">
        <f t="shared" si="106"/>
        <v>316.56646692826882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12.074618392938323</v>
      </c>
      <c r="HH125" s="23">
        <f>EXP(-LN(2)/25)*HH124+(1-EXP(-LN(2)/25))/(LN(2)/25)*Calculateur!HC125*Calculateur!HE125*VLOOKUP('Données projet'!$B$18,Paramètres!$A$1:$I$89,3,0)*0.475*44/12</f>
        <v>0.78658359797027311</v>
      </c>
      <c r="HI125" s="23">
        <f>EXP(-LN(2)/2)*HI124+(1-EXP(-LN(2)/2))/(LN(2)/2)*HC125*HF125*VLOOKUP('Données projet'!$B$18,Paramètres!$A$1:$I$89,3,0)*0.475*44/12</f>
        <v>4.1548540259517966E-14</v>
      </c>
      <c r="HJ125" s="24">
        <f t="shared" si="84"/>
        <v>12.861201990908636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317.59999999999962</v>
      </c>
      <c r="O126" s="14">
        <f>N126*VLOOKUP('Données projet'!$B$9,Paramètres!$A$1:$I$89,3,0)*VLOOKUP('Données projet'!$B$9,Paramètres!$A$1:$I$89,5,0)</f>
        <v>287.36447999999967</v>
      </c>
      <c r="P126" s="14">
        <f t="shared" si="87"/>
        <v>68.52097584579333</v>
      </c>
      <c r="Q126" s="22">
        <f t="shared" si="107"/>
        <v>619.83383559808942</v>
      </c>
      <c r="R126" s="60">
        <f t="shared" si="55"/>
        <v>913.16716893142279</v>
      </c>
      <c r="S126" s="60">
        <f ca="1">AVERAGE(OFFSET($R$3,0,0,'Données projet'!$E$9+1,1))-AVERAGE(OFFSET($H$3,0,0,'Données projet'!$E$9+1,1))</f>
        <v>384.44848355636935</v>
      </c>
      <c r="T126" s="60">
        <f t="shared" si="88"/>
        <v>203.5274665601915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251.1724799999995</v>
      </c>
      <c r="AK126" s="14">
        <f t="shared" si="89"/>
        <v>60.836941386956575</v>
      </c>
      <c r="AL126" s="22">
        <f t="shared" si="58"/>
        <v>543.41640891561519</v>
      </c>
      <c r="AM126" s="60">
        <f t="shared" si="59"/>
        <v>836.74974224894845</v>
      </c>
      <c r="AN126" s="60">
        <f ca="1">AVERAGE(OFFSET($AM$3,0,0,'Données projet'!$E$10+1,1))-AVERAGE(OFFSET($H$3,0,0,'Données projet'!$E$10+1,1))</f>
        <v>303.73499739059076</v>
      </c>
      <c r="AO126" s="60">
        <f t="shared" si="90"/>
        <v>172.32171001882188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4.2</v>
      </c>
      <c r="BD126" s="13">
        <f>IF('Données projet'!$A$88&gt;35,BD125+BC126-BL125,IF(A126&lt;'Données projet'!$A$88,$BA$205^A126,IF(A126='Données projet'!$A$88,'Données projet'!$B$88,BD125+BC126-BL125)))</f>
        <v>317.59999999999962</v>
      </c>
      <c r="BE126" s="14">
        <f>BD126*VLOOKUP('Données projet'!$B$11,Paramètres!$A$1:$I$89,3,0)*VLOOKUP('Données projet'!$B$11,Paramètres!$A$1:$I$89,5,0)</f>
        <v>267.54623999999973</v>
      </c>
      <c r="BF126" s="14">
        <f t="shared" si="91"/>
        <v>64.32824311525988</v>
      </c>
      <c r="BG126" s="22">
        <f t="shared" si="61"/>
        <v>578.01472475907724</v>
      </c>
      <c r="BH126" s="60">
        <f t="shared" si="62"/>
        <v>871.34805809241061</v>
      </c>
      <c r="BI126" s="60">
        <f ca="1">AVERAGE(OFFSET($BH$3,0,0,'Données projet'!$E$11+1,1))-AVERAGE(OFFSET($H$3,0,0,'Données projet'!$E$11+1,1))</f>
        <v>352.29660374042186</v>
      </c>
      <c r="BJ126" s="60">
        <f t="shared" si="92"/>
        <v>187.26439695305618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233.85023999999956</v>
      </c>
      <c r="CA126" s="14">
        <f t="shared" si="93"/>
        <v>57.114387348136688</v>
      </c>
      <c r="CB126" s="22">
        <f t="shared" si="64"/>
        <v>506.76339263133724</v>
      </c>
      <c r="CC126" s="60">
        <f t="shared" si="65"/>
        <v>800.09672596467055</v>
      </c>
      <c r="CD126" s="60">
        <f ca="1">AVERAGE(OFFSET($CC$3,0,0,'Données projet'!$E$12+1,1))-AVERAGE(OFFSET($H$3,0,0,'Données projet'!$E$12+1,1))</f>
        <v>277.03735509061545</v>
      </c>
      <c r="CE126" s="60">
        <f t="shared" si="94"/>
        <v>158.16416492761959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281.48639999999949</v>
      </c>
      <c r="CV126" s="14">
        <f t="shared" si="95"/>
        <v>67.281031071373235</v>
      </c>
      <c r="CW126" s="22">
        <f t="shared" si="67"/>
        <v>607.43660911597419</v>
      </c>
      <c r="CX126" s="60">
        <f t="shared" si="68"/>
        <v>900.76994244930756</v>
      </c>
      <c r="CY126" s="60">
        <f ca="1">AVERAGE(OFFSET($CX$3,0,0,'Données projet'!$E$13+1,1))-AVERAGE(OFFSET($H$3,0,0,'Données projet'!$E$13+1,1))</f>
        <v>350.3652766444938</v>
      </c>
      <c r="CZ126" s="60">
        <f t="shared" si="96"/>
        <v>197.04549436738586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3.4106051316484809E-13</v>
      </c>
      <c r="DP126" s="18">
        <f>DO126*VLOOKUP('Données projet'!$B$14,Paramètres!$A$1:$I$89,3,0)*VLOOKUP('Données projet'!$B$14,Paramètres!$A$1:$I$89,5,0)</f>
        <v>2.7134774427395314E-13</v>
      </c>
      <c r="DQ126" s="14">
        <f t="shared" si="97"/>
        <v>3.6292411711343559E-12</v>
      </c>
      <c r="DR126" s="22">
        <f t="shared" si="70"/>
        <v>6.7935256943361388E-12</v>
      </c>
      <c r="DS126" s="60">
        <f t="shared" si="71"/>
        <v>293.33333333334014</v>
      </c>
      <c r="DT126" s="60">
        <f ca="1">AVERAGE(OFFSET($DS$3,0,0,'Données projet'!$E$14+1,1))-AVERAGE(OFFSET($H$3,0,0,'Données projet'!$E$14+1,1))</f>
        <v>382.01991140382955</v>
      </c>
      <c r="DU126" s="60">
        <f t="shared" si="98"/>
        <v>389.53897948144339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323.92137573760789</v>
      </c>
      <c r="EP126" s="60">
        <f t="shared" si="100"/>
        <v>389.53897948144339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2.2737367544323206E-13</v>
      </c>
      <c r="FF126" s="18">
        <f>FE126*VLOOKUP('Données projet'!$B$16,Paramètres!$A$1:$I$89,3,0)*VLOOKUP('Données projet'!$B$16,Paramètres!$A$1:$I$89,5,0)</f>
        <v>1.8089849618263545E-13</v>
      </c>
      <c r="FG126" s="14">
        <f t="shared" si="101"/>
        <v>2.536422473342444E-12</v>
      </c>
      <c r="FH126" s="22">
        <f t="shared" si="76"/>
        <v>4.7326673552561798E-12</v>
      </c>
      <c r="FI126" s="60">
        <f t="shared" si="77"/>
        <v>293.33333333333803</v>
      </c>
      <c r="FJ126" s="60">
        <f ca="1">AVERAGE(OFFSET($FI$3,0,0,'Données projet'!$E$16+1,1))-AVERAGE(OFFSET($H$3,0,0,'Données projet'!$E$16+1,1))</f>
        <v>219.61164494001008</v>
      </c>
      <c r="FK126" s="60">
        <f t="shared" si="102"/>
        <v>219.59799863414111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-6.2527760746888816E-13</v>
      </c>
      <c r="GA126" s="18">
        <f>FZ126*VLOOKUP('Données projet'!$B$17,Paramètres!$A$1:$I$89,3,0)*VLOOKUP('Données projet'!$B$17,Paramètres!$A$1:$I$89,5,0)</f>
        <v>-2.9262992029543964E-13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147.5699668214238</v>
      </c>
      <c r="GF126" s="60">
        <f t="shared" si="104"/>
        <v>70.653739864908346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>
        <f>GU126*VLOOKUP('Données projet'!$B$18,Paramètres!$A$1:$I$89,3,0)*VLOOKUP('Données projet'!$B$18,Paramètres!$A$1:$I$89,5,0)</f>
        <v>0</v>
      </c>
      <c r="GW126" s="14" t="e">
        <f t="shared" si="105"/>
        <v>#NUM!</v>
      </c>
      <c r="GX126" s="22" t="e">
        <f t="shared" si="82"/>
        <v>#NUM!</v>
      </c>
      <c r="GY126" s="60" t="e">
        <f t="shared" si="83"/>
        <v>#NUM!</v>
      </c>
      <c r="GZ126" s="60">
        <f ca="1">AVERAGE(OFFSET($GY$3,0,0,'Données projet'!$E$18+1,1))-AVERAGE(OFFSET($H$3,0,0,'Données projet'!$E$18+1,1))</f>
        <v>136.03899433512379</v>
      </c>
      <c r="HA126" s="60">
        <f t="shared" si="106"/>
        <v>316.56646692826882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11.83784249104281</v>
      </c>
      <c r="HH126" s="23">
        <f>EXP(-LN(2)/25)*HH125+(1-EXP(-LN(2)/25))/(LN(2)/25)*Calculateur!HC126*Calculateur!HE126*VLOOKUP('Données projet'!$B$18,Paramètres!$A$1:$I$89,3,0)*0.475*44/12</f>
        <v>0.76507442811914228</v>
      </c>
      <c r="HI126" s="23">
        <f>EXP(-LN(2)/2)*HI125+(1-EXP(-LN(2)/2))/(LN(2)/2)*HC126*HF126*VLOOKUP('Données projet'!$B$18,Paramètres!$A$1:$I$89,3,0)*0.475*44/12</f>
        <v>2.9379254565907431E-14</v>
      </c>
      <c r="HJ126" s="24">
        <f t="shared" si="84"/>
        <v>12.602916919161983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321.79999999999961</v>
      </c>
      <c r="O127" s="14">
        <f>N127*VLOOKUP('Données projet'!$B$9,Paramètres!$A$1:$I$89,3,0)*VLOOKUP('Données projet'!$B$9,Paramètres!$A$1:$I$89,5,0)</f>
        <v>291.16463999999962</v>
      </c>
      <c r="P127" s="14">
        <f t="shared" si="87"/>
        <v>69.321022467464573</v>
      </c>
      <c r="Q127" s="22">
        <f t="shared" si="107"/>
        <v>627.84586213083344</v>
      </c>
      <c r="R127" s="60">
        <f t="shared" si="55"/>
        <v>921.1791954641667</v>
      </c>
      <c r="S127" s="60">
        <f ca="1">AVERAGE(OFFSET($R$3,0,0,'Données projet'!$E$9+1,1))-AVERAGE(OFFSET($H$3,0,0,'Données projet'!$E$9+1,1))</f>
        <v>384.44848355636935</v>
      </c>
      <c r="T127" s="60">
        <f t="shared" si="88"/>
        <v>203.5274665601915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254.06783999999948</v>
      </c>
      <c r="AK127" s="14">
        <f t="shared" si="89"/>
        <v>61.456187622750612</v>
      </c>
      <c r="AL127" s="22">
        <f t="shared" si="58"/>
        <v>549.53768144295634</v>
      </c>
      <c r="AM127" s="60">
        <f t="shared" si="59"/>
        <v>842.87101477628971</v>
      </c>
      <c r="AN127" s="60">
        <f ca="1">AVERAGE(OFFSET($AM$3,0,0,'Données projet'!$E$10+1,1))-AVERAGE(OFFSET($H$3,0,0,'Données projet'!$E$10+1,1))</f>
        <v>303.73499739059076</v>
      </c>
      <c r="AO127" s="60">
        <f t="shared" si="90"/>
        <v>172.32171001882188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4.2</v>
      </c>
      <c r="BD127" s="13">
        <f>IF('Données projet'!$A$88&gt;35,BD126+BC127-BL126,IF(A127&lt;'Données projet'!$A$88,$BA$205^A127,IF(A127='Données projet'!$A$88,'Données projet'!$B$88,BD126+BC127-BL126)))</f>
        <v>321.79999999999961</v>
      </c>
      <c r="BE127" s="14">
        <f>BD127*VLOOKUP('Données projet'!$B$11,Paramètres!$A$1:$I$89,3,0)*VLOOKUP('Données projet'!$B$11,Paramètres!$A$1:$I$89,5,0)</f>
        <v>271.08431999999971</v>
      </c>
      <c r="BF127" s="14">
        <f t="shared" si="91"/>
        <v>65.079335652211341</v>
      </c>
      <c r="BG127" s="22">
        <f t="shared" si="61"/>
        <v>585.48503359426752</v>
      </c>
      <c r="BH127" s="60">
        <f t="shared" si="62"/>
        <v>878.81836692760089</v>
      </c>
      <c r="BI127" s="60">
        <f ca="1">AVERAGE(OFFSET($BH$3,0,0,'Données projet'!$E$11+1,1))-AVERAGE(OFFSET($H$3,0,0,'Données projet'!$E$11+1,1))</f>
        <v>352.29660374042186</v>
      </c>
      <c r="BJ127" s="60">
        <f t="shared" si="92"/>
        <v>187.26439695305618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236.54591999999957</v>
      </c>
      <c r="CA127" s="14">
        <f t="shared" si="93"/>
        <v>57.695742501250926</v>
      </c>
      <c r="CB127" s="22">
        <f t="shared" si="64"/>
        <v>512.47089552301134</v>
      </c>
      <c r="CC127" s="60">
        <f t="shared" si="65"/>
        <v>805.80422885634471</v>
      </c>
      <c r="CD127" s="60">
        <f ca="1">AVERAGE(OFFSET($CC$3,0,0,'Données projet'!$E$12+1,1))-AVERAGE(OFFSET($H$3,0,0,'Données projet'!$E$12+1,1))</f>
        <v>277.03735509061545</v>
      </c>
      <c r="CE127" s="60">
        <f t="shared" si="94"/>
        <v>158.16416492761959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284.73119999999943</v>
      </c>
      <c r="CV127" s="14">
        <f t="shared" si="95"/>
        <v>67.965870320050826</v>
      </c>
      <c r="CW127" s="22">
        <f t="shared" si="67"/>
        <v>614.28073080742081</v>
      </c>
      <c r="CX127" s="60">
        <f t="shared" si="68"/>
        <v>907.61406414075418</v>
      </c>
      <c r="CY127" s="60">
        <f ca="1">AVERAGE(OFFSET($CX$3,0,0,'Données projet'!$E$13+1,1))-AVERAGE(OFFSET($H$3,0,0,'Données projet'!$E$13+1,1))</f>
        <v>350.3652766444938</v>
      </c>
      <c r="CZ127" s="60">
        <f t="shared" si="96"/>
        <v>197.04549436738586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3.4106051316484809E-13</v>
      </c>
      <c r="DP127" s="18">
        <f>DO127*VLOOKUP('Données projet'!$B$14,Paramètres!$A$1:$I$89,3,0)*VLOOKUP('Données projet'!$B$14,Paramètres!$A$1:$I$89,5,0)</f>
        <v>2.7134774427395314E-13</v>
      </c>
      <c r="DQ127" s="14">
        <f t="shared" si="97"/>
        <v>3.6292411711343559E-12</v>
      </c>
      <c r="DR127" s="22">
        <f t="shared" si="70"/>
        <v>6.7935256943361388E-12</v>
      </c>
      <c r="DS127" s="60">
        <f t="shared" si="71"/>
        <v>293.33333333334014</v>
      </c>
      <c r="DT127" s="60">
        <f ca="1">AVERAGE(OFFSET($DS$3,0,0,'Données projet'!$E$14+1,1))-AVERAGE(OFFSET($H$3,0,0,'Données projet'!$E$14+1,1))</f>
        <v>382.01991140382955</v>
      </c>
      <c r="DU127" s="60">
        <f t="shared" si="98"/>
        <v>389.53897948144339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323.92137573760789</v>
      </c>
      <c r="EP127" s="60">
        <f t="shared" si="100"/>
        <v>389.53897948144339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2.2737367544323206E-13</v>
      </c>
      <c r="FF127" s="18">
        <f>FE127*VLOOKUP('Données projet'!$B$16,Paramètres!$A$1:$I$89,3,0)*VLOOKUP('Données projet'!$B$16,Paramètres!$A$1:$I$89,5,0)</f>
        <v>1.8089849618263545E-13</v>
      </c>
      <c r="FG127" s="14">
        <f t="shared" si="101"/>
        <v>2.536422473342444E-12</v>
      </c>
      <c r="FH127" s="22">
        <f t="shared" si="76"/>
        <v>4.7326673552561798E-12</v>
      </c>
      <c r="FI127" s="60">
        <f t="shared" si="77"/>
        <v>293.33333333333803</v>
      </c>
      <c r="FJ127" s="60">
        <f ca="1">AVERAGE(OFFSET($FI$3,0,0,'Données projet'!$E$16+1,1))-AVERAGE(OFFSET($H$3,0,0,'Données projet'!$E$16+1,1))</f>
        <v>219.61164494001008</v>
      </c>
      <c r="FK127" s="60">
        <f t="shared" si="102"/>
        <v>219.59799863414111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-6.2527760746888816E-13</v>
      </c>
      <c r="GA127" s="18">
        <f>FZ127*VLOOKUP('Données projet'!$B$17,Paramètres!$A$1:$I$89,3,0)*VLOOKUP('Données projet'!$B$17,Paramètres!$A$1:$I$89,5,0)</f>
        <v>-2.9262992029543964E-13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147.5699668214238</v>
      </c>
      <c r="GF127" s="60">
        <f t="shared" si="104"/>
        <v>70.653739864908346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>
        <f>GU127*VLOOKUP('Données projet'!$B$18,Paramètres!$A$1:$I$89,3,0)*VLOOKUP('Données projet'!$B$18,Paramètres!$A$1:$I$89,5,0)</f>
        <v>0</v>
      </c>
      <c r="GW127" s="14" t="e">
        <f t="shared" si="105"/>
        <v>#NUM!</v>
      </c>
      <c r="GX127" s="22" t="e">
        <f t="shared" si="82"/>
        <v>#NUM!</v>
      </c>
      <c r="GY127" s="60" t="e">
        <f t="shared" si="83"/>
        <v>#NUM!</v>
      </c>
      <c r="GZ127" s="60">
        <f ca="1">AVERAGE(OFFSET($GY$3,0,0,'Données projet'!$E$18+1,1))-AVERAGE(OFFSET($H$3,0,0,'Données projet'!$E$18+1,1))</f>
        <v>136.03899433512379</v>
      </c>
      <c r="HA127" s="60">
        <f t="shared" si="106"/>
        <v>316.56646692826882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11.605709620164427</v>
      </c>
      <c r="HH127" s="23">
        <f>EXP(-LN(2)/25)*HH126+(1-EXP(-LN(2)/25))/(LN(2)/25)*Calculateur!HC127*Calculateur!HE127*VLOOKUP('Données projet'!$B$18,Paramètres!$A$1:$I$89,3,0)*0.475*44/12</f>
        <v>0.74415342764870873</v>
      </c>
      <c r="HI127" s="23">
        <f>EXP(-LN(2)/2)*HI126+(1-EXP(-LN(2)/2))/(LN(2)/2)*HC127*HF127*VLOOKUP('Données projet'!$B$18,Paramètres!$A$1:$I$89,3,0)*0.475*44/12</f>
        <v>2.0774270129758983E-14</v>
      </c>
      <c r="HJ127" s="24">
        <f t="shared" si="84"/>
        <v>12.349863047813157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325.9999999999996</v>
      </c>
      <c r="O128" s="14">
        <f>N128*VLOOKUP('Données projet'!$B$9,Paramètres!$A$1:$I$89,3,0)*VLOOKUP('Données projet'!$B$9,Paramètres!$A$1:$I$89,5,0)</f>
        <v>294.96479999999963</v>
      </c>
      <c r="P128" s="14">
        <f t="shared" si="87"/>
        <v>70.119854541045001</v>
      </c>
      <c r="Q128" s="22">
        <f t="shared" si="107"/>
        <v>635.85577332565276</v>
      </c>
      <c r="R128" s="60">
        <f t="shared" si="55"/>
        <v>929.18910665898602</v>
      </c>
      <c r="S128" s="60">
        <f ca="1">AVERAGE(OFFSET($R$3,0,0,'Données projet'!$E$9+1,1))-AVERAGE(OFFSET($H$3,0,0,'Données projet'!$E$9+1,1))</f>
        <v>384.44848355636935</v>
      </c>
      <c r="T128" s="60">
        <f t="shared" si="88"/>
        <v>203.5274665601915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256.96319999999946</v>
      </c>
      <c r="AK128" s="14">
        <f t="shared" si="89"/>
        <v>62.07461295683791</v>
      </c>
      <c r="AL128" s="22">
        <f t="shared" si="58"/>
        <v>555.65752423315837</v>
      </c>
      <c r="AM128" s="60">
        <f t="shared" si="59"/>
        <v>848.99085756649174</v>
      </c>
      <c r="AN128" s="60">
        <f ca="1">AVERAGE(OFFSET($AM$3,0,0,'Données projet'!$E$10+1,1))-AVERAGE(OFFSET($H$3,0,0,'Données projet'!$E$10+1,1))</f>
        <v>303.73499739059076</v>
      </c>
      <c r="AO128" s="60">
        <f t="shared" si="90"/>
        <v>172.32171001882188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4.2</v>
      </c>
      <c r="BD128" s="13">
        <f>IF('Données projet'!$A$88&gt;35,BD127+BC128-BL127,IF(A128&lt;'Données projet'!$A$88,$BA$205^A128,IF(A128='Données projet'!$A$88,'Données projet'!$B$88,BD127+BC128-BL127)))</f>
        <v>325.9999999999996</v>
      </c>
      <c r="BE128" s="14">
        <f>BD128*VLOOKUP('Données projet'!$B$11,Paramètres!$A$1:$I$89,3,0)*VLOOKUP('Données projet'!$B$11,Paramètres!$A$1:$I$89,5,0)</f>
        <v>274.62239999999969</v>
      </c>
      <c r="BF128" s="14">
        <f t="shared" si="91"/>
        <v>65.829287958103706</v>
      </c>
      <c r="BG128" s="22">
        <f t="shared" si="61"/>
        <v>592.95335652703</v>
      </c>
      <c r="BH128" s="60">
        <f t="shared" si="62"/>
        <v>886.28668986036337</v>
      </c>
      <c r="BI128" s="60">
        <f ca="1">AVERAGE(OFFSET($BH$3,0,0,'Données projet'!$E$11+1,1))-AVERAGE(OFFSET($H$3,0,0,'Données projet'!$E$11+1,1))</f>
        <v>352.29660374042186</v>
      </c>
      <c r="BJ128" s="60">
        <f t="shared" si="92"/>
        <v>187.26439695305618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239.24159999999955</v>
      </c>
      <c r="CA128" s="14">
        <f t="shared" si="93"/>
        <v>58.276326982845731</v>
      </c>
      <c r="CB128" s="22">
        <f t="shared" si="64"/>
        <v>518.17705616178876</v>
      </c>
      <c r="CC128" s="60">
        <f t="shared" si="65"/>
        <v>811.51038949512213</v>
      </c>
      <c r="CD128" s="60">
        <f ca="1">AVERAGE(OFFSET($CC$3,0,0,'Données projet'!$E$12+1,1))-AVERAGE(OFFSET($H$3,0,0,'Données projet'!$E$12+1,1))</f>
        <v>277.03735509061545</v>
      </c>
      <c r="CE128" s="60">
        <f t="shared" si="94"/>
        <v>158.16416492761959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287.97599999999943</v>
      </c>
      <c r="CV128" s="14">
        <f t="shared" si="95"/>
        <v>68.649801713863027</v>
      </c>
      <c r="CW128" s="22">
        <f t="shared" si="67"/>
        <v>621.12327131831046</v>
      </c>
      <c r="CX128" s="60">
        <f t="shared" si="68"/>
        <v>914.45660465164383</v>
      </c>
      <c r="CY128" s="60">
        <f ca="1">AVERAGE(OFFSET($CX$3,0,0,'Données projet'!$E$13+1,1))-AVERAGE(OFFSET($H$3,0,0,'Données projet'!$E$13+1,1))</f>
        <v>350.3652766444938</v>
      </c>
      <c r="CZ128" s="60">
        <f t="shared" si="96"/>
        <v>197.04549436738586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3.4106051316484809E-13</v>
      </c>
      <c r="DP128" s="18">
        <f>DO128*VLOOKUP('Données projet'!$B$14,Paramètres!$A$1:$I$89,3,0)*VLOOKUP('Données projet'!$B$14,Paramètres!$A$1:$I$89,5,0)</f>
        <v>2.7134774427395314E-13</v>
      </c>
      <c r="DQ128" s="14">
        <f t="shared" si="97"/>
        <v>3.6292411711343559E-12</v>
      </c>
      <c r="DR128" s="22">
        <f t="shared" si="70"/>
        <v>6.7935256943361388E-12</v>
      </c>
      <c r="DS128" s="60">
        <f t="shared" si="71"/>
        <v>293.33333333334014</v>
      </c>
      <c r="DT128" s="60">
        <f ca="1">AVERAGE(OFFSET($DS$3,0,0,'Données projet'!$E$14+1,1))-AVERAGE(OFFSET($H$3,0,0,'Données projet'!$E$14+1,1))</f>
        <v>382.01991140382955</v>
      </c>
      <c r="DU128" s="60">
        <f t="shared" si="98"/>
        <v>389.53897948144339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323.92137573760789</v>
      </c>
      <c r="EP128" s="60">
        <f t="shared" si="100"/>
        <v>389.53897948144339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2.2737367544323206E-13</v>
      </c>
      <c r="FF128" s="18">
        <f>FE128*VLOOKUP('Données projet'!$B$16,Paramètres!$A$1:$I$89,3,0)*VLOOKUP('Données projet'!$B$16,Paramètres!$A$1:$I$89,5,0)</f>
        <v>1.8089849618263545E-13</v>
      </c>
      <c r="FG128" s="14">
        <f t="shared" si="101"/>
        <v>2.536422473342444E-12</v>
      </c>
      <c r="FH128" s="22">
        <f t="shared" si="76"/>
        <v>4.7326673552561798E-12</v>
      </c>
      <c r="FI128" s="60">
        <f t="shared" si="77"/>
        <v>293.33333333333803</v>
      </c>
      <c r="FJ128" s="60">
        <f ca="1">AVERAGE(OFFSET($FI$3,0,0,'Données projet'!$E$16+1,1))-AVERAGE(OFFSET($H$3,0,0,'Données projet'!$E$16+1,1))</f>
        <v>219.61164494001008</v>
      </c>
      <c r="FK128" s="60">
        <f t="shared" si="102"/>
        <v>219.59799863414111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-6.2527760746888816E-13</v>
      </c>
      <c r="GA128" s="18">
        <f>FZ128*VLOOKUP('Données projet'!$B$17,Paramètres!$A$1:$I$89,3,0)*VLOOKUP('Données projet'!$B$17,Paramètres!$A$1:$I$89,5,0)</f>
        <v>-2.9262992029543964E-13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147.5699668214238</v>
      </c>
      <c r="GF128" s="60">
        <f t="shared" si="104"/>
        <v>70.653739864908346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>
        <f>GU128*VLOOKUP('Données projet'!$B$18,Paramètres!$A$1:$I$89,3,0)*VLOOKUP('Données projet'!$B$18,Paramètres!$A$1:$I$89,5,0)</f>
        <v>0</v>
      </c>
      <c r="GW128" s="14" t="e">
        <f t="shared" si="105"/>
        <v>#NUM!</v>
      </c>
      <c r="GX128" s="22" t="e">
        <f t="shared" si="82"/>
        <v>#NUM!</v>
      </c>
      <c r="GY128" s="60" t="e">
        <f t="shared" si="83"/>
        <v>#NUM!</v>
      </c>
      <c r="GZ128" s="60">
        <f ca="1">AVERAGE(OFFSET($GY$3,0,0,'Données projet'!$E$18+1,1))-AVERAGE(OFFSET($H$3,0,0,'Données projet'!$E$18+1,1))</f>
        <v>136.03899433512379</v>
      </c>
      <c r="HA128" s="60">
        <f t="shared" si="106"/>
        <v>316.56646692826882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11.378128733296899</v>
      </c>
      <c r="HH128" s="23">
        <f>EXP(-LN(2)/25)*HH127+(1-EXP(-LN(2)/25))/(LN(2)/25)*Calculateur!HC128*Calculateur!HE128*VLOOKUP('Données projet'!$B$18,Paramètres!$A$1:$I$89,3,0)*0.475*44/12</f>
        <v>0.72380451303632687</v>
      </c>
      <c r="HI128" s="23">
        <f>EXP(-LN(2)/2)*HI127+(1-EXP(-LN(2)/2))/(LN(2)/2)*HC128*HF128*VLOOKUP('Données projet'!$B$18,Paramètres!$A$1:$I$89,3,0)*0.475*44/12</f>
        <v>1.4689627282953715E-14</v>
      </c>
      <c r="HJ128" s="24">
        <f t="shared" si="84"/>
        <v>12.101933246333241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330.19999999999959</v>
      </c>
      <c r="O129" s="14">
        <f>N129*VLOOKUP('Données projet'!$B$9,Paramètres!$A$1:$I$89,3,0)*VLOOKUP('Données projet'!$B$9,Paramètres!$A$1:$I$89,5,0)</f>
        <v>298.76495999999958</v>
      </c>
      <c r="P129" s="14">
        <f t="shared" si="87"/>
        <v>70.917489523341189</v>
      </c>
      <c r="Q129" s="22">
        <f t="shared" si="107"/>
        <v>643.86359958648518</v>
      </c>
      <c r="R129" s="60">
        <f t="shared" si="55"/>
        <v>937.19693291981844</v>
      </c>
      <c r="S129" s="60">
        <f ca="1">AVERAGE(OFFSET($R$3,0,0,'Données projet'!$E$9+1,1))-AVERAGE(OFFSET($H$3,0,0,'Données projet'!$E$9+1,1))</f>
        <v>384.44848355636935</v>
      </c>
      <c r="T129" s="60">
        <f t="shared" si="88"/>
        <v>203.5274665601915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259.85855999999944</v>
      </c>
      <c r="AK129" s="14">
        <f t="shared" si="89"/>
        <v>62.692227709138365</v>
      </c>
      <c r="AL129" s="22">
        <f t="shared" si="58"/>
        <v>561.77595526008167</v>
      </c>
      <c r="AM129" s="60">
        <f t="shared" si="59"/>
        <v>855.10928859341493</v>
      </c>
      <c r="AN129" s="60">
        <f ca="1">AVERAGE(OFFSET($AM$3,0,0,'Données projet'!$E$10+1,1))-AVERAGE(OFFSET($H$3,0,0,'Données projet'!$E$10+1,1))</f>
        <v>303.73499739059076</v>
      </c>
      <c r="AO129" s="60">
        <f t="shared" si="90"/>
        <v>172.32171001882188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4.2</v>
      </c>
      <c r="BD129" s="13">
        <f>IF('Données projet'!$A$88&gt;35,BD128+BC129-BL128,IF(A129&lt;'Données projet'!$A$88,$BA$205^A129,IF(A129='Données projet'!$A$88,'Données projet'!$B$88,BD128+BC129-BL128)))</f>
        <v>330.19999999999959</v>
      </c>
      <c r="BE129" s="14">
        <f>BD129*VLOOKUP('Données projet'!$B$11,Paramètres!$A$1:$I$89,3,0)*VLOOKUP('Données projet'!$B$11,Paramètres!$A$1:$I$89,5,0)</f>
        <v>278.16047999999967</v>
      </c>
      <c r="BF129" s="14">
        <f t="shared" si="91"/>
        <v>66.578116421578372</v>
      </c>
      <c r="BG129" s="22">
        <f t="shared" si="61"/>
        <v>600.41972210091501</v>
      </c>
      <c r="BH129" s="60">
        <f t="shared" si="62"/>
        <v>893.75305543424838</v>
      </c>
      <c r="BI129" s="60">
        <f ca="1">AVERAGE(OFFSET($BH$3,0,0,'Données projet'!$E$11+1,1))-AVERAGE(OFFSET($H$3,0,0,'Données projet'!$E$11+1,1))</f>
        <v>352.29660374042186</v>
      </c>
      <c r="BJ129" s="60">
        <f t="shared" si="92"/>
        <v>187.26439695305618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241.93727999999956</v>
      </c>
      <c r="CA129" s="14">
        <f t="shared" si="93"/>
        <v>58.85615048137516</v>
      </c>
      <c r="CB129" s="22">
        <f t="shared" si="64"/>
        <v>523.88189142172769</v>
      </c>
      <c r="CC129" s="60">
        <f t="shared" si="65"/>
        <v>817.21522475506094</v>
      </c>
      <c r="CD129" s="60">
        <f ca="1">AVERAGE(OFFSET($CC$3,0,0,'Données projet'!$E$12+1,1))-AVERAGE(OFFSET($H$3,0,0,'Données projet'!$E$12+1,1))</f>
        <v>277.03735509061545</v>
      </c>
      <c r="CE129" s="60">
        <f t="shared" si="94"/>
        <v>158.16416492761959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291.22079999999943</v>
      </c>
      <c r="CV129" s="14">
        <f t="shared" si="95"/>
        <v>69.33283666585649</v>
      </c>
      <c r="CW129" s="22">
        <f t="shared" si="67"/>
        <v>627.96425052636573</v>
      </c>
      <c r="CX129" s="60">
        <f t="shared" si="68"/>
        <v>921.29758385969899</v>
      </c>
      <c r="CY129" s="60">
        <f ca="1">AVERAGE(OFFSET($CX$3,0,0,'Données projet'!$E$13+1,1))-AVERAGE(OFFSET($H$3,0,0,'Données projet'!$E$13+1,1))</f>
        <v>350.3652766444938</v>
      </c>
      <c r="CZ129" s="60">
        <f t="shared" si="96"/>
        <v>197.04549436738586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3.4106051316484809E-13</v>
      </c>
      <c r="DP129" s="18">
        <f>DO129*VLOOKUP('Données projet'!$B$14,Paramètres!$A$1:$I$89,3,0)*VLOOKUP('Données projet'!$B$14,Paramètres!$A$1:$I$89,5,0)</f>
        <v>2.7134774427395314E-13</v>
      </c>
      <c r="DQ129" s="14">
        <f t="shared" si="97"/>
        <v>3.6292411711343559E-12</v>
      </c>
      <c r="DR129" s="22">
        <f t="shared" si="70"/>
        <v>6.7935256943361388E-12</v>
      </c>
      <c r="DS129" s="60">
        <f t="shared" si="71"/>
        <v>293.33333333334014</v>
      </c>
      <c r="DT129" s="60">
        <f ca="1">AVERAGE(OFFSET($DS$3,0,0,'Données projet'!$E$14+1,1))-AVERAGE(OFFSET($H$3,0,0,'Données projet'!$E$14+1,1))</f>
        <v>382.01991140382955</v>
      </c>
      <c r="DU129" s="60">
        <f t="shared" si="98"/>
        <v>389.53897948144339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323.92137573760789</v>
      </c>
      <c r="EP129" s="60">
        <f t="shared" si="100"/>
        <v>389.53897948144339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2.2737367544323206E-13</v>
      </c>
      <c r="FF129" s="18">
        <f>FE129*VLOOKUP('Données projet'!$B$16,Paramètres!$A$1:$I$89,3,0)*VLOOKUP('Données projet'!$B$16,Paramètres!$A$1:$I$89,5,0)</f>
        <v>1.8089849618263545E-13</v>
      </c>
      <c r="FG129" s="14">
        <f t="shared" si="101"/>
        <v>2.536422473342444E-12</v>
      </c>
      <c r="FH129" s="22">
        <f t="shared" si="76"/>
        <v>4.7326673552561798E-12</v>
      </c>
      <c r="FI129" s="60">
        <f t="shared" si="77"/>
        <v>293.33333333333803</v>
      </c>
      <c r="FJ129" s="60">
        <f ca="1">AVERAGE(OFFSET($FI$3,0,0,'Données projet'!$E$16+1,1))-AVERAGE(OFFSET($H$3,0,0,'Données projet'!$E$16+1,1))</f>
        <v>219.61164494001008</v>
      </c>
      <c r="FK129" s="60">
        <f t="shared" si="102"/>
        <v>219.59799863414111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-6.2527760746888816E-13</v>
      </c>
      <c r="GA129" s="18">
        <f>FZ129*VLOOKUP('Données projet'!$B$17,Paramètres!$A$1:$I$89,3,0)*VLOOKUP('Données projet'!$B$17,Paramètres!$A$1:$I$89,5,0)</f>
        <v>-2.9262992029543964E-13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147.5699668214238</v>
      </c>
      <c r="GF129" s="60">
        <f t="shared" si="104"/>
        <v>70.653739864908346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>
        <f>GU129*VLOOKUP('Données projet'!$B$18,Paramètres!$A$1:$I$89,3,0)*VLOOKUP('Données projet'!$B$18,Paramètres!$A$1:$I$89,5,0)</f>
        <v>0</v>
      </c>
      <c r="GW129" s="14" t="e">
        <f t="shared" si="105"/>
        <v>#NUM!</v>
      </c>
      <c r="GX129" s="22" t="e">
        <f t="shared" si="82"/>
        <v>#NUM!</v>
      </c>
      <c r="GY129" s="60" t="e">
        <f t="shared" si="83"/>
        <v>#NUM!</v>
      </c>
      <c r="GZ129" s="60">
        <f ca="1">AVERAGE(OFFSET($GY$3,0,0,'Données projet'!$E$18+1,1))-AVERAGE(OFFSET($H$3,0,0,'Données projet'!$E$18+1,1))</f>
        <v>136.03899433512379</v>
      </c>
      <c r="HA129" s="60">
        <f t="shared" si="106"/>
        <v>316.56646692826882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11.155010568810209</v>
      </c>
      <c r="HH129" s="23">
        <f>EXP(-LN(2)/25)*HH128+(1-EXP(-LN(2)/25))/(LN(2)/25)*Calculateur!HC129*Calculateur!HE129*VLOOKUP('Données projet'!$B$18,Paramètres!$A$1:$I$89,3,0)*0.475*44/12</f>
        <v>0.70401204056412348</v>
      </c>
      <c r="HI129" s="23">
        <f>EXP(-LN(2)/2)*HI128+(1-EXP(-LN(2)/2))/(LN(2)/2)*HC129*HF129*VLOOKUP('Données projet'!$B$18,Paramètres!$A$1:$I$89,3,0)*0.475*44/12</f>
        <v>1.0387135064879492E-14</v>
      </c>
      <c r="HJ129" s="24">
        <f t="shared" si="84"/>
        <v>11.859022609374342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334.39999999999958</v>
      </c>
      <c r="O130" s="14">
        <f>N130*VLOOKUP('Données projet'!$B$9,Paramètres!$A$1:$I$89,3,0)*VLOOKUP('Données projet'!$B$9,Paramètres!$A$1:$I$89,5,0)</f>
        <v>302.56511999999958</v>
      </c>
      <c r="P130" s="14">
        <f t="shared" si="87"/>
        <v>71.713944401538271</v>
      </c>
      <c r="Q130" s="22">
        <f t="shared" si="107"/>
        <v>651.86937049934511</v>
      </c>
      <c r="R130" s="60">
        <f t="shared" si="55"/>
        <v>945.20270383267848</v>
      </c>
      <c r="S130" s="60">
        <f ca="1">AVERAGE(OFFSET($R$3,0,0,'Données projet'!$E$9+1,1))-AVERAGE(OFFSET($H$3,0,0,'Données projet'!$E$9+1,1))</f>
        <v>384.44848355636935</v>
      </c>
      <c r="T130" s="60">
        <f t="shared" si="88"/>
        <v>203.5274665601915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262.75391999999948</v>
      </c>
      <c r="AK130" s="14">
        <f t="shared" si="89"/>
        <v>63.309041956360211</v>
      </c>
      <c r="AL130" s="22">
        <f t="shared" si="58"/>
        <v>567.89299207399313</v>
      </c>
      <c r="AM130" s="60">
        <f t="shared" si="59"/>
        <v>861.22632540732639</v>
      </c>
      <c r="AN130" s="60">
        <f ca="1">AVERAGE(OFFSET($AM$3,0,0,'Données projet'!$E$10+1,1))-AVERAGE(OFFSET($H$3,0,0,'Données projet'!$E$10+1,1))</f>
        <v>303.73499739059076</v>
      </c>
      <c r="AO130" s="60">
        <f t="shared" si="90"/>
        <v>172.32171001882188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4.2</v>
      </c>
      <c r="BD130" s="13">
        <f>IF('Données projet'!$A$88&gt;35,BD129+BC130-BL129,IF(A130&lt;'Données projet'!$A$88,$BA$205^A130,IF(A130='Données projet'!$A$88,'Données projet'!$B$88,BD129+BC130-BL129)))</f>
        <v>334.39999999999958</v>
      </c>
      <c r="BE130" s="14">
        <f>BD130*VLOOKUP('Données projet'!$B$11,Paramètres!$A$1:$I$89,3,0)*VLOOKUP('Données projet'!$B$11,Paramètres!$A$1:$I$89,5,0)</f>
        <v>281.6985599999997</v>
      </c>
      <c r="BF130" s="14">
        <f t="shared" si="91"/>
        <v>67.325836990390755</v>
      </c>
      <c r="BG130" s="22">
        <f t="shared" si="61"/>
        <v>607.88415809159676</v>
      </c>
      <c r="BH130" s="60">
        <f t="shared" si="62"/>
        <v>901.21749142493013</v>
      </c>
      <c r="BI130" s="60">
        <f ca="1">AVERAGE(OFFSET($BH$3,0,0,'Données projet'!$E$11+1,1))-AVERAGE(OFFSET($H$3,0,0,'Données projet'!$E$11+1,1))</f>
        <v>352.29660374042186</v>
      </c>
      <c r="BJ130" s="60">
        <f t="shared" si="92"/>
        <v>187.26439695305618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244.63295999999951</v>
      </c>
      <c r="CA130" s="14">
        <f t="shared" si="93"/>
        <v>59.435222456963182</v>
      </c>
      <c r="CB130" s="22">
        <f t="shared" si="64"/>
        <v>529.58541777920993</v>
      </c>
      <c r="CC130" s="60">
        <f t="shared" si="65"/>
        <v>822.9187511125433</v>
      </c>
      <c r="CD130" s="60">
        <f ca="1">AVERAGE(OFFSET($CC$3,0,0,'Données projet'!$E$12+1,1))-AVERAGE(OFFSET($H$3,0,0,'Données projet'!$E$12+1,1))</f>
        <v>277.03735509061545</v>
      </c>
      <c r="CE130" s="60">
        <f t="shared" si="94"/>
        <v>158.16416492761959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294.46559999999943</v>
      </c>
      <c r="CV130" s="14">
        <f t="shared" si="95"/>
        <v>70.0149863201041</v>
      </c>
      <c r="CW130" s="22">
        <f t="shared" si="67"/>
        <v>634.80368784084692</v>
      </c>
      <c r="CX130" s="60">
        <f t="shared" si="68"/>
        <v>928.13702117418029</v>
      </c>
      <c r="CY130" s="60">
        <f ca="1">AVERAGE(OFFSET($CX$3,0,0,'Données projet'!$E$13+1,1))-AVERAGE(OFFSET($H$3,0,0,'Données projet'!$E$13+1,1))</f>
        <v>350.3652766444938</v>
      </c>
      <c r="CZ130" s="60">
        <f t="shared" si="96"/>
        <v>197.04549436738586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3.4106051316484809E-13</v>
      </c>
      <c r="DP130" s="18">
        <f>DO130*VLOOKUP('Données projet'!$B$14,Paramètres!$A$1:$I$89,3,0)*VLOOKUP('Données projet'!$B$14,Paramètres!$A$1:$I$89,5,0)</f>
        <v>2.7134774427395314E-13</v>
      </c>
      <c r="DQ130" s="14">
        <f t="shared" si="97"/>
        <v>3.6292411711343559E-12</v>
      </c>
      <c r="DR130" s="22">
        <f t="shared" si="70"/>
        <v>6.7935256943361388E-12</v>
      </c>
      <c r="DS130" s="60">
        <f t="shared" si="71"/>
        <v>293.33333333334014</v>
      </c>
      <c r="DT130" s="60">
        <f ca="1">AVERAGE(OFFSET($DS$3,0,0,'Données projet'!$E$14+1,1))-AVERAGE(OFFSET($H$3,0,0,'Données projet'!$E$14+1,1))</f>
        <v>382.01991140382955</v>
      </c>
      <c r="DU130" s="60">
        <f t="shared" si="98"/>
        <v>389.53897948144339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323.92137573760789</v>
      </c>
      <c r="EP130" s="60">
        <f t="shared" si="100"/>
        <v>389.53897948144339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2.2737367544323206E-13</v>
      </c>
      <c r="FF130" s="18">
        <f>FE130*VLOOKUP('Données projet'!$B$16,Paramètres!$A$1:$I$89,3,0)*VLOOKUP('Données projet'!$B$16,Paramètres!$A$1:$I$89,5,0)</f>
        <v>1.8089849618263545E-13</v>
      </c>
      <c r="FG130" s="14">
        <f t="shared" si="101"/>
        <v>2.536422473342444E-12</v>
      </c>
      <c r="FH130" s="22">
        <f t="shared" si="76"/>
        <v>4.7326673552561798E-12</v>
      </c>
      <c r="FI130" s="60">
        <f t="shared" si="77"/>
        <v>293.33333333333803</v>
      </c>
      <c r="FJ130" s="60">
        <f ca="1">AVERAGE(OFFSET($FI$3,0,0,'Données projet'!$E$16+1,1))-AVERAGE(OFFSET($H$3,0,0,'Données projet'!$E$16+1,1))</f>
        <v>219.61164494001008</v>
      </c>
      <c r="FK130" s="60">
        <f t="shared" si="102"/>
        <v>219.59799863414111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-6.2527760746888816E-13</v>
      </c>
      <c r="GA130" s="18">
        <f>FZ130*VLOOKUP('Données projet'!$B$17,Paramètres!$A$1:$I$89,3,0)*VLOOKUP('Données projet'!$B$17,Paramètres!$A$1:$I$89,5,0)</f>
        <v>-2.9262992029543964E-13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147.5699668214238</v>
      </c>
      <c r="GF130" s="60">
        <f t="shared" si="104"/>
        <v>70.653739864908346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>
        <f>GU130*VLOOKUP('Données projet'!$B$18,Paramètres!$A$1:$I$89,3,0)*VLOOKUP('Données projet'!$B$18,Paramètres!$A$1:$I$89,5,0)</f>
        <v>0</v>
      </c>
      <c r="GW130" s="14" t="e">
        <f t="shared" si="105"/>
        <v>#NUM!</v>
      </c>
      <c r="GX130" s="22" t="e">
        <f t="shared" si="82"/>
        <v>#NUM!</v>
      </c>
      <c r="GY130" s="60" t="e">
        <f t="shared" si="83"/>
        <v>#NUM!</v>
      </c>
      <c r="GZ130" s="60">
        <f ca="1">AVERAGE(OFFSET($GY$3,0,0,'Données projet'!$E$18+1,1))-AVERAGE(OFFSET($H$3,0,0,'Données projet'!$E$18+1,1))</f>
        <v>136.03899433512379</v>
      </c>
      <c r="HA130" s="60">
        <f t="shared" si="106"/>
        <v>316.56646692826882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10.93626761544046</v>
      </c>
      <c r="HH130" s="23">
        <f>EXP(-LN(2)/25)*HH129+(1-EXP(-LN(2)/25))/(LN(2)/25)*Calculateur!HC130*Calculateur!HE130*VLOOKUP('Données projet'!$B$18,Paramètres!$A$1:$I$89,3,0)*0.475*44/12</f>
        <v>0.68476079429251335</v>
      </c>
      <c r="HI130" s="23">
        <f>EXP(-LN(2)/2)*HI129+(1-EXP(-LN(2)/2))/(LN(2)/2)*HC130*HF130*VLOOKUP('Données projet'!$B$18,Paramètres!$A$1:$I$89,3,0)*0.475*44/12</f>
        <v>7.3448136414768577E-15</v>
      </c>
      <c r="HJ130" s="24">
        <f t="shared" si="84"/>
        <v>11.621028409732981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338.59999999999957</v>
      </c>
      <c r="O131" s="14">
        <f>N131*VLOOKUP('Données projet'!$B$9,Paramètres!$A$1:$I$89,3,0)*VLOOKUP('Données projet'!$B$9,Paramètres!$A$1:$I$89,5,0)</f>
        <v>306.36527999999964</v>
      </c>
      <c r="P131" s="14">
        <f t="shared" si="87"/>
        <v>72.509235711569417</v>
      </c>
      <c r="Q131" s="22">
        <f t="shared" ref="Q131:Q153" si="108">(O131+P131)*0.475*44/12</f>
        <v>659.87311486431611</v>
      </c>
      <c r="R131" s="60">
        <f t="shared" ref="R131:R194" si="109">Q131+(I131+J131)*44/12</f>
        <v>953.20644819764948</v>
      </c>
      <c r="S131" s="60">
        <f ca="1">AVERAGE(OFFSET($R$3,0,0,'Données projet'!$E$9+1,1))-AVERAGE(OFFSET($H$3,0,0,'Données projet'!$E$9+1,1))</f>
        <v>384.44848355636935</v>
      </c>
      <c r="T131" s="60">
        <f t="shared" si="88"/>
        <v>203.5274665601915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265.64927999999946</v>
      </c>
      <c r="AK131" s="14">
        <f t="shared" si="89"/>
        <v>63.925065540346907</v>
      </c>
      <c r="AL131" s="22">
        <f t="shared" si="58"/>
        <v>574.00865181610322</v>
      </c>
      <c r="AM131" s="60">
        <f t="shared" si="59"/>
        <v>867.3419851494366</v>
      </c>
      <c r="AN131" s="60">
        <f ca="1">AVERAGE(OFFSET($AM$3,0,0,'Données projet'!$E$10+1,1))-AVERAGE(OFFSET($H$3,0,0,'Données projet'!$E$10+1,1))</f>
        <v>303.73499739059076</v>
      </c>
      <c r="AO131" s="60">
        <f t="shared" si="90"/>
        <v>172.32171001882188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4.2</v>
      </c>
      <c r="BD131" s="13">
        <f>IF('Données projet'!$A$88&gt;35,BD130+BC131-BL130,IF(A131&lt;'Données projet'!$A$88,$BA$205^A131,IF(A131='Données projet'!$A$88,'Données projet'!$B$88,BD130+BC131-BL130)))</f>
        <v>338.59999999999957</v>
      </c>
      <c r="BE131" s="14">
        <f>BD131*VLOOKUP('Données projet'!$B$11,Paramètres!$A$1:$I$89,3,0)*VLOOKUP('Données projet'!$B$11,Paramètres!$A$1:$I$89,5,0)</f>
        <v>285.23663999999962</v>
      </c>
      <c r="BF131" s="14">
        <f t="shared" si="91"/>
        <v>68.072465188656167</v>
      </c>
      <c r="BG131" s="22">
        <f t="shared" si="61"/>
        <v>615.34669153690879</v>
      </c>
      <c r="BH131" s="60">
        <f t="shared" si="62"/>
        <v>908.68002487024205</v>
      </c>
      <c r="BI131" s="60">
        <f ca="1">AVERAGE(OFFSET($BH$3,0,0,'Données projet'!$E$11+1,1))-AVERAGE(OFFSET($H$3,0,0,'Données projet'!$E$11+1,1))</f>
        <v>352.29660374042186</v>
      </c>
      <c r="BJ131" s="60">
        <f t="shared" si="92"/>
        <v>187.26439695305618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247.32863999999952</v>
      </c>
      <c r="CA131" s="14">
        <f t="shared" si="93"/>
        <v>60.013552149240361</v>
      </c>
      <c r="CB131" s="22">
        <f t="shared" si="64"/>
        <v>535.28765132659282</v>
      </c>
      <c r="CC131" s="60">
        <f t="shared" si="65"/>
        <v>828.62098465992608</v>
      </c>
      <c r="CD131" s="60">
        <f ca="1">AVERAGE(OFFSET($CC$3,0,0,'Données projet'!$E$12+1,1))-AVERAGE(OFFSET($H$3,0,0,'Données projet'!$E$12+1,1))</f>
        <v>277.03735509061545</v>
      </c>
      <c r="CE131" s="60">
        <f t="shared" si="94"/>
        <v>158.16416492761959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297.71039999999937</v>
      </c>
      <c r="CV131" s="14">
        <f t="shared" si="95"/>
        <v>70.696261560936534</v>
      </c>
      <c r="CW131" s="22">
        <f t="shared" si="67"/>
        <v>641.64160221862994</v>
      </c>
      <c r="CX131" s="60">
        <f t="shared" si="68"/>
        <v>934.9749355519632</v>
      </c>
      <c r="CY131" s="60">
        <f ca="1">AVERAGE(OFFSET($CX$3,0,0,'Données projet'!$E$13+1,1))-AVERAGE(OFFSET($H$3,0,0,'Données projet'!$E$13+1,1))</f>
        <v>350.3652766444938</v>
      </c>
      <c r="CZ131" s="60">
        <f t="shared" si="96"/>
        <v>197.04549436738586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3.4106051316484809E-13</v>
      </c>
      <c r="DP131" s="18">
        <f>DO131*VLOOKUP('Données projet'!$B$14,Paramètres!$A$1:$I$89,3,0)*VLOOKUP('Données projet'!$B$14,Paramètres!$A$1:$I$89,5,0)</f>
        <v>2.7134774427395314E-13</v>
      </c>
      <c r="DQ131" s="14">
        <f t="shared" si="97"/>
        <v>3.6292411711343559E-12</v>
      </c>
      <c r="DR131" s="22">
        <f t="shared" si="70"/>
        <v>6.7935256943361388E-12</v>
      </c>
      <c r="DS131" s="60">
        <f t="shared" si="71"/>
        <v>293.33333333334014</v>
      </c>
      <c r="DT131" s="60">
        <f ca="1">AVERAGE(OFFSET($DS$3,0,0,'Données projet'!$E$14+1,1))-AVERAGE(OFFSET($H$3,0,0,'Données projet'!$E$14+1,1))</f>
        <v>382.01991140382955</v>
      </c>
      <c r="DU131" s="60">
        <f t="shared" si="98"/>
        <v>389.53897948144339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323.92137573760789</v>
      </c>
      <c r="EP131" s="60">
        <f t="shared" si="100"/>
        <v>389.53897948144339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2.2737367544323206E-13</v>
      </c>
      <c r="FF131" s="18">
        <f>FE131*VLOOKUP('Données projet'!$B$16,Paramètres!$A$1:$I$89,3,0)*VLOOKUP('Données projet'!$B$16,Paramètres!$A$1:$I$89,5,0)</f>
        <v>1.8089849618263545E-13</v>
      </c>
      <c r="FG131" s="14">
        <f t="shared" si="101"/>
        <v>2.536422473342444E-12</v>
      </c>
      <c r="FH131" s="22">
        <f t="shared" si="76"/>
        <v>4.7326673552561798E-12</v>
      </c>
      <c r="FI131" s="60">
        <f t="shared" si="77"/>
        <v>293.33333333333803</v>
      </c>
      <c r="FJ131" s="60">
        <f ca="1">AVERAGE(OFFSET($FI$3,0,0,'Données projet'!$E$16+1,1))-AVERAGE(OFFSET($H$3,0,0,'Données projet'!$E$16+1,1))</f>
        <v>219.61164494001008</v>
      </c>
      <c r="FK131" s="60">
        <f t="shared" si="102"/>
        <v>219.59799863414111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-6.2527760746888816E-13</v>
      </c>
      <c r="GA131" s="18">
        <f>FZ131*VLOOKUP('Données projet'!$B$17,Paramètres!$A$1:$I$89,3,0)*VLOOKUP('Données projet'!$B$17,Paramètres!$A$1:$I$89,5,0)</f>
        <v>-2.9262992029543964E-13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147.5699668214238</v>
      </c>
      <c r="GF131" s="60">
        <f t="shared" si="104"/>
        <v>70.653739864908346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>
        <f>GU131*VLOOKUP('Données projet'!$B$18,Paramètres!$A$1:$I$89,3,0)*VLOOKUP('Données projet'!$B$18,Paramètres!$A$1:$I$89,5,0)</f>
        <v>0</v>
      </c>
      <c r="GW131" s="14" t="e">
        <f t="shared" si="105"/>
        <v>#NUM!</v>
      </c>
      <c r="GX131" s="22" t="e">
        <f t="shared" si="82"/>
        <v>#NUM!</v>
      </c>
      <c r="GY131" s="60" t="e">
        <f t="shared" si="83"/>
        <v>#NUM!</v>
      </c>
      <c r="GZ131" s="60">
        <f ca="1">AVERAGE(OFFSET($GY$3,0,0,'Données projet'!$E$18+1,1))-AVERAGE(OFFSET($H$3,0,0,'Données projet'!$E$18+1,1))</f>
        <v>136.03899433512379</v>
      </c>
      <c r="HA131" s="60">
        <f t="shared" si="106"/>
        <v>316.56646692826882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10.721814077966265</v>
      </c>
      <c r="HH131" s="23">
        <f>EXP(-LN(2)/25)*HH130+(1-EXP(-LN(2)/25))/(LN(2)/25)*Calculateur!HC131*Calculateur!HE131*VLOOKUP('Données projet'!$B$18,Paramètres!$A$1:$I$89,3,0)*0.475*44/12</f>
        <v>0.66603597436257944</v>
      </c>
      <c r="HI131" s="23">
        <f>EXP(-LN(2)/2)*HI130+(1-EXP(-LN(2)/2))/(LN(2)/2)*HC131*HF131*VLOOKUP('Données projet'!$B$18,Paramètres!$A$1:$I$89,3,0)*0.475*44/12</f>
        <v>5.1935675324397458E-15</v>
      </c>
      <c r="HJ131" s="24">
        <f t="shared" si="84"/>
        <v>11.387850052328849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342.79999999999956</v>
      </c>
      <c r="O132" s="14">
        <f>N132*VLOOKUP('Données projet'!$B$9,Paramètres!$A$1:$I$89,3,0)*VLOOKUP('Données projet'!$B$9,Paramètres!$A$1:$I$89,5,0)</f>
        <v>310.16543999999959</v>
      </c>
      <c r="P132" s="14">
        <f t="shared" si="87"/>
        <v>73.303379555549043</v>
      </c>
      <c r="Q132" s="22">
        <f t="shared" si="108"/>
        <v>667.87486072591389</v>
      </c>
      <c r="R132" s="60">
        <f t="shared" si="109"/>
        <v>961.20819405924726</v>
      </c>
      <c r="S132" s="60">
        <f ca="1">AVERAGE(OFFSET($R$3,0,0,'Données projet'!$E$9+1,1))-AVERAGE(OFFSET($H$3,0,0,'Données projet'!$E$9+1,1))</f>
        <v>384.44848355636935</v>
      </c>
      <c r="T132" s="60">
        <f t="shared" si="88"/>
        <v>203.5274665601915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268.54463999999945</v>
      </c>
      <c r="AK132" s="14">
        <f t="shared" si="89"/>
        <v>64.540308076050593</v>
      </c>
      <c r="AL132" s="22">
        <f t="shared" ref="AL132:AL153" si="112">(AJ132+AK132)*0.475*44/12</f>
        <v>580.12295123245383</v>
      </c>
      <c r="AM132" s="60">
        <f t="shared" ref="AM132:AM195" si="113">AL132+(AD132+AE132)*44/12</f>
        <v>873.4562845657872</v>
      </c>
      <c r="AN132" s="60">
        <f ca="1">AVERAGE(OFFSET($AM$3,0,0,'Données projet'!$E$10+1,1))-AVERAGE(OFFSET($H$3,0,0,'Données projet'!$E$10+1,1))</f>
        <v>303.73499739059076</v>
      </c>
      <c r="AO132" s="60">
        <f t="shared" si="90"/>
        <v>172.32171001882188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4.2</v>
      </c>
      <c r="BD132" s="13">
        <f>IF('Données projet'!$A$88&gt;35,BD131+BC132-BL131,IF(A132&lt;'Données projet'!$A$88,$BA$205^A132,IF(A132='Données projet'!$A$88,'Données projet'!$B$88,BD131+BC132-BL131)))</f>
        <v>342.79999999999956</v>
      </c>
      <c r="BE132" s="14">
        <f>BD132*VLOOKUP('Données projet'!$B$11,Paramètres!$A$1:$I$89,3,0)*VLOOKUP('Données projet'!$B$11,Paramètres!$A$1:$I$89,5,0)</f>
        <v>288.77471999999966</v>
      </c>
      <c r="BF132" s="14">
        <f t="shared" si="91"/>
        <v>68.818016133216233</v>
      </c>
      <c r="BG132" s="22">
        <f t="shared" ref="BG132:BG153" si="115">(BE132+BF132)*0.475*44/12</f>
        <v>622.80734876535098</v>
      </c>
      <c r="BH132" s="60">
        <f t="shared" ref="BH132:BH195" si="116">BG132+(AY132+AZ132)*44/12</f>
        <v>916.14068209868424</v>
      </c>
      <c r="BI132" s="60">
        <f ca="1">AVERAGE(OFFSET($BH$3,0,0,'Données projet'!$E$11+1,1))-AVERAGE(OFFSET($H$3,0,0,'Données projet'!$E$11+1,1))</f>
        <v>352.29660374042186</v>
      </c>
      <c r="BJ132" s="60">
        <f t="shared" si="92"/>
        <v>187.26439695305618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250.02431999999951</v>
      </c>
      <c r="CA132" s="14">
        <f t="shared" si="93"/>
        <v>60.591148584829156</v>
      </c>
      <c r="CB132" s="22">
        <f t="shared" ref="CB132:CB153" si="118">(BZ132+CA132)*0.475*44/12</f>
        <v>540.98860778524329</v>
      </c>
      <c r="CC132" s="60">
        <f t="shared" ref="CC132:CC195" si="119">CB132+(BT132+BU132)*44/12</f>
        <v>834.32194111857666</v>
      </c>
      <c r="CD132" s="60">
        <f ca="1">AVERAGE(OFFSET($CC$3,0,0,'Données projet'!$E$12+1,1))-AVERAGE(OFFSET($H$3,0,0,'Données projet'!$E$12+1,1))</f>
        <v>277.03735509061545</v>
      </c>
      <c r="CE132" s="60">
        <f t="shared" si="94"/>
        <v>158.16416492761959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300.95519999999942</v>
      </c>
      <c r="CV132" s="14">
        <f t="shared" si="95"/>
        <v>71.376673021759657</v>
      </c>
      <c r="CW132" s="22">
        <f t="shared" ref="CW132:CW153" si="121">(CU132+CV132)*0.475*44/12</f>
        <v>648.47801217956373</v>
      </c>
      <c r="CX132" s="60">
        <f t="shared" ref="CX132:CX195" si="122">CW132+(CO132+CP132)*44/12</f>
        <v>941.81134551289711</v>
      </c>
      <c r="CY132" s="60">
        <f ca="1">AVERAGE(OFFSET($CX$3,0,0,'Données projet'!$E$13+1,1))-AVERAGE(OFFSET($H$3,0,0,'Données projet'!$E$13+1,1))</f>
        <v>350.3652766444938</v>
      </c>
      <c r="CZ132" s="60">
        <f t="shared" si="96"/>
        <v>197.04549436738586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3.4106051316484809E-13</v>
      </c>
      <c r="DP132" s="18">
        <f>DO132*VLOOKUP('Données projet'!$B$14,Paramètres!$A$1:$I$89,3,0)*VLOOKUP('Données projet'!$B$14,Paramètres!$A$1:$I$89,5,0)</f>
        <v>2.7134774427395314E-13</v>
      </c>
      <c r="DQ132" s="14">
        <f t="shared" si="97"/>
        <v>3.6292411711343559E-12</v>
      </c>
      <c r="DR132" s="22">
        <f t="shared" ref="DR132:DR153" si="124">(DP132+DQ132)*0.475*44/12</f>
        <v>6.7935256943361388E-12</v>
      </c>
      <c r="DS132" s="60">
        <f t="shared" ref="DS132:DS195" si="125">DR132+(DJ132+DK132)*44/12</f>
        <v>293.33333333334014</v>
      </c>
      <c r="DT132" s="60">
        <f ca="1">AVERAGE(OFFSET($DS$3,0,0,'Données projet'!$E$14+1,1))-AVERAGE(OFFSET($H$3,0,0,'Données projet'!$E$14+1,1))</f>
        <v>382.01991140382955</v>
      </c>
      <c r="DU132" s="60">
        <f t="shared" si="98"/>
        <v>389.53897948144339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323.92137573760789</v>
      </c>
      <c r="EP132" s="60">
        <f t="shared" si="100"/>
        <v>389.53897948144339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2.2737367544323206E-13</v>
      </c>
      <c r="FF132" s="18">
        <f>FE132*VLOOKUP('Données projet'!$B$16,Paramètres!$A$1:$I$89,3,0)*VLOOKUP('Données projet'!$B$16,Paramètres!$A$1:$I$89,5,0)</f>
        <v>1.8089849618263545E-13</v>
      </c>
      <c r="FG132" s="14">
        <f t="shared" si="101"/>
        <v>2.536422473342444E-12</v>
      </c>
      <c r="FH132" s="22">
        <f t="shared" ref="FH132:FH153" si="130">(FF132+FG132)*0.475*44/12</f>
        <v>4.7326673552561798E-12</v>
      </c>
      <c r="FI132" s="60">
        <f t="shared" ref="FI132:FI195" si="131">FH132+(EZ132+FA132)*44/12</f>
        <v>293.33333333333803</v>
      </c>
      <c r="FJ132" s="60">
        <f ca="1">AVERAGE(OFFSET($FI$3,0,0,'Données projet'!$E$16+1,1))-AVERAGE(OFFSET($H$3,0,0,'Données projet'!$E$16+1,1))</f>
        <v>219.61164494001008</v>
      </c>
      <c r="FK132" s="60">
        <f t="shared" si="102"/>
        <v>219.59799863414111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-6.2527760746888816E-13</v>
      </c>
      <c r="GA132" s="18">
        <f>FZ132*VLOOKUP('Données projet'!$B$17,Paramètres!$A$1:$I$89,3,0)*VLOOKUP('Données projet'!$B$17,Paramètres!$A$1:$I$89,5,0)</f>
        <v>-2.9262992029543964E-13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147.5699668214238</v>
      </c>
      <c r="GF132" s="60">
        <f t="shared" si="104"/>
        <v>70.653739864908346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>
        <f>GU132*VLOOKUP('Données projet'!$B$18,Paramètres!$A$1:$I$89,3,0)*VLOOKUP('Données projet'!$B$18,Paramètres!$A$1:$I$89,5,0)</f>
        <v>0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0" t="e">
        <f t="shared" ref="GY132:GY195" si="137">GX132+(GP132+GQ132)*44/12</f>
        <v>#NUM!</v>
      </c>
      <c r="GZ132" s="60">
        <f ca="1">AVERAGE(OFFSET($GY$3,0,0,'Données projet'!$E$18+1,1))-AVERAGE(OFFSET($H$3,0,0,'Données projet'!$E$18+1,1))</f>
        <v>136.03899433512379</v>
      </c>
      <c r="HA132" s="60">
        <f t="shared" si="106"/>
        <v>316.56646692826882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10.511565843558197</v>
      </c>
      <c r="HH132" s="23">
        <f>EXP(-LN(2)/25)*HH131+(1-EXP(-LN(2)/25))/(LN(2)/25)*Calculateur!HC132*Calculateur!HE132*VLOOKUP('Données projet'!$B$18,Paramètres!$A$1:$I$89,3,0)*0.475*44/12</f>
        <v>0.64782318561832508</v>
      </c>
      <c r="HI132" s="23">
        <f>EXP(-LN(2)/2)*HI131+(1-EXP(-LN(2)/2))/(LN(2)/2)*HC132*HF132*VLOOKUP('Données projet'!$B$18,Paramètres!$A$1:$I$89,3,0)*0.475*44/12</f>
        <v>3.6724068207384289E-15</v>
      </c>
      <c r="HJ132" s="24">
        <f t="shared" ref="HJ132:HJ153" si="138">SUM(HG132:HI132)</f>
        <v>11.159389029176525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347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346.99999999999955</v>
      </c>
      <c r="O133" s="14">
        <f>N133*VLOOKUP('Données projet'!$B$9,Paramètres!$A$1:$I$89,3,0)*VLOOKUP('Données projet'!$B$9,Paramètres!$A$1:$I$89,5,0)</f>
        <v>313.9655999999996</v>
      </c>
      <c r="P133" s="14">
        <f t="shared" ref="P133:P196" si="141">EXP(-1.0587+0.8836*LN(O133)+0.284)</f>
        <v>74.096391618326706</v>
      </c>
      <c r="Q133" s="22">
        <f t="shared" si="108"/>
        <v>675.87463540191834</v>
      </c>
      <c r="R133" s="60">
        <f t="shared" si="109"/>
        <v>969.2079687352516</v>
      </c>
      <c r="S133" s="60">
        <f ca="1">AVERAGE(OFFSET($R$3,0,0,'Données projet'!$E$9+1,1))-AVERAGE(OFFSET($H$3,0,0,'Données projet'!$E$9+1,1))</f>
        <v>384.44848355636935</v>
      </c>
      <c r="T133" s="60">
        <f t="shared" ref="T133:T196" si="142">$T$3</f>
        <v>203.5274665601915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271.43999999999943</v>
      </c>
      <c r="AK133" s="14">
        <f t="shared" ref="AK133:AK153" si="143">EXP(-1.0587+0.8836*LN(AJ133)+0.284)</f>
        <v>65.154778959151116</v>
      </c>
      <c r="AL133" s="22">
        <f t="shared" si="112"/>
        <v>586.23590668718714</v>
      </c>
      <c r="AM133" s="60">
        <f t="shared" si="113"/>
        <v>879.56924002052051</v>
      </c>
      <c r="AN133" s="60">
        <f ca="1">AVERAGE(OFFSET($AM$3,0,0,'Données projet'!$E$10+1,1))-AVERAGE(OFFSET($H$3,0,0,'Données projet'!$E$10+1,1))</f>
        <v>303.73499739059076</v>
      </c>
      <c r="AO133" s="60">
        <f t="shared" ref="AO133:AO196" si="144">$AO$3</f>
        <v>172.32171001882188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347</v>
      </c>
      <c r="BB133" s="13">
        <f>VLOOKUP(A133,'Données projet'!$A$87:$I$107,9,0)</f>
        <v>4.2</v>
      </c>
      <c r="BC133" s="13">
        <f t="array" ref="BC133">INDEX(BB:BB,MIN(IF(ISNUMBER(BB133:BB329),ROW(BB133:BB329),"")))</f>
        <v>4.2</v>
      </c>
      <c r="BD133" s="13">
        <f>IF('Données projet'!$A$88&gt;35,BD132+BC133-BL132,IF(A133&lt;'Données projet'!$A$88,$BA$205^A133,IF(A133='Données projet'!$A$88,'Données projet'!$B$88,BD132+BC133-BL132)))</f>
        <v>346.99999999999955</v>
      </c>
      <c r="BE133" s="14">
        <f>BD133*VLOOKUP('Données projet'!$B$11,Paramètres!$A$1:$I$89,3,0)*VLOOKUP('Données projet'!$B$11,Paramètres!$A$1:$I$89,5,0)</f>
        <v>292.31279999999964</v>
      </c>
      <c r="BF133" s="14">
        <f t="shared" ref="BF133:BF153" si="145">EXP(-1.0587+0.8836*LN(BE133)+0.284)</f>
        <v>69.56250454917955</v>
      </c>
      <c r="BG133" s="22">
        <f t="shared" si="115"/>
        <v>630.26615542315369</v>
      </c>
      <c r="BH133" s="60">
        <f t="shared" si="116"/>
        <v>923.59948875648706</v>
      </c>
      <c r="BI133" s="60">
        <f ca="1">AVERAGE(OFFSET($BH$3,0,0,'Données projet'!$E$11+1,1))-AVERAGE(OFFSET($H$3,0,0,'Données projet'!$E$11+1,1))</f>
        <v>352.29660374042186</v>
      </c>
      <c r="BJ133" s="60">
        <f t="shared" ref="BJ133:BJ196" si="146">$BJ$3</f>
        <v>187.26439695305618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44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252.71999999999949</v>
      </c>
      <c r="CA133" s="14">
        <f t="shared" ref="CA133:CA153" si="147">EXP(-1.0587+0.8836*LN(BZ133)+0.284)</f>
        <v>61.168020584496766</v>
      </c>
      <c r="CB133" s="22">
        <f t="shared" si="118"/>
        <v>546.68830251799761</v>
      </c>
      <c r="CC133" s="60">
        <f t="shared" si="119"/>
        <v>840.02163585133098</v>
      </c>
      <c r="CD133" s="60">
        <f ca="1">AVERAGE(OFFSET($CC$3,0,0,'Données projet'!$E$12+1,1))-AVERAGE(OFFSET($H$3,0,0,'Données projet'!$E$12+1,1))</f>
        <v>277.03735509061545</v>
      </c>
      <c r="CE133" s="60">
        <f t="shared" ref="CE133:CE196" si="148">$CE$3</f>
        <v>158.16416492761959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304.19999999999936</v>
      </c>
      <c r="CV133" s="14">
        <f t="shared" ref="CV133:CV153" si="149">EXP(-1.0587+0.8836*LN(CU133)+0.284)</f>
        <v>72.056231093480946</v>
      </c>
      <c r="CW133" s="22">
        <f t="shared" si="121"/>
        <v>655.31293582114483</v>
      </c>
      <c r="CX133" s="60">
        <f t="shared" si="122"/>
        <v>948.6462691544782</v>
      </c>
      <c r="CY133" s="60">
        <f ca="1">AVERAGE(OFFSET($CX$3,0,0,'Données projet'!$E$13+1,1))-AVERAGE(OFFSET($H$3,0,0,'Données projet'!$E$13+1,1))</f>
        <v>350.3652766444938</v>
      </c>
      <c r="CZ133" s="60">
        <f t="shared" ref="CZ133:CZ196" si="150">$CZ$3</f>
        <v>197.04549436738586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3.4106051316484809E-13</v>
      </c>
      <c r="DP133" s="18">
        <f>DO133*VLOOKUP('Données projet'!$B$14,Paramètres!$A$1:$I$89,3,0)*VLOOKUP('Données projet'!$B$14,Paramètres!$A$1:$I$89,5,0)</f>
        <v>2.7134774427395314E-13</v>
      </c>
      <c r="DQ133" s="14">
        <f t="shared" ref="DQ133:DQ153" si="151">EXP(-1.0587+0.8836*LN(DP133)+0.284)</f>
        <v>3.6292411711343559E-12</v>
      </c>
      <c r="DR133" s="22">
        <f t="shared" si="124"/>
        <v>6.7935256943361388E-12</v>
      </c>
      <c r="DS133" s="60">
        <f t="shared" si="125"/>
        <v>293.33333333334014</v>
      </c>
      <c r="DT133" s="60">
        <f ca="1">AVERAGE(OFFSET($DS$3,0,0,'Données projet'!$E$14+1,1))-AVERAGE(OFFSET($H$3,0,0,'Données projet'!$E$14+1,1))</f>
        <v>382.01991140382955</v>
      </c>
      <c r="DU133" s="60">
        <f t="shared" ref="DU133:DU196" si="152">$DU$3</f>
        <v>389.53897948144339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323.92137573760789</v>
      </c>
      <c r="EP133" s="60">
        <f t="shared" ref="EP133:EP196" si="154">$EP$3</f>
        <v>389.53897948144339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2.2737367544323206E-13</v>
      </c>
      <c r="FF133" s="18">
        <f>FE133*VLOOKUP('Données projet'!$B$16,Paramètres!$A$1:$I$89,3,0)*VLOOKUP('Données projet'!$B$16,Paramètres!$A$1:$I$89,5,0)</f>
        <v>1.8089849618263545E-13</v>
      </c>
      <c r="FG133" s="14">
        <f t="shared" ref="FG133:FG153" si="155">EXP(-1.0587+0.8836*LN(FF133)+0.284)</f>
        <v>2.536422473342444E-12</v>
      </c>
      <c r="FH133" s="22">
        <f t="shared" si="130"/>
        <v>4.7326673552561798E-12</v>
      </c>
      <c r="FI133" s="60">
        <f t="shared" si="131"/>
        <v>293.33333333333803</v>
      </c>
      <c r="FJ133" s="60">
        <f ca="1">AVERAGE(OFFSET($FI$3,0,0,'Données projet'!$E$16+1,1))-AVERAGE(OFFSET($H$3,0,0,'Données projet'!$E$16+1,1))</f>
        <v>219.61164494001008</v>
      </c>
      <c r="FK133" s="60">
        <f t="shared" ref="FK133:FK196" si="156">$FK$3</f>
        <v>219.59799863414111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-6.2527760746888816E-13</v>
      </c>
      <c r="GA133" s="18">
        <f>FZ133*VLOOKUP('Données projet'!$B$17,Paramètres!$A$1:$I$89,3,0)*VLOOKUP('Données projet'!$B$17,Paramètres!$A$1:$I$89,5,0)</f>
        <v>-2.9262992029543964E-13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147.5699668214238</v>
      </c>
      <c r="GF133" s="60">
        <f t="shared" ref="GF133:GF196" si="158">$GF$3</f>
        <v>70.653739864908346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>
        <f>GU133*VLOOKUP('Données projet'!$B$18,Paramètres!$A$1:$I$89,3,0)*VLOOKUP('Données projet'!$B$18,Paramètres!$A$1:$I$89,5,0)</f>
        <v>0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0" t="e">
        <f t="shared" si="137"/>
        <v>#NUM!</v>
      </c>
      <c r="GZ133" s="60">
        <f ca="1">AVERAGE(OFFSET($GY$3,0,0,'Données projet'!$E$18+1,1))-AVERAGE(OFFSET($H$3,0,0,'Données projet'!$E$18+1,1))</f>
        <v>136.03899433512379</v>
      </c>
      <c r="HA133" s="60">
        <f t="shared" ref="HA133:HA196" si="160">$HA$3</f>
        <v>316.56646692826882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10.30544044878811</v>
      </c>
      <c r="HH133" s="23">
        <f>EXP(-LN(2)/25)*HH132+(1-EXP(-LN(2)/25))/(LN(2)/25)*Calculateur!HC133*Calculateur!HE133*VLOOKUP('Données projet'!$B$18,Paramètres!$A$1:$I$89,3,0)*0.475*44/12</f>
        <v>0.63010842654005128</v>
      </c>
      <c r="HI133" s="23">
        <f>EXP(-LN(2)/2)*HI132+(1-EXP(-LN(2)/2))/(LN(2)/2)*HC133*HF133*VLOOKUP('Données projet'!$B$18,Paramètres!$A$1:$I$89,3,0)*0.475*44/12</f>
        <v>2.5967837662198729E-15</v>
      </c>
      <c r="HJ133" s="24">
        <f t="shared" si="138"/>
        <v>10.935548875328163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306.99999999999955</v>
      </c>
      <c r="O134" s="14">
        <f>N134*VLOOKUP('Données projet'!$B$9,Paramètres!$A$1:$I$89,3,0)*VLOOKUP('Données projet'!$B$9,Paramètres!$A$1:$I$89,5,0)</f>
        <v>277.77359999999959</v>
      </c>
      <c r="P134" s="14">
        <f t="shared" si="141"/>
        <v>66.496288176842299</v>
      </c>
      <c r="Q134" s="22">
        <f t="shared" si="108"/>
        <v>599.60338857466627</v>
      </c>
      <c r="R134" s="60">
        <f t="shared" si="109"/>
        <v>892.93672190799953</v>
      </c>
      <c r="S134" s="60">
        <f ca="1">AVERAGE(OFFSET($R$3,0,0,'Données projet'!$E$9+1,1))-AVERAGE(OFFSET($H$3,0,0,'Données projet'!$E$9+1,1))</f>
        <v>384.44848355636935</v>
      </c>
      <c r="T134" s="60">
        <f t="shared" si="142"/>
        <v>203.5274665601915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245.8341599999994</v>
      </c>
      <c r="AK134" s="14">
        <f t="shared" si="143"/>
        <v>59.693018383856675</v>
      </c>
      <c r="AL134" s="22">
        <f t="shared" si="112"/>
        <v>532.12650235188266</v>
      </c>
      <c r="AM134" s="60">
        <f t="shared" si="113"/>
        <v>825.45983568521592</v>
      </c>
      <c r="AN134" s="60">
        <f ca="1">AVERAGE(OFFSET($AM$3,0,0,'Données projet'!$E$10+1,1))-AVERAGE(OFFSET($H$3,0,0,'Données projet'!$E$10+1,1))</f>
        <v>303.73499739059076</v>
      </c>
      <c r="AO134" s="60">
        <f t="shared" si="144"/>
        <v>172.32171001882188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</v>
      </c>
      <c r="BD134" s="13">
        <f>IF('Données projet'!$A$88&gt;35,BD133+BC134-BL133,IF(A134&lt;'Données projet'!$A$88,$BA$205^A134,IF(A134='Données projet'!$A$88,'Données projet'!$B$88,BD133+BC134-BL133)))</f>
        <v>306.99999999999955</v>
      </c>
      <c r="BE134" s="14">
        <f>BD134*VLOOKUP('Données projet'!$B$11,Paramètres!$A$1:$I$89,3,0)*VLOOKUP('Données projet'!$B$11,Paramètres!$A$1:$I$89,5,0)</f>
        <v>258.61679999999967</v>
      </c>
      <c r="BF134" s="14">
        <f t="shared" si="145"/>
        <v>62.427444141032382</v>
      </c>
      <c r="BG134" s="22">
        <f t="shared" si="115"/>
        <v>559.15205854563067</v>
      </c>
      <c r="BH134" s="60">
        <f t="shared" si="116"/>
        <v>852.48539187896404</v>
      </c>
      <c r="BI134" s="60">
        <f ca="1">AVERAGE(OFFSET($BH$3,0,0,'Données projet'!$E$11+1,1))-AVERAGE(OFFSET($H$3,0,0,'Données projet'!$E$11+1,1))</f>
        <v>352.29660374042186</v>
      </c>
      <c r="BJ134" s="60">
        <f t="shared" si="146"/>
        <v>187.26439695305618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228.88007999999951</v>
      </c>
      <c r="CA134" s="14">
        <f t="shared" si="147"/>
        <v>56.040459895408119</v>
      </c>
      <c r="CB134" s="22">
        <f t="shared" si="118"/>
        <v>496.23660698450158</v>
      </c>
      <c r="CC134" s="60">
        <f t="shared" si="119"/>
        <v>789.56994031783483</v>
      </c>
      <c r="CD134" s="60">
        <f ca="1">AVERAGE(OFFSET($CC$3,0,0,'Données projet'!$E$12+1,1))-AVERAGE(OFFSET($H$3,0,0,'Données projet'!$E$12+1,1))</f>
        <v>277.03735509061545</v>
      </c>
      <c r="CE134" s="60">
        <f t="shared" si="148"/>
        <v>158.16416492761959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275.50379999999939</v>
      </c>
      <c r="CV134" s="14">
        <f t="shared" si="149"/>
        <v>66.015939215007748</v>
      </c>
      <c r="CW134" s="22">
        <f t="shared" si="121"/>
        <v>594.81354579947072</v>
      </c>
      <c r="CX134" s="60">
        <f t="shared" si="122"/>
        <v>888.14687913280409</v>
      </c>
      <c r="CY134" s="60">
        <f ca="1">AVERAGE(OFFSET($CX$3,0,0,'Données projet'!$E$13+1,1))-AVERAGE(OFFSET($H$3,0,0,'Données projet'!$E$13+1,1))</f>
        <v>350.3652766444938</v>
      </c>
      <c r="CZ134" s="60">
        <f t="shared" si="150"/>
        <v>197.04549436738586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3.4106051316484809E-13</v>
      </c>
      <c r="DP134" s="18">
        <f>DO134*VLOOKUP('Données projet'!$B$14,Paramètres!$A$1:$I$89,3,0)*VLOOKUP('Données projet'!$B$14,Paramètres!$A$1:$I$89,5,0)</f>
        <v>2.7134774427395314E-13</v>
      </c>
      <c r="DQ134" s="14">
        <f t="shared" si="151"/>
        <v>3.6292411711343559E-12</v>
      </c>
      <c r="DR134" s="22">
        <f t="shared" si="124"/>
        <v>6.7935256943361388E-12</v>
      </c>
      <c r="DS134" s="60">
        <f t="shared" si="125"/>
        <v>293.33333333334014</v>
      </c>
      <c r="DT134" s="60">
        <f ca="1">AVERAGE(OFFSET($DS$3,0,0,'Données projet'!$E$14+1,1))-AVERAGE(OFFSET($H$3,0,0,'Données projet'!$E$14+1,1))</f>
        <v>382.01991140382955</v>
      </c>
      <c r="DU134" s="60">
        <f t="shared" si="152"/>
        <v>389.53897948144339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323.92137573760789</v>
      </c>
      <c r="EP134" s="60">
        <f t="shared" si="154"/>
        <v>389.53897948144339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2.2737367544323206E-13</v>
      </c>
      <c r="FF134" s="18">
        <f>FE134*VLOOKUP('Données projet'!$B$16,Paramètres!$A$1:$I$89,3,0)*VLOOKUP('Données projet'!$B$16,Paramètres!$A$1:$I$89,5,0)</f>
        <v>1.8089849618263545E-13</v>
      </c>
      <c r="FG134" s="14">
        <f t="shared" si="155"/>
        <v>2.536422473342444E-12</v>
      </c>
      <c r="FH134" s="22">
        <f t="shared" si="130"/>
        <v>4.7326673552561798E-12</v>
      </c>
      <c r="FI134" s="60">
        <f t="shared" si="131"/>
        <v>293.33333333333803</v>
      </c>
      <c r="FJ134" s="60">
        <f ca="1">AVERAGE(OFFSET($FI$3,0,0,'Données projet'!$E$16+1,1))-AVERAGE(OFFSET($H$3,0,0,'Données projet'!$E$16+1,1))</f>
        <v>219.61164494001008</v>
      </c>
      <c r="FK134" s="60">
        <f t="shared" si="156"/>
        <v>219.59799863414111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-6.2527760746888816E-13</v>
      </c>
      <c r="GA134" s="18">
        <f>FZ134*VLOOKUP('Données projet'!$B$17,Paramètres!$A$1:$I$89,3,0)*VLOOKUP('Données projet'!$B$17,Paramètres!$A$1:$I$89,5,0)</f>
        <v>-2.9262992029543964E-13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147.5699668214238</v>
      </c>
      <c r="GF134" s="60">
        <f t="shared" si="158"/>
        <v>70.653739864908346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>
        <f>GU134*VLOOKUP('Données projet'!$B$18,Paramètres!$A$1:$I$89,3,0)*VLOOKUP('Données projet'!$B$18,Paramètres!$A$1:$I$89,5,0)</f>
        <v>0</v>
      </c>
      <c r="GW134" s="14" t="e">
        <f t="shared" si="159"/>
        <v>#NUM!</v>
      </c>
      <c r="GX134" s="22" t="e">
        <f t="shared" si="136"/>
        <v>#NUM!</v>
      </c>
      <c r="GY134" s="60" t="e">
        <f t="shared" si="137"/>
        <v>#NUM!</v>
      </c>
      <c r="GZ134" s="60">
        <f ca="1">AVERAGE(OFFSET($GY$3,0,0,'Données projet'!$E$18+1,1))-AVERAGE(OFFSET($H$3,0,0,'Données projet'!$E$18+1,1))</f>
        <v>136.03899433512379</v>
      </c>
      <c r="HA134" s="60">
        <f t="shared" si="160"/>
        <v>316.56646692826882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10.103357047285387</v>
      </c>
      <c r="HH134" s="23">
        <f>EXP(-LN(2)/25)*HH133+(1-EXP(-LN(2)/25))/(LN(2)/25)*Calculateur!HC134*Calculateur!HE134*VLOOKUP('Données projet'!$B$18,Paramètres!$A$1:$I$89,3,0)*0.475*44/12</f>
        <v>0.61287807848035158</v>
      </c>
      <c r="HI134" s="23">
        <f>EXP(-LN(2)/2)*HI133+(1-EXP(-LN(2)/2))/(LN(2)/2)*HC134*HF134*VLOOKUP('Données projet'!$B$18,Paramètres!$A$1:$I$89,3,0)*0.475*44/12</f>
        <v>1.8362034103692144E-15</v>
      </c>
      <c r="HJ134" s="24">
        <f t="shared" si="138"/>
        <v>10.71623512576574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310.99999999999955</v>
      </c>
      <c r="O135" s="14">
        <f>N135*VLOOKUP('Données projet'!$B$9,Paramètres!$A$1:$I$89,3,0)*VLOOKUP('Données projet'!$B$9,Paramètres!$A$1:$I$89,5,0)</f>
        <v>281.39279999999957</v>
      </c>
      <c r="P135" s="14">
        <f t="shared" si="141"/>
        <v>67.261262504634587</v>
      </c>
      <c r="Q135" s="22">
        <f t="shared" si="108"/>
        <v>607.23915886223779</v>
      </c>
      <c r="R135" s="60">
        <f t="shared" si="109"/>
        <v>900.57249219557116</v>
      </c>
      <c r="S135" s="60">
        <f ca="1">AVERAGE(OFFSET($R$3,0,0,'Données projet'!$E$9+1,1))-AVERAGE(OFFSET($H$3,0,0,'Données projet'!$E$9+1,1))</f>
        <v>384.44848355636935</v>
      </c>
      <c r="T135" s="60">
        <f t="shared" si="142"/>
        <v>203.5274665601915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248.2771199999994</v>
      </c>
      <c r="AK135" s="14">
        <f t="shared" si="143"/>
        <v>60.216863677580257</v>
      </c>
      <c r="AL135" s="22">
        <f t="shared" si="112"/>
        <v>537.29368823845118</v>
      </c>
      <c r="AM135" s="60">
        <f t="shared" si="113"/>
        <v>830.62702157178455</v>
      </c>
      <c r="AN135" s="60">
        <f ca="1">AVERAGE(OFFSET($AM$3,0,0,'Données projet'!$E$10+1,1))-AVERAGE(OFFSET($H$3,0,0,'Données projet'!$E$10+1,1))</f>
        <v>303.73499739059076</v>
      </c>
      <c r="AO135" s="60">
        <f t="shared" si="144"/>
        <v>172.32171001882188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</v>
      </c>
      <c r="BD135" s="13">
        <f>IF('Données projet'!$A$88&gt;35,BD134+BC135-BL134,IF(A135&lt;'Données projet'!$A$88,$BA$205^A135,IF(A135='Données projet'!$A$88,'Données projet'!$B$88,BD134+BC135-BL134)))</f>
        <v>310.99999999999955</v>
      </c>
      <c r="BE135" s="14">
        <f>BD135*VLOOKUP('Données projet'!$B$11,Paramètres!$A$1:$I$89,3,0)*VLOOKUP('Données projet'!$B$11,Paramètres!$A$1:$I$89,5,0)</f>
        <v>261.98639999999966</v>
      </c>
      <c r="BF135" s="14">
        <f t="shared" si="145"/>
        <v>63.145610424097313</v>
      </c>
      <c r="BG135" s="22">
        <f t="shared" si="115"/>
        <v>566.27158482196887</v>
      </c>
      <c r="BH135" s="60">
        <f t="shared" si="116"/>
        <v>859.60491815530213</v>
      </c>
      <c r="BI135" s="60">
        <f ca="1">AVERAGE(OFFSET($BH$3,0,0,'Données projet'!$E$11+1,1))-AVERAGE(OFFSET($H$3,0,0,'Données projet'!$E$11+1,1))</f>
        <v>352.29660374042186</v>
      </c>
      <c r="BJ135" s="60">
        <f t="shared" si="146"/>
        <v>187.26439695305618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231.15455999999946</v>
      </c>
      <c r="CA135" s="14">
        <f t="shared" si="147"/>
        <v>56.532251598510435</v>
      </c>
      <c r="CB135" s="22">
        <f t="shared" si="118"/>
        <v>501.0545302007381</v>
      </c>
      <c r="CC135" s="60">
        <f t="shared" si="119"/>
        <v>794.38786353407136</v>
      </c>
      <c r="CD135" s="60">
        <f ca="1">AVERAGE(OFFSET($CC$3,0,0,'Données projet'!$E$12+1,1))-AVERAGE(OFFSET($H$3,0,0,'Données projet'!$E$12+1,1))</f>
        <v>277.03735509061545</v>
      </c>
      <c r="CE135" s="60">
        <f t="shared" si="148"/>
        <v>158.16416492761959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278.24159999999938</v>
      </c>
      <c r="CV135" s="14">
        <f t="shared" si="149"/>
        <v>66.595272276139625</v>
      </c>
      <c r="CW135" s="22">
        <f t="shared" si="121"/>
        <v>600.59088588094198</v>
      </c>
      <c r="CX135" s="60">
        <f t="shared" si="122"/>
        <v>893.92421921427535</v>
      </c>
      <c r="CY135" s="60">
        <f ca="1">AVERAGE(OFFSET($CX$3,0,0,'Données projet'!$E$13+1,1))-AVERAGE(OFFSET($H$3,0,0,'Données projet'!$E$13+1,1))</f>
        <v>350.3652766444938</v>
      </c>
      <c r="CZ135" s="60">
        <f t="shared" si="150"/>
        <v>197.04549436738586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3.4106051316484809E-13</v>
      </c>
      <c r="DP135" s="18">
        <f>DO135*VLOOKUP('Données projet'!$B$14,Paramètres!$A$1:$I$89,3,0)*VLOOKUP('Données projet'!$B$14,Paramètres!$A$1:$I$89,5,0)</f>
        <v>2.7134774427395314E-13</v>
      </c>
      <c r="DQ135" s="14">
        <f t="shared" si="151"/>
        <v>3.6292411711343559E-12</v>
      </c>
      <c r="DR135" s="22">
        <f t="shared" si="124"/>
        <v>6.7935256943361388E-12</v>
      </c>
      <c r="DS135" s="60">
        <f t="shared" si="125"/>
        <v>293.33333333334014</v>
      </c>
      <c r="DT135" s="60">
        <f ca="1">AVERAGE(OFFSET($DS$3,0,0,'Données projet'!$E$14+1,1))-AVERAGE(OFFSET($H$3,0,0,'Données projet'!$E$14+1,1))</f>
        <v>382.01991140382955</v>
      </c>
      <c r="DU135" s="60">
        <f t="shared" si="152"/>
        <v>389.53897948144339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323.92137573760789</v>
      </c>
      <c r="EP135" s="60">
        <f t="shared" si="154"/>
        <v>389.53897948144339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2.2737367544323206E-13</v>
      </c>
      <c r="FF135" s="18">
        <f>FE135*VLOOKUP('Données projet'!$B$16,Paramètres!$A$1:$I$89,3,0)*VLOOKUP('Données projet'!$B$16,Paramètres!$A$1:$I$89,5,0)</f>
        <v>1.8089849618263545E-13</v>
      </c>
      <c r="FG135" s="14">
        <f t="shared" si="155"/>
        <v>2.536422473342444E-12</v>
      </c>
      <c r="FH135" s="22">
        <f t="shared" si="130"/>
        <v>4.7326673552561798E-12</v>
      </c>
      <c r="FI135" s="60">
        <f t="shared" si="131"/>
        <v>293.33333333333803</v>
      </c>
      <c r="FJ135" s="60">
        <f ca="1">AVERAGE(OFFSET($FI$3,0,0,'Données projet'!$E$16+1,1))-AVERAGE(OFFSET($H$3,0,0,'Données projet'!$E$16+1,1))</f>
        <v>219.61164494001008</v>
      </c>
      <c r="FK135" s="60">
        <f t="shared" si="156"/>
        <v>219.59799863414111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-6.2527760746888816E-13</v>
      </c>
      <c r="GA135" s="18">
        <f>FZ135*VLOOKUP('Données projet'!$B$17,Paramètres!$A$1:$I$89,3,0)*VLOOKUP('Données projet'!$B$17,Paramètres!$A$1:$I$89,5,0)</f>
        <v>-2.9262992029543964E-13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147.5699668214238</v>
      </c>
      <c r="GF135" s="60">
        <f t="shared" si="158"/>
        <v>70.653739864908346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>
        <f>GU135*VLOOKUP('Données projet'!$B$18,Paramètres!$A$1:$I$89,3,0)*VLOOKUP('Données projet'!$B$18,Paramètres!$A$1:$I$89,5,0)</f>
        <v>0</v>
      </c>
      <c r="GW135" s="14" t="e">
        <f t="shared" si="159"/>
        <v>#NUM!</v>
      </c>
      <c r="GX135" s="22" t="e">
        <f t="shared" si="136"/>
        <v>#NUM!</v>
      </c>
      <c r="GY135" s="60" t="e">
        <f t="shared" si="137"/>
        <v>#NUM!</v>
      </c>
      <c r="GZ135" s="60">
        <f ca="1">AVERAGE(OFFSET($GY$3,0,0,'Données projet'!$E$18+1,1))-AVERAGE(OFFSET($H$3,0,0,'Données projet'!$E$18+1,1))</f>
        <v>136.03899433512379</v>
      </c>
      <c r="HA135" s="60">
        <f t="shared" si="160"/>
        <v>316.56646692826882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9.9052363780274284</v>
      </c>
      <c r="HH135" s="23">
        <f>EXP(-LN(2)/25)*HH134+(1-EXP(-LN(2)/25))/(LN(2)/25)*Calculateur!HC135*Calculateur!HE135*VLOOKUP('Données projet'!$B$18,Paramètres!$A$1:$I$89,3,0)*0.475*44/12</f>
        <v>0.59611889519444894</v>
      </c>
      <c r="HI135" s="23">
        <f>EXP(-LN(2)/2)*HI134+(1-EXP(-LN(2)/2))/(LN(2)/2)*HC135*HF135*VLOOKUP('Données projet'!$B$18,Paramètres!$A$1:$I$89,3,0)*0.475*44/12</f>
        <v>1.2983918831099364E-15</v>
      </c>
      <c r="HJ135" s="24">
        <f t="shared" si="138"/>
        <v>10.501355273221879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314.99999999999955</v>
      </c>
      <c r="O136" s="14">
        <f>N136*VLOOKUP('Données projet'!$B$9,Paramètres!$A$1:$I$89,3,0)*VLOOKUP('Données projet'!$B$9,Paramètres!$A$1:$I$89,5,0)</f>
        <v>285.0119999999996</v>
      </c>
      <c r="P136" s="14">
        <f t="shared" si="141"/>
        <v>68.025092408173052</v>
      </c>
      <c r="Q136" s="22">
        <f t="shared" si="108"/>
        <v>614.87293594423409</v>
      </c>
      <c r="R136" s="60">
        <f t="shared" si="109"/>
        <v>908.20626927756734</v>
      </c>
      <c r="S136" s="60">
        <f ca="1">AVERAGE(OFFSET($R$3,0,0,'Données projet'!$E$9+1,1))-AVERAGE(OFFSET($H$3,0,0,'Données projet'!$E$9+1,1))</f>
        <v>384.44848355636935</v>
      </c>
      <c r="T136" s="60">
        <f t="shared" si="142"/>
        <v>203.5274665601915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250.72007999999943</v>
      </c>
      <c r="AK136" s="14">
        <f t="shared" si="143"/>
        <v>60.740109326032709</v>
      </c>
      <c r="AL136" s="22">
        <f t="shared" si="112"/>
        <v>542.45982974283925</v>
      </c>
      <c r="AM136" s="60">
        <f t="shared" si="113"/>
        <v>835.7931630761725</v>
      </c>
      <c r="AN136" s="60">
        <f ca="1">AVERAGE(OFFSET($AM$3,0,0,'Données projet'!$E$10+1,1))-AVERAGE(OFFSET($H$3,0,0,'Données projet'!$E$10+1,1))</f>
        <v>303.73499739059076</v>
      </c>
      <c r="AO136" s="60">
        <f t="shared" si="144"/>
        <v>172.32171001882188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</v>
      </c>
      <c r="BD136" s="13">
        <f>IF('Données projet'!$A$88&gt;35,BD135+BC136-BL135,IF(A136&lt;'Données projet'!$A$88,$BA$205^A136,IF(A136='Données projet'!$A$88,'Données projet'!$B$88,BD135+BC136-BL135)))</f>
        <v>314.99999999999955</v>
      </c>
      <c r="BE136" s="14">
        <f>BD136*VLOOKUP('Données projet'!$B$11,Paramètres!$A$1:$I$89,3,0)*VLOOKUP('Données projet'!$B$11,Paramètres!$A$1:$I$89,5,0)</f>
        <v>265.35599999999965</v>
      </c>
      <c r="BF136" s="14">
        <f t="shared" si="145"/>
        <v>63.862702309129773</v>
      </c>
      <c r="BG136" s="22">
        <f t="shared" si="115"/>
        <v>573.38923985506699</v>
      </c>
      <c r="BH136" s="60">
        <f t="shared" si="116"/>
        <v>866.72257318840025</v>
      </c>
      <c r="BI136" s="60">
        <f ca="1">AVERAGE(OFFSET($BH$3,0,0,'Données projet'!$E$11+1,1))-AVERAGE(OFFSET($H$3,0,0,'Données projet'!$E$11+1,1))</f>
        <v>352.29660374042186</v>
      </c>
      <c r="BJ136" s="60">
        <f t="shared" si="146"/>
        <v>187.26439695305618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233.42903999999945</v>
      </c>
      <c r="CA136" s="14">
        <f t="shared" si="147"/>
        <v>57.023480348060033</v>
      </c>
      <c r="CB136" s="22">
        <f t="shared" si="118"/>
        <v>505.87147293953677</v>
      </c>
      <c r="CC136" s="60">
        <f t="shared" si="119"/>
        <v>799.20480627287009</v>
      </c>
      <c r="CD136" s="60">
        <f ca="1">AVERAGE(OFFSET($CC$3,0,0,'Données projet'!$E$12+1,1))-AVERAGE(OFFSET($H$3,0,0,'Données projet'!$E$12+1,1))</f>
        <v>277.03735509061545</v>
      </c>
      <c r="CE136" s="60">
        <f t="shared" si="148"/>
        <v>158.16416492761959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280.97939999999937</v>
      </c>
      <c r="CV136" s="14">
        <f t="shared" si="149"/>
        <v>67.173942175199301</v>
      </c>
      <c r="CW136" s="22">
        <f t="shared" si="121"/>
        <v>606.36707095513759</v>
      </c>
      <c r="CX136" s="60">
        <f t="shared" si="122"/>
        <v>899.70040428847096</v>
      </c>
      <c r="CY136" s="60">
        <f ca="1">AVERAGE(OFFSET($CX$3,0,0,'Données projet'!$E$13+1,1))-AVERAGE(OFFSET($H$3,0,0,'Données projet'!$E$13+1,1))</f>
        <v>350.3652766444938</v>
      </c>
      <c r="CZ136" s="60">
        <f t="shared" si="150"/>
        <v>197.04549436738586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3.4106051316484809E-13</v>
      </c>
      <c r="DP136" s="18">
        <f>DO136*VLOOKUP('Données projet'!$B$14,Paramètres!$A$1:$I$89,3,0)*VLOOKUP('Données projet'!$B$14,Paramètres!$A$1:$I$89,5,0)</f>
        <v>2.7134774427395314E-13</v>
      </c>
      <c r="DQ136" s="14">
        <f t="shared" si="151"/>
        <v>3.6292411711343559E-12</v>
      </c>
      <c r="DR136" s="22">
        <f t="shared" si="124"/>
        <v>6.7935256943361388E-12</v>
      </c>
      <c r="DS136" s="60">
        <f t="shared" si="125"/>
        <v>293.33333333334014</v>
      </c>
      <c r="DT136" s="60">
        <f ca="1">AVERAGE(OFFSET($DS$3,0,0,'Données projet'!$E$14+1,1))-AVERAGE(OFFSET($H$3,0,0,'Données projet'!$E$14+1,1))</f>
        <v>382.01991140382955</v>
      </c>
      <c r="DU136" s="60">
        <f t="shared" si="152"/>
        <v>389.53897948144339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323.92137573760789</v>
      </c>
      <c r="EP136" s="60">
        <f t="shared" si="154"/>
        <v>389.53897948144339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2.2737367544323206E-13</v>
      </c>
      <c r="FF136" s="18">
        <f>FE136*VLOOKUP('Données projet'!$B$16,Paramètres!$A$1:$I$89,3,0)*VLOOKUP('Données projet'!$B$16,Paramètres!$A$1:$I$89,5,0)</f>
        <v>1.8089849618263545E-13</v>
      </c>
      <c r="FG136" s="14">
        <f t="shared" si="155"/>
        <v>2.536422473342444E-12</v>
      </c>
      <c r="FH136" s="22">
        <f t="shared" si="130"/>
        <v>4.7326673552561798E-12</v>
      </c>
      <c r="FI136" s="60">
        <f t="shared" si="131"/>
        <v>293.33333333333803</v>
      </c>
      <c r="FJ136" s="60">
        <f ca="1">AVERAGE(OFFSET($FI$3,0,0,'Données projet'!$E$16+1,1))-AVERAGE(OFFSET($H$3,0,0,'Données projet'!$E$16+1,1))</f>
        <v>219.61164494001008</v>
      </c>
      <c r="FK136" s="60">
        <f t="shared" si="156"/>
        <v>219.59799863414111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-6.2527760746888816E-13</v>
      </c>
      <c r="GA136" s="18">
        <f>FZ136*VLOOKUP('Données projet'!$B$17,Paramètres!$A$1:$I$89,3,0)*VLOOKUP('Données projet'!$B$17,Paramètres!$A$1:$I$89,5,0)</f>
        <v>-2.9262992029543964E-13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147.5699668214238</v>
      </c>
      <c r="GF136" s="60">
        <f t="shared" si="158"/>
        <v>70.653739864908346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>
        <f>GU136*VLOOKUP('Données projet'!$B$18,Paramètres!$A$1:$I$89,3,0)*VLOOKUP('Données projet'!$B$18,Paramètres!$A$1:$I$89,5,0)</f>
        <v>0</v>
      </c>
      <c r="GW136" s="14" t="e">
        <f t="shared" si="159"/>
        <v>#NUM!</v>
      </c>
      <c r="GX136" s="22" t="e">
        <f t="shared" si="136"/>
        <v>#NUM!</v>
      </c>
      <c r="GY136" s="60" t="e">
        <f t="shared" si="137"/>
        <v>#NUM!</v>
      </c>
      <c r="GZ136" s="60">
        <f ca="1">AVERAGE(OFFSET($GY$3,0,0,'Données projet'!$E$18+1,1))-AVERAGE(OFFSET($H$3,0,0,'Données projet'!$E$18+1,1))</f>
        <v>136.03899433512379</v>
      </c>
      <c r="HA136" s="60">
        <f t="shared" si="160"/>
        <v>316.56646692826882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9.7110007342519431</v>
      </c>
      <c r="HH136" s="23">
        <f>EXP(-LN(2)/25)*HH135+(1-EXP(-LN(2)/25))/(LN(2)/25)*Calculateur!HC136*Calculateur!HE136*VLOOKUP('Données projet'!$B$18,Paramètres!$A$1:$I$89,3,0)*0.475*44/12</f>
        <v>0.57981799265682643</v>
      </c>
      <c r="HI136" s="23">
        <f>EXP(-LN(2)/2)*HI135+(1-EXP(-LN(2)/2))/(LN(2)/2)*HC136*HF136*VLOOKUP('Données projet'!$B$18,Paramètres!$A$1:$I$89,3,0)*0.475*44/12</f>
        <v>9.1810170518460722E-16</v>
      </c>
      <c r="HJ136" s="24">
        <f t="shared" si="138"/>
        <v>10.290818726908771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318.99999999999955</v>
      </c>
      <c r="O137" s="14">
        <f>N137*VLOOKUP('Données projet'!$B$9,Paramètres!$A$1:$I$89,3,0)*VLOOKUP('Données projet'!$B$9,Paramètres!$A$1:$I$89,5,0)</f>
        <v>288.63119999999958</v>
      </c>
      <c r="P137" s="14">
        <f t="shared" si="141"/>
        <v>68.787794100289148</v>
      </c>
      <c r="Q137" s="22">
        <f t="shared" si="108"/>
        <v>622.50474805800286</v>
      </c>
      <c r="R137" s="60">
        <f t="shared" si="109"/>
        <v>915.83808139133612</v>
      </c>
      <c r="S137" s="60">
        <f ca="1">AVERAGE(OFFSET($R$3,0,0,'Données projet'!$E$9+1,1))-AVERAGE(OFFSET($H$3,0,0,'Données projet'!$E$9+1,1))</f>
        <v>384.44848355636935</v>
      </c>
      <c r="T137" s="60">
        <f t="shared" si="142"/>
        <v>203.5274665601915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253.16303999999937</v>
      </c>
      <c r="AK137" s="14">
        <f t="shared" si="143"/>
        <v>61.262761848634923</v>
      </c>
      <c r="AL137" s="22">
        <f t="shared" si="112"/>
        <v>547.62493821970475</v>
      </c>
      <c r="AM137" s="60">
        <f t="shared" si="113"/>
        <v>840.958271553038</v>
      </c>
      <c r="AN137" s="60">
        <f ca="1">AVERAGE(OFFSET($AM$3,0,0,'Données projet'!$E$10+1,1))-AVERAGE(OFFSET($H$3,0,0,'Données projet'!$E$10+1,1))</f>
        <v>303.73499739059076</v>
      </c>
      <c r="AO137" s="60">
        <f t="shared" si="144"/>
        <v>172.32171001882188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</v>
      </c>
      <c r="BD137" s="13">
        <f>IF('Données projet'!$A$88&gt;35,BD136+BC137-BL136,IF(A137&lt;'Données projet'!$A$88,$BA$205^A137,IF(A137='Données projet'!$A$88,'Données projet'!$B$88,BD136+BC137-BL136)))</f>
        <v>318.99999999999955</v>
      </c>
      <c r="BE137" s="14">
        <f>BD137*VLOOKUP('Données projet'!$B$11,Paramètres!$A$1:$I$89,3,0)*VLOOKUP('Données projet'!$B$11,Paramètres!$A$1:$I$89,5,0)</f>
        <v>268.72559999999964</v>
      </c>
      <c r="BF137" s="14">
        <f t="shared" si="145"/>
        <v>64.578735016913811</v>
      </c>
      <c r="BG137" s="22">
        <f t="shared" si="115"/>
        <v>580.50505015445754</v>
      </c>
      <c r="BH137" s="60">
        <f t="shared" si="116"/>
        <v>873.83838348779091</v>
      </c>
      <c r="BI137" s="60">
        <f ca="1">AVERAGE(OFFSET($BH$3,0,0,'Données projet'!$E$11+1,1))-AVERAGE(OFFSET($H$3,0,0,'Données projet'!$E$11+1,1))</f>
        <v>352.29660374042186</v>
      </c>
      <c r="BJ137" s="60">
        <f t="shared" si="146"/>
        <v>187.26439695305618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235.70351999999946</v>
      </c>
      <c r="CA137" s="14">
        <f t="shared" si="147"/>
        <v>57.51415226456087</v>
      </c>
      <c r="CB137" s="22">
        <f t="shared" si="118"/>
        <v>510.68744586077599</v>
      </c>
      <c r="CC137" s="60">
        <f t="shared" si="119"/>
        <v>804.02077919410931</v>
      </c>
      <c r="CD137" s="60">
        <f ca="1">AVERAGE(OFFSET($CC$3,0,0,'Données projet'!$E$12+1,1))-AVERAGE(OFFSET($H$3,0,0,'Données projet'!$E$12+1,1))</f>
        <v>277.03735509061545</v>
      </c>
      <c r="CE137" s="60">
        <f t="shared" si="148"/>
        <v>158.16416492761959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283.71719999999937</v>
      </c>
      <c r="CV137" s="14">
        <f t="shared" si="149"/>
        <v>67.751956122170526</v>
      </c>
      <c r="CW137" s="22">
        <f t="shared" si="121"/>
        <v>612.14211357944589</v>
      </c>
      <c r="CX137" s="60">
        <f t="shared" si="122"/>
        <v>905.47544691277926</v>
      </c>
      <c r="CY137" s="60">
        <f ca="1">AVERAGE(OFFSET($CX$3,0,0,'Données projet'!$E$13+1,1))-AVERAGE(OFFSET($H$3,0,0,'Données projet'!$E$13+1,1))</f>
        <v>350.3652766444938</v>
      </c>
      <c r="CZ137" s="60">
        <f t="shared" si="150"/>
        <v>197.04549436738586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3.4106051316484809E-13</v>
      </c>
      <c r="DP137" s="18">
        <f>DO137*VLOOKUP('Données projet'!$B$14,Paramètres!$A$1:$I$89,3,0)*VLOOKUP('Données projet'!$B$14,Paramètres!$A$1:$I$89,5,0)</f>
        <v>2.7134774427395314E-13</v>
      </c>
      <c r="DQ137" s="14">
        <f t="shared" si="151"/>
        <v>3.6292411711343559E-12</v>
      </c>
      <c r="DR137" s="22">
        <f t="shared" si="124"/>
        <v>6.7935256943361388E-12</v>
      </c>
      <c r="DS137" s="60">
        <f t="shared" si="125"/>
        <v>293.33333333334014</v>
      </c>
      <c r="DT137" s="60">
        <f ca="1">AVERAGE(OFFSET($DS$3,0,0,'Données projet'!$E$14+1,1))-AVERAGE(OFFSET($H$3,0,0,'Données projet'!$E$14+1,1))</f>
        <v>382.01991140382955</v>
      </c>
      <c r="DU137" s="60">
        <f t="shared" si="152"/>
        <v>389.53897948144339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323.92137573760789</v>
      </c>
      <c r="EP137" s="60">
        <f t="shared" si="154"/>
        <v>389.53897948144339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2.2737367544323206E-13</v>
      </c>
      <c r="FF137" s="18">
        <f>FE137*VLOOKUP('Données projet'!$B$16,Paramètres!$A$1:$I$89,3,0)*VLOOKUP('Données projet'!$B$16,Paramètres!$A$1:$I$89,5,0)</f>
        <v>1.8089849618263545E-13</v>
      </c>
      <c r="FG137" s="14">
        <f t="shared" si="155"/>
        <v>2.536422473342444E-12</v>
      </c>
      <c r="FH137" s="22">
        <f t="shared" si="130"/>
        <v>4.7326673552561798E-12</v>
      </c>
      <c r="FI137" s="60">
        <f t="shared" si="131"/>
        <v>293.33333333333803</v>
      </c>
      <c r="FJ137" s="60">
        <f ca="1">AVERAGE(OFFSET($FI$3,0,0,'Données projet'!$E$16+1,1))-AVERAGE(OFFSET($H$3,0,0,'Données projet'!$E$16+1,1))</f>
        <v>219.61164494001008</v>
      </c>
      <c r="FK137" s="60">
        <f t="shared" si="156"/>
        <v>219.59799863414111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-6.2527760746888816E-13</v>
      </c>
      <c r="GA137" s="18">
        <f>FZ137*VLOOKUP('Données projet'!$B$17,Paramètres!$A$1:$I$89,3,0)*VLOOKUP('Données projet'!$B$17,Paramètres!$A$1:$I$89,5,0)</f>
        <v>-2.9262992029543964E-13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147.5699668214238</v>
      </c>
      <c r="GF137" s="60">
        <f t="shared" si="158"/>
        <v>70.653739864908346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>
        <f>GU137*VLOOKUP('Données projet'!$B$18,Paramètres!$A$1:$I$89,3,0)*VLOOKUP('Données projet'!$B$18,Paramètres!$A$1:$I$89,5,0)</f>
        <v>0</v>
      </c>
      <c r="GW137" s="14" t="e">
        <f t="shared" si="159"/>
        <v>#NUM!</v>
      </c>
      <c r="GX137" s="22" t="e">
        <f t="shared" si="136"/>
        <v>#NUM!</v>
      </c>
      <c r="GY137" s="60" t="e">
        <f t="shared" si="137"/>
        <v>#NUM!</v>
      </c>
      <c r="GZ137" s="60">
        <f ca="1">AVERAGE(OFFSET($GY$3,0,0,'Données projet'!$E$18+1,1))-AVERAGE(OFFSET($H$3,0,0,'Données projet'!$E$18+1,1))</f>
        <v>136.03899433512379</v>
      </c>
      <c r="HA137" s="60">
        <f t="shared" si="160"/>
        <v>316.56646692826882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9.5205739329788504</v>
      </c>
      <c r="HH137" s="23">
        <f>EXP(-LN(2)/25)*HH136+(1-EXP(-LN(2)/25))/(LN(2)/25)*Calculateur!HC137*Calculateur!HE137*VLOOKUP('Données projet'!$B$18,Paramètres!$A$1:$I$89,3,0)*0.475*44/12</f>
        <v>0.5639628391563225</v>
      </c>
      <c r="HI137" s="23">
        <f>EXP(-LN(2)/2)*HI136+(1-EXP(-LN(2)/2))/(LN(2)/2)*HC137*HF137*VLOOKUP('Données projet'!$B$18,Paramètres!$A$1:$I$89,3,0)*0.475*44/12</f>
        <v>6.4919594155496822E-16</v>
      </c>
      <c r="HJ137" s="24">
        <f t="shared" si="138"/>
        <v>10.084536772135174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322.99999999999955</v>
      </c>
      <c r="O138" s="14">
        <f>N138*VLOOKUP('Données projet'!$B$9,Paramètres!$A$1:$I$89,3,0)*VLOOKUP('Données projet'!$B$9,Paramètres!$A$1:$I$89,5,0)</f>
        <v>292.25039999999956</v>
      </c>
      <c r="P138" s="14">
        <f t="shared" si="141"/>
        <v>69.549383363839866</v>
      </c>
      <c r="Q138" s="22">
        <f t="shared" si="108"/>
        <v>630.13462269202034</v>
      </c>
      <c r="R138" s="60">
        <f t="shared" si="109"/>
        <v>923.46795602535371</v>
      </c>
      <c r="S138" s="60">
        <f ca="1">AVERAGE(OFFSET($R$3,0,0,'Données projet'!$E$9+1,1))-AVERAGE(OFFSET($H$3,0,0,'Données projet'!$E$9+1,1))</f>
        <v>384.44848355636935</v>
      </c>
      <c r="T138" s="60">
        <f t="shared" si="142"/>
        <v>203.5274665601915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255.60599999999937</v>
      </c>
      <c r="AK138" s="14">
        <f t="shared" si="143"/>
        <v>61.784827631732192</v>
      </c>
      <c r="AL138" s="22">
        <f t="shared" si="112"/>
        <v>552.78902479193243</v>
      </c>
      <c r="AM138" s="60">
        <f t="shared" si="113"/>
        <v>846.12235812526569</v>
      </c>
      <c r="AN138" s="60">
        <f ca="1">AVERAGE(OFFSET($AM$3,0,0,'Données projet'!$E$10+1,1))-AVERAGE(OFFSET($H$3,0,0,'Données projet'!$E$10+1,1))</f>
        <v>303.73499739059076</v>
      </c>
      <c r="AO138" s="60">
        <f t="shared" si="144"/>
        <v>172.32171001882188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4</v>
      </c>
      <c r="BD138" s="13">
        <f>IF('Données projet'!$A$88&gt;35,BD137+BC138-BL137,IF(A138&lt;'Données projet'!$A$88,$BA$205^A138,IF(A138='Données projet'!$A$88,'Données projet'!$B$88,BD137+BC138-BL137)))</f>
        <v>322.99999999999955</v>
      </c>
      <c r="BE138" s="14">
        <f>BD138*VLOOKUP('Données projet'!$B$11,Paramètres!$A$1:$I$89,3,0)*VLOOKUP('Données projet'!$B$11,Paramètres!$A$1:$I$89,5,0)</f>
        <v>272.09519999999964</v>
      </c>
      <c r="BF138" s="14">
        <f t="shared" si="145"/>
        <v>65.293723364568322</v>
      </c>
      <c r="BG138" s="22">
        <f t="shared" si="115"/>
        <v>587.61904152662248</v>
      </c>
      <c r="BH138" s="60">
        <f t="shared" si="116"/>
        <v>880.95237485995585</v>
      </c>
      <c r="BI138" s="60">
        <f ca="1">AVERAGE(OFFSET($BH$3,0,0,'Données projet'!$E$11+1,1))-AVERAGE(OFFSET($H$3,0,0,'Données projet'!$E$11+1,1))</f>
        <v>352.29660374042186</v>
      </c>
      <c r="BJ138" s="60">
        <f t="shared" si="146"/>
        <v>187.26439695305618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237.97799999999944</v>
      </c>
      <c r="CA138" s="14">
        <f t="shared" si="147"/>
        <v>58.004273343583726</v>
      </c>
      <c r="CB138" s="22">
        <f t="shared" si="118"/>
        <v>515.50245940674063</v>
      </c>
      <c r="CC138" s="60">
        <f t="shared" si="119"/>
        <v>808.83579274007388</v>
      </c>
      <c r="CD138" s="60">
        <f ca="1">AVERAGE(OFFSET($CC$3,0,0,'Données projet'!$E$12+1,1))-AVERAGE(OFFSET($H$3,0,0,'Données projet'!$E$12+1,1))</f>
        <v>277.03735509061545</v>
      </c>
      <c r="CE138" s="60">
        <f t="shared" si="148"/>
        <v>158.16416492761959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286.45499999999936</v>
      </c>
      <c r="CV138" s="14">
        <f t="shared" si="149"/>
        <v>68.329321179865531</v>
      </c>
      <c r="CW138" s="22">
        <f t="shared" si="121"/>
        <v>617.91602605493142</v>
      </c>
      <c r="CX138" s="60">
        <f t="shared" si="122"/>
        <v>911.24935938826479</v>
      </c>
      <c r="CY138" s="60">
        <f ca="1">AVERAGE(OFFSET($CX$3,0,0,'Données projet'!$E$13+1,1))-AVERAGE(OFFSET($H$3,0,0,'Données projet'!$E$13+1,1))</f>
        <v>350.3652766444938</v>
      </c>
      <c r="CZ138" s="60">
        <f t="shared" si="150"/>
        <v>197.04549436738586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3.4106051316484809E-13</v>
      </c>
      <c r="DP138" s="18">
        <f>DO138*VLOOKUP('Données projet'!$B$14,Paramètres!$A$1:$I$89,3,0)*VLOOKUP('Données projet'!$B$14,Paramètres!$A$1:$I$89,5,0)</f>
        <v>2.7134774427395314E-13</v>
      </c>
      <c r="DQ138" s="14">
        <f t="shared" si="151"/>
        <v>3.6292411711343559E-12</v>
      </c>
      <c r="DR138" s="22">
        <f t="shared" si="124"/>
        <v>6.7935256943361388E-12</v>
      </c>
      <c r="DS138" s="60">
        <f t="shared" si="125"/>
        <v>293.33333333334014</v>
      </c>
      <c r="DT138" s="60">
        <f ca="1">AVERAGE(OFFSET($DS$3,0,0,'Données projet'!$E$14+1,1))-AVERAGE(OFFSET($H$3,0,0,'Données projet'!$E$14+1,1))</f>
        <v>382.01991140382955</v>
      </c>
      <c r="DU138" s="60">
        <f t="shared" si="152"/>
        <v>389.53897948144339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323.92137573760789</v>
      </c>
      <c r="EP138" s="60">
        <f t="shared" si="154"/>
        <v>389.53897948144339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2.2737367544323206E-13</v>
      </c>
      <c r="FF138" s="18">
        <f>FE138*VLOOKUP('Données projet'!$B$16,Paramètres!$A$1:$I$89,3,0)*VLOOKUP('Données projet'!$B$16,Paramètres!$A$1:$I$89,5,0)</f>
        <v>1.8089849618263545E-13</v>
      </c>
      <c r="FG138" s="14">
        <f t="shared" si="155"/>
        <v>2.536422473342444E-12</v>
      </c>
      <c r="FH138" s="22">
        <f t="shared" si="130"/>
        <v>4.7326673552561798E-12</v>
      </c>
      <c r="FI138" s="60">
        <f t="shared" si="131"/>
        <v>293.33333333333803</v>
      </c>
      <c r="FJ138" s="60">
        <f ca="1">AVERAGE(OFFSET($FI$3,0,0,'Données projet'!$E$16+1,1))-AVERAGE(OFFSET($H$3,0,0,'Données projet'!$E$16+1,1))</f>
        <v>219.61164494001008</v>
      </c>
      <c r="FK138" s="60">
        <f t="shared" si="156"/>
        <v>219.59799863414111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-6.2527760746888816E-13</v>
      </c>
      <c r="GA138" s="18">
        <f>FZ138*VLOOKUP('Données projet'!$B$17,Paramètres!$A$1:$I$89,3,0)*VLOOKUP('Données projet'!$B$17,Paramètres!$A$1:$I$89,5,0)</f>
        <v>-2.9262992029543964E-13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147.5699668214238</v>
      </c>
      <c r="GF138" s="60">
        <f t="shared" si="158"/>
        <v>70.653739864908346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>
        <f>GU138*VLOOKUP('Données projet'!$B$18,Paramètres!$A$1:$I$89,3,0)*VLOOKUP('Données projet'!$B$18,Paramètres!$A$1:$I$89,5,0)</f>
        <v>0</v>
      </c>
      <c r="GW138" s="14" t="e">
        <f t="shared" si="159"/>
        <v>#NUM!</v>
      </c>
      <c r="GX138" s="22" t="e">
        <f t="shared" si="136"/>
        <v>#NUM!</v>
      </c>
      <c r="GY138" s="60" t="e">
        <f t="shared" si="137"/>
        <v>#NUM!</v>
      </c>
      <c r="GZ138" s="60">
        <f ca="1">AVERAGE(OFFSET($GY$3,0,0,'Données projet'!$E$18+1,1))-AVERAGE(OFFSET($H$3,0,0,'Données projet'!$E$18+1,1))</f>
        <v>136.03899433512379</v>
      </c>
      <c r="HA138" s="60">
        <f t="shared" si="160"/>
        <v>316.56646692826882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9.3338812851298432</v>
      </c>
      <c r="HH138" s="23">
        <f>EXP(-LN(2)/25)*HH137+(1-EXP(-LN(2)/25))/(LN(2)/25)*Calculateur!HC138*Calculateur!HE138*VLOOKUP('Données projet'!$B$18,Paramètres!$A$1:$I$89,3,0)*0.475*44/12</f>
        <v>0.54854124566207607</v>
      </c>
      <c r="HI138" s="23">
        <f>EXP(-LN(2)/2)*HI137+(1-EXP(-LN(2)/2))/(LN(2)/2)*HC138*HF138*VLOOKUP('Données projet'!$B$18,Paramètres!$A$1:$I$89,3,0)*0.475*44/12</f>
        <v>4.5905085259230361E-16</v>
      </c>
      <c r="HJ138" s="24">
        <f t="shared" si="138"/>
        <v>9.8824225307919189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</v>
      </c>
      <c r="N139" s="14">
        <f>IF('Données projet'!$A$36&gt;35,N138+M139-V138,IF(A139&lt;'Données projet'!$A$36,$K$205^A139,IF(A139='Données projet'!$A$36,'Données projet'!$B$36,N138+M139-V138)))</f>
        <v>326.99999999999955</v>
      </c>
      <c r="O139" s="14">
        <f>N139*VLOOKUP('Données projet'!$B$9,Paramètres!$A$1:$I$89,3,0)*VLOOKUP('Données projet'!$B$9,Paramètres!$A$1:$I$89,5,0)</f>
        <v>295.86959999999954</v>
      </c>
      <c r="P139" s="14">
        <f t="shared" si="141"/>
        <v>70.309875568291091</v>
      </c>
      <c r="Q139" s="22">
        <f t="shared" si="108"/>
        <v>637.76258661477277</v>
      </c>
      <c r="R139" s="60">
        <f t="shared" si="109"/>
        <v>931.09591994810603</v>
      </c>
      <c r="S139" s="60">
        <f ca="1">AVERAGE(OFFSET($R$3,0,0,'Données projet'!$E$9+1,1))-AVERAGE(OFFSET($H$3,0,0,'Données projet'!$E$9+1,1))</f>
        <v>384.44848355636935</v>
      </c>
      <c r="T139" s="60">
        <f t="shared" si="142"/>
        <v>203.5274665601915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258.0489599999994</v>
      </c>
      <c r="AK139" s="14">
        <f t="shared" si="143"/>
        <v>62.306312932555649</v>
      </c>
      <c r="AL139" s="22">
        <f t="shared" si="112"/>
        <v>557.95210035753337</v>
      </c>
      <c r="AM139" s="60">
        <f t="shared" si="113"/>
        <v>851.28543369086674</v>
      </c>
      <c r="AN139" s="60">
        <f ca="1">AVERAGE(OFFSET($AM$3,0,0,'Données projet'!$E$10+1,1))-AVERAGE(OFFSET($H$3,0,0,'Données projet'!$E$10+1,1))</f>
        <v>303.73499739059076</v>
      </c>
      <c r="AO139" s="60">
        <f t="shared" si="144"/>
        <v>172.32171001882188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4</v>
      </c>
      <c r="BD139" s="13">
        <f>IF('Données projet'!$A$88&gt;35,BD138+BC139-BL138,IF(A139&lt;'Données projet'!$A$88,$BA$205^A139,IF(A139='Données projet'!$A$88,'Données projet'!$B$88,BD138+BC139-BL138)))</f>
        <v>326.99999999999955</v>
      </c>
      <c r="BE139" s="14">
        <f>BD139*VLOOKUP('Données projet'!$B$11,Paramètres!$A$1:$I$89,3,0)*VLOOKUP('Données projet'!$B$11,Paramètres!$A$1:$I$89,5,0)</f>
        <v>275.46479999999963</v>
      </c>
      <c r="BF139" s="14">
        <f t="shared" si="145"/>
        <v>66.00768178111656</v>
      </c>
      <c r="BG139" s="22">
        <f t="shared" si="115"/>
        <v>594.73123910211064</v>
      </c>
      <c r="BH139" s="60">
        <f t="shared" si="116"/>
        <v>888.06457243544401</v>
      </c>
      <c r="BI139" s="60">
        <f ca="1">AVERAGE(OFFSET($BH$3,0,0,'Données projet'!$E$11+1,1))-AVERAGE(OFFSET($H$3,0,0,'Données projet'!$E$11+1,1))</f>
        <v>352.29660374042186</v>
      </c>
      <c r="BJ139" s="60">
        <f t="shared" si="146"/>
        <v>187.26439695305618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240.25247999999945</v>
      </c>
      <c r="CA139" s="14">
        <f t="shared" si="147"/>
        <v>58.493849459485787</v>
      </c>
      <c r="CB139" s="22">
        <f t="shared" si="118"/>
        <v>520.31652380860351</v>
      </c>
      <c r="CC139" s="60">
        <f t="shared" si="119"/>
        <v>813.64985714193676</v>
      </c>
      <c r="CD139" s="60">
        <f ca="1">AVERAGE(OFFSET($CC$3,0,0,'Données projet'!$E$12+1,1))-AVERAGE(OFFSET($H$3,0,0,'Données projet'!$E$12+1,1))</f>
        <v>277.03735509061545</v>
      </c>
      <c r="CE139" s="60">
        <f t="shared" si="148"/>
        <v>158.16416492761959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289.19279999999935</v>
      </c>
      <c r="CV139" s="14">
        <f t="shared" si="149"/>
        <v>68.906044268306161</v>
      </c>
      <c r="CW139" s="22">
        <f t="shared" si="121"/>
        <v>623.68882043396547</v>
      </c>
      <c r="CX139" s="60">
        <f t="shared" si="122"/>
        <v>917.02215376729873</v>
      </c>
      <c r="CY139" s="60">
        <f ca="1">AVERAGE(OFFSET($CX$3,0,0,'Données projet'!$E$13+1,1))-AVERAGE(OFFSET($H$3,0,0,'Données projet'!$E$13+1,1))</f>
        <v>350.3652766444938</v>
      </c>
      <c r="CZ139" s="60">
        <f t="shared" si="150"/>
        <v>197.04549436738586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3.4106051316484809E-13</v>
      </c>
      <c r="DP139" s="18">
        <f>DO139*VLOOKUP('Données projet'!$B$14,Paramètres!$A$1:$I$89,3,0)*VLOOKUP('Données projet'!$B$14,Paramètres!$A$1:$I$89,5,0)</f>
        <v>2.7134774427395314E-13</v>
      </c>
      <c r="DQ139" s="14">
        <f t="shared" si="151"/>
        <v>3.6292411711343559E-12</v>
      </c>
      <c r="DR139" s="22">
        <f t="shared" si="124"/>
        <v>6.7935256943361388E-12</v>
      </c>
      <c r="DS139" s="60">
        <f t="shared" si="125"/>
        <v>293.33333333334014</v>
      </c>
      <c r="DT139" s="60">
        <f ca="1">AVERAGE(OFFSET($DS$3,0,0,'Données projet'!$E$14+1,1))-AVERAGE(OFFSET($H$3,0,0,'Données projet'!$E$14+1,1))</f>
        <v>382.01991140382955</v>
      </c>
      <c r="DU139" s="60">
        <f t="shared" si="152"/>
        <v>389.53897948144339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323.92137573760789</v>
      </c>
      <c r="EP139" s="60">
        <f t="shared" si="154"/>
        <v>389.53897948144339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2.2737367544323206E-13</v>
      </c>
      <c r="FF139" s="18">
        <f>FE139*VLOOKUP('Données projet'!$B$16,Paramètres!$A$1:$I$89,3,0)*VLOOKUP('Données projet'!$B$16,Paramètres!$A$1:$I$89,5,0)</f>
        <v>1.8089849618263545E-13</v>
      </c>
      <c r="FG139" s="14">
        <f t="shared" si="155"/>
        <v>2.536422473342444E-12</v>
      </c>
      <c r="FH139" s="22">
        <f t="shared" si="130"/>
        <v>4.7326673552561798E-12</v>
      </c>
      <c r="FI139" s="60">
        <f t="shared" si="131"/>
        <v>293.33333333333803</v>
      </c>
      <c r="FJ139" s="60">
        <f ca="1">AVERAGE(OFFSET($FI$3,0,0,'Données projet'!$E$16+1,1))-AVERAGE(OFFSET($H$3,0,0,'Données projet'!$E$16+1,1))</f>
        <v>219.61164494001008</v>
      </c>
      <c r="FK139" s="60">
        <f t="shared" si="156"/>
        <v>219.59799863414111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-6.2527760746888816E-13</v>
      </c>
      <c r="GA139" s="18">
        <f>FZ139*VLOOKUP('Données projet'!$B$17,Paramètres!$A$1:$I$89,3,0)*VLOOKUP('Données projet'!$B$17,Paramètres!$A$1:$I$89,5,0)</f>
        <v>-2.9262992029543964E-13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147.5699668214238</v>
      </c>
      <c r="GF139" s="60">
        <f t="shared" si="158"/>
        <v>70.653739864908346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>
        <f>GU139*VLOOKUP('Données projet'!$B$18,Paramètres!$A$1:$I$89,3,0)*VLOOKUP('Données projet'!$B$18,Paramètres!$A$1:$I$89,5,0)</f>
        <v>0</v>
      </c>
      <c r="GW139" s="14" t="e">
        <f t="shared" si="159"/>
        <v>#NUM!</v>
      </c>
      <c r="GX139" s="22" t="e">
        <f t="shared" si="136"/>
        <v>#NUM!</v>
      </c>
      <c r="GY139" s="60" t="e">
        <f t="shared" si="137"/>
        <v>#NUM!</v>
      </c>
      <c r="GZ139" s="60">
        <f ca="1">AVERAGE(OFFSET($GY$3,0,0,'Données projet'!$E$18+1,1))-AVERAGE(OFFSET($H$3,0,0,'Données projet'!$E$18+1,1))</f>
        <v>136.03899433512379</v>
      </c>
      <c r="HA139" s="60">
        <f t="shared" si="160"/>
        <v>316.56646692826882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9.1508495662338838</v>
      </c>
      <c r="HH139" s="23">
        <f>EXP(-LN(2)/25)*HH138+(1-EXP(-LN(2)/25))/(LN(2)/25)*Calculateur!HC139*Calculateur!HE139*VLOOKUP('Données projet'!$B$18,Paramètres!$A$1:$I$89,3,0)*0.475*44/12</f>
        <v>0.53354135645291623</v>
      </c>
      <c r="HI139" s="23">
        <f>EXP(-LN(2)/2)*HI138+(1-EXP(-LN(2)/2))/(LN(2)/2)*HC139*HF139*VLOOKUP('Données projet'!$B$18,Paramètres!$A$1:$I$89,3,0)*0.475*44/12</f>
        <v>3.2459797077748411E-16</v>
      </c>
      <c r="HJ139" s="24">
        <f t="shared" si="138"/>
        <v>9.6843909226868004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</v>
      </c>
      <c r="N140" s="14">
        <f>IF('Données projet'!$A$36&gt;35,N139+M140-V139,IF(A140&lt;'Données projet'!$A$36,$K$205^A140,IF(A140='Données projet'!$A$36,'Données projet'!$B$36,N139+M140-V139)))</f>
        <v>330.99999999999955</v>
      </c>
      <c r="O140" s="14">
        <f>N140*VLOOKUP('Données projet'!$B$9,Paramètres!$A$1:$I$89,3,0)*VLOOKUP('Données projet'!$B$9,Paramètres!$A$1:$I$89,5,0)</f>
        <v>299.48879999999957</v>
      </c>
      <c r="P140" s="14">
        <f t="shared" si="141"/>
        <v>71.069285685467236</v>
      </c>
      <c r="Q140" s="22">
        <f t="shared" si="108"/>
        <v>645.38866590218811</v>
      </c>
      <c r="R140" s="60">
        <f t="shared" si="109"/>
        <v>938.72199923552148</v>
      </c>
      <c r="S140" s="60">
        <f ca="1">AVERAGE(OFFSET($R$3,0,0,'Données projet'!$E$9+1,1))-AVERAGE(OFFSET($H$3,0,0,'Données projet'!$E$9+1,1))</f>
        <v>384.44848355636935</v>
      </c>
      <c r="T140" s="60">
        <f t="shared" si="142"/>
        <v>203.5274665601915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260.49191999999937</v>
      </c>
      <c r="AK140" s="14">
        <f t="shared" si="143"/>
        <v>62.827223883029681</v>
      </c>
      <c r="AL140" s="22">
        <f t="shared" si="112"/>
        <v>563.11417559627546</v>
      </c>
      <c r="AM140" s="60">
        <f t="shared" si="113"/>
        <v>856.44750892960883</v>
      </c>
      <c r="AN140" s="60">
        <f ca="1">AVERAGE(OFFSET($AM$3,0,0,'Données projet'!$E$10+1,1))-AVERAGE(OFFSET($H$3,0,0,'Données projet'!$E$10+1,1))</f>
        <v>303.73499739059076</v>
      </c>
      <c r="AO140" s="60">
        <f t="shared" si="144"/>
        <v>172.32171001882188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4</v>
      </c>
      <c r="BD140" s="13">
        <f>IF('Données projet'!$A$88&gt;35,BD139+BC140-BL139,IF(A140&lt;'Données projet'!$A$88,$BA$205^A140,IF(A140='Données projet'!$A$88,'Données projet'!$B$88,BD139+BC140-BL139)))</f>
        <v>330.99999999999955</v>
      </c>
      <c r="BE140" s="14">
        <f>BD140*VLOOKUP('Données projet'!$B$11,Paramètres!$A$1:$I$89,3,0)*VLOOKUP('Données projet'!$B$11,Paramètres!$A$1:$I$89,5,0)</f>
        <v>278.83439999999962</v>
      </c>
      <c r="BF140" s="14">
        <f t="shared" si="145"/>
        <v>66.720624322271121</v>
      </c>
      <c r="BG140" s="22">
        <f t="shared" si="115"/>
        <v>601.84166736128827</v>
      </c>
      <c r="BH140" s="60">
        <f t="shared" si="116"/>
        <v>895.17500069462153</v>
      </c>
      <c r="BI140" s="60">
        <f ca="1">AVERAGE(OFFSET($BH$3,0,0,'Données projet'!$E$11+1,1))-AVERAGE(OFFSET($H$3,0,0,'Données projet'!$E$11+1,1))</f>
        <v>352.29660374042186</v>
      </c>
      <c r="BJ140" s="60">
        <f t="shared" si="146"/>
        <v>187.26439695305618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242.52695999999943</v>
      </c>
      <c r="CA140" s="14">
        <f t="shared" si="147"/>
        <v>58.982886368985021</v>
      </c>
      <c r="CB140" s="22">
        <f t="shared" si="118"/>
        <v>525.12964909264781</v>
      </c>
      <c r="CC140" s="60">
        <f t="shared" si="119"/>
        <v>818.46298242598118</v>
      </c>
      <c r="CD140" s="60">
        <f ca="1">AVERAGE(OFFSET($CC$3,0,0,'Données projet'!$E$12+1,1))-AVERAGE(OFFSET($H$3,0,0,'Données projet'!$E$12+1,1))</f>
        <v>277.03735509061545</v>
      </c>
      <c r="CE140" s="60">
        <f t="shared" si="148"/>
        <v>158.16416492761959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291.93059999999929</v>
      </c>
      <c r="CV140" s="14">
        <f t="shared" si="149"/>
        <v>69.482132168934584</v>
      </c>
      <c r="CW140" s="22">
        <f t="shared" si="121"/>
        <v>629.4605085275598</v>
      </c>
      <c r="CX140" s="60">
        <f t="shared" si="122"/>
        <v>922.79384186089305</v>
      </c>
      <c r="CY140" s="60">
        <f ca="1">AVERAGE(OFFSET($CX$3,0,0,'Données projet'!$E$13+1,1))-AVERAGE(OFFSET($H$3,0,0,'Données projet'!$E$13+1,1))</f>
        <v>350.3652766444938</v>
      </c>
      <c r="CZ140" s="60">
        <f t="shared" si="150"/>
        <v>197.04549436738586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3.4106051316484809E-13</v>
      </c>
      <c r="DP140" s="18">
        <f>DO140*VLOOKUP('Données projet'!$B$14,Paramètres!$A$1:$I$89,3,0)*VLOOKUP('Données projet'!$B$14,Paramètres!$A$1:$I$89,5,0)</f>
        <v>2.7134774427395314E-13</v>
      </c>
      <c r="DQ140" s="14">
        <f t="shared" si="151"/>
        <v>3.6292411711343559E-12</v>
      </c>
      <c r="DR140" s="22">
        <f t="shared" si="124"/>
        <v>6.7935256943361388E-12</v>
      </c>
      <c r="DS140" s="60">
        <f t="shared" si="125"/>
        <v>293.33333333334014</v>
      </c>
      <c r="DT140" s="60">
        <f ca="1">AVERAGE(OFFSET($DS$3,0,0,'Données projet'!$E$14+1,1))-AVERAGE(OFFSET($H$3,0,0,'Données projet'!$E$14+1,1))</f>
        <v>382.01991140382955</v>
      </c>
      <c r="DU140" s="60">
        <f t="shared" si="152"/>
        <v>389.53897948144339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323.92137573760789</v>
      </c>
      <c r="EP140" s="60">
        <f t="shared" si="154"/>
        <v>389.53897948144339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2.2737367544323206E-13</v>
      </c>
      <c r="FF140" s="18">
        <f>FE140*VLOOKUP('Données projet'!$B$16,Paramètres!$A$1:$I$89,3,0)*VLOOKUP('Données projet'!$B$16,Paramètres!$A$1:$I$89,5,0)</f>
        <v>1.8089849618263545E-13</v>
      </c>
      <c r="FG140" s="14">
        <f t="shared" si="155"/>
        <v>2.536422473342444E-12</v>
      </c>
      <c r="FH140" s="22">
        <f t="shared" si="130"/>
        <v>4.7326673552561798E-12</v>
      </c>
      <c r="FI140" s="60">
        <f t="shared" si="131"/>
        <v>293.33333333333803</v>
      </c>
      <c r="FJ140" s="60">
        <f ca="1">AVERAGE(OFFSET($FI$3,0,0,'Données projet'!$E$16+1,1))-AVERAGE(OFFSET($H$3,0,0,'Données projet'!$E$16+1,1))</f>
        <v>219.61164494001008</v>
      </c>
      <c r="FK140" s="60">
        <f t="shared" si="156"/>
        <v>219.59799863414111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-6.2527760746888816E-13</v>
      </c>
      <c r="GA140" s="18">
        <f>FZ140*VLOOKUP('Données projet'!$B$17,Paramètres!$A$1:$I$89,3,0)*VLOOKUP('Données projet'!$B$17,Paramètres!$A$1:$I$89,5,0)</f>
        <v>-2.9262992029543964E-13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147.5699668214238</v>
      </c>
      <c r="GF140" s="60">
        <f t="shared" si="158"/>
        <v>70.653739864908346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>
        <f>GU140*VLOOKUP('Données projet'!$B$18,Paramètres!$A$1:$I$89,3,0)*VLOOKUP('Données projet'!$B$18,Paramètres!$A$1:$I$89,5,0)</f>
        <v>0</v>
      </c>
      <c r="GW140" s="14" t="e">
        <f t="shared" si="159"/>
        <v>#NUM!</v>
      </c>
      <c r="GX140" s="22" t="e">
        <f t="shared" si="136"/>
        <v>#NUM!</v>
      </c>
      <c r="GY140" s="60" t="e">
        <f t="shared" si="137"/>
        <v>#NUM!</v>
      </c>
      <c r="GZ140" s="60">
        <f ca="1">AVERAGE(OFFSET($GY$3,0,0,'Données projet'!$E$18+1,1))-AVERAGE(OFFSET($H$3,0,0,'Données projet'!$E$18+1,1))</f>
        <v>136.03899433512379</v>
      </c>
      <c r="HA140" s="60">
        <f t="shared" si="160"/>
        <v>316.56646692826882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8.9714069877071481</v>
      </c>
      <c r="HH140" s="23">
        <f>EXP(-LN(2)/25)*HH139+(1-EXP(-LN(2)/25))/(LN(2)/25)*Calculateur!HC140*Calculateur!HE140*VLOOKUP('Données projet'!$B$18,Paramètres!$A$1:$I$89,3,0)*0.475*44/12</f>
        <v>0.51895164000299077</v>
      </c>
      <c r="HI140" s="23">
        <f>EXP(-LN(2)/2)*HI139+(1-EXP(-LN(2)/2))/(LN(2)/2)*HC140*HF140*VLOOKUP('Données projet'!$B$18,Paramètres!$A$1:$I$89,3,0)*0.475*44/12</f>
        <v>2.295254262961518E-16</v>
      </c>
      <c r="HJ140" s="24">
        <f t="shared" si="138"/>
        <v>9.4903586277101386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4</v>
      </c>
      <c r="N141" s="14">
        <f>IF('Données projet'!$A$36&gt;35,N140+M141-V140,IF(A141&lt;'Données projet'!$A$36,$K$205^A141,IF(A141='Données projet'!$A$36,'Données projet'!$B$36,N140+M141-V140)))</f>
        <v>334.99999999999955</v>
      </c>
      <c r="O141" s="14">
        <f>N141*VLOOKUP('Données projet'!$B$9,Paramètres!$A$1:$I$89,3,0)*VLOOKUP('Données projet'!$B$9,Paramètres!$A$1:$I$89,5,0)</f>
        <v>303.10799999999961</v>
      </c>
      <c r="P141" s="14">
        <f t="shared" si="141"/>
        <v>71.827628304517162</v>
      </c>
      <c r="Q141" s="22">
        <f t="shared" si="108"/>
        <v>653.0128859637</v>
      </c>
      <c r="R141" s="60">
        <f t="shared" si="109"/>
        <v>946.34621929703326</v>
      </c>
      <c r="S141" s="60">
        <f ca="1">AVERAGE(OFFSET($R$3,0,0,'Données projet'!$E$9+1,1))-AVERAGE(OFFSET($H$3,0,0,'Données projet'!$E$9+1,1))</f>
        <v>384.44848355636935</v>
      </c>
      <c r="T141" s="60">
        <f t="shared" si="142"/>
        <v>203.5274665601915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262.93487999999934</v>
      </c>
      <c r="AK141" s="14">
        <f t="shared" si="143"/>
        <v>63.347566493432652</v>
      </c>
      <c r="AL141" s="22">
        <f t="shared" si="112"/>
        <v>568.27526097606062</v>
      </c>
      <c r="AM141" s="60">
        <f t="shared" si="113"/>
        <v>861.60859430939399</v>
      </c>
      <c r="AN141" s="60">
        <f ca="1">AVERAGE(OFFSET($AM$3,0,0,'Données projet'!$E$10+1,1))-AVERAGE(OFFSET($H$3,0,0,'Données projet'!$E$10+1,1))</f>
        <v>303.73499739059076</v>
      </c>
      <c r="AO141" s="60">
        <f t="shared" si="144"/>
        <v>172.32171001882188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4</v>
      </c>
      <c r="BD141" s="13">
        <f>IF('Données projet'!$A$88&gt;35,BD140+BC141-BL140,IF(A141&lt;'Données projet'!$A$88,$BA$205^A141,IF(A141='Données projet'!$A$88,'Données projet'!$B$88,BD140+BC141-BL140)))</f>
        <v>334.99999999999955</v>
      </c>
      <c r="BE141" s="14">
        <f>BD141*VLOOKUP('Données projet'!$B$11,Paramètres!$A$1:$I$89,3,0)*VLOOKUP('Données projet'!$B$11,Paramètres!$A$1:$I$89,5,0)</f>
        <v>282.20399999999967</v>
      </c>
      <c r="BF141" s="14">
        <f t="shared" si="145"/>
        <v>67.432564684485129</v>
      </c>
      <c r="BG141" s="22">
        <f t="shared" si="115"/>
        <v>608.95035015881103</v>
      </c>
      <c r="BH141" s="60">
        <f t="shared" si="116"/>
        <v>902.28368349214429</v>
      </c>
      <c r="BI141" s="60">
        <f ca="1">AVERAGE(OFFSET($BH$3,0,0,'Données projet'!$E$11+1,1))-AVERAGE(OFFSET($H$3,0,0,'Données projet'!$E$11+1,1))</f>
        <v>352.29660374042186</v>
      </c>
      <c r="BJ141" s="60">
        <f t="shared" si="146"/>
        <v>187.26439695305618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244.80143999999945</v>
      </c>
      <c r="CA141" s="14">
        <f t="shared" si="147"/>
        <v>59.471389714596469</v>
      </c>
      <c r="CB141" s="22">
        <f t="shared" si="118"/>
        <v>529.94184508625449</v>
      </c>
      <c r="CC141" s="60">
        <f t="shared" si="119"/>
        <v>823.27517841958775</v>
      </c>
      <c r="CD141" s="60">
        <f ca="1">AVERAGE(OFFSET($CC$3,0,0,'Données projet'!$E$12+1,1))-AVERAGE(OFFSET($H$3,0,0,'Données projet'!$E$12+1,1))</f>
        <v>277.03735509061545</v>
      </c>
      <c r="CE141" s="60">
        <f t="shared" si="148"/>
        <v>158.16416492761959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294.66839999999928</v>
      </c>
      <c r="CV141" s="14">
        <f t="shared" si="149"/>
        <v>70.057591528661433</v>
      </c>
      <c r="CW141" s="22">
        <f t="shared" si="121"/>
        <v>635.23110191241733</v>
      </c>
      <c r="CX141" s="60">
        <f t="shared" si="122"/>
        <v>928.5644352457507</v>
      </c>
      <c r="CY141" s="60">
        <f ca="1">AVERAGE(OFFSET($CX$3,0,0,'Données projet'!$E$13+1,1))-AVERAGE(OFFSET($H$3,0,0,'Données projet'!$E$13+1,1))</f>
        <v>350.3652766444938</v>
      </c>
      <c r="CZ141" s="60">
        <f t="shared" si="150"/>
        <v>197.04549436738586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3.4106051316484809E-13</v>
      </c>
      <c r="DP141" s="18">
        <f>DO141*VLOOKUP('Données projet'!$B$14,Paramètres!$A$1:$I$89,3,0)*VLOOKUP('Données projet'!$B$14,Paramètres!$A$1:$I$89,5,0)</f>
        <v>2.7134774427395314E-13</v>
      </c>
      <c r="DQ141" s="14">
        <f t="shared" si="151"/>
        <v>3.6292411711343559E-12</v>
      </c>
      <c r="DR141" s="22">
        <f t="shared" si="124"/>
        <v>6.7935256943361388E-12</v>
      </c>
      <c r="DS141" s="60">
        <f t="shared" si="125"/>
        <v>293.33333333334014</v>
      </c>
      <c r="DT141" s="60">
        <f ca="1">AVERAGE(OFFSET($DS$3,0,0,'Données projet'!$E$14+1,1))-AVERAGE(OFFSET($H$3,0,0,'Données projet'!$E$14+1,1))</f>
        <v>382.01991140382955</v>
      </c>
      <c r="DU141" s="60">
        <f t="shared" si="152"/>
        <v>389.53897948144339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323.92137573760789</v>
      </c>
      <c r="EP141" s="60">
        <f t="shared" si="154"/>
        <v>389.53897948144339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2.2737367544323206E-13</v>
      </c>
      <c r="FF141" s="18">
        <f>FE141*VLOOKUP('Données projet'!$B$16,Paramètres!$A$1:$I$89,3,0)*VLOOKUP('Données projet'!$B$16,Paramètres!$A$1:$I$89,5,0)</f>
        <v>1.8089849618263545E-13</v>
      </c>
      <c r="FG141" s="14">
        <f t="shared" si="155"/>
        <v>2.536422473342444E-12</v>
      </c>
      <c r="FH141" s="22">
        <f t="shared" si="130"/>
        <v>4.7326673552561798E-12</v>
      </c>
      <c r="FI141" s="60">
        <f t="shared" si="131"/>
        <v>293.33333333333803</v>
      </c>
      <c r="FJ141" s="60">
        <f ca="1">AVERAGE(OFFSET($FI$3,0,0,'Données projet'!$E$16+1,1))-AVERAGE(OFFSET($H$3,0,0,'Données projet'!$E$16+1,1))</f>
        <v>219.61164494001008</v>
      </c>
      <c r="FK141" s="60">
        <f t="shared" si="156"/>
        <v>219.59799863414111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-6.2527760746888816E-13</v>
      </c>
      <c r="GA141" s="18">
        <f>FZ141*VLOOKUP('Données projet'!$B$17,Paramètres!$A$1:$I$89,3,0)*VLOOKUP('Données projet'!$B$17,Paramètres!$A$1:$I$89,5,0)</f>
        <v>-2.9262992029543964E-13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147.5699668214238</v>
      </c>
      <c r="GF141" s="60">
        <f t="shared" si="158"/>
        <v>70.653739864908346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>
        <f>GU141*VLOOKUP('Données projet'!$B$18,Paramètres!$A$1:$I$89,3,0)*VLOOKUP('Données projet'!$B$18,Paramètres!$A$1:$I$89,5,0)</f>
        <v>0</v>
      </c>
      <c r="GW141" s="14" t="e">
        <f t="shared" si="159"/>
        <v>#NUM!</v>
      </c>
      <c r="GX141" s="22" t="e">
        <f t="shared" si="136"/>
        <v>#NUM!</v>
      </c>
      <c r="GY141" s="60" t="e">
        <f t="shared" si="137"/>
        <v>#NUM!</v>
      </c>
      <c r="GZ141" s="60">
        <f ca="1">AVERAGE(OFFSET($GY$3,0,0,'Données projet'!$E$18+1,1))-AVERAGE(OFFSET($H$3,0,0,'Données projet'!$E$18+1,1))</f>
        <v>136.03899433512379</v>
      </c>
      <c r="HA141" s="60">
        <f t="shared" si="160"/>
        <v>316.56646692826882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8.7954831686961565</v>
      </c>
      <c r="HH141" s="23">
        <f>EXP(-LN(2)/25)*HH140+(1-EXP(-LN(2)/25))/(LN(2)/25)*Calculateur!HC141*Calculateur!HE141*VLOOKUP('Données projet'!$B$18,Paramètres!$A$1:$I$89,3,0)*0.475*44/12</f>
        <v>0.50476088011662834</v>
      </c>
      <c r="HI141" s="23">
        <f>EXP(-LN(2)/2)*HI140+(1-EXP(-LN(2)/2))/(LN(2)/2)*HC141*HF141*VLOOKUP('Données projet'!$B$18,Paramètres!$A$1:$I$89,3,0)*0.475*44/12</f>
        <v>1.6229898538874206E-16</v>
      </c>
      <c r="HJ141" s="24">
        <f t="shared" si="138"/>
        <v>9.3002440488127842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</v>
      </c>
      <c r="N142" s="14">
        <f>IF('Données projet'!$A$36&gt;35,N141+M142-V141,IF(A142&lt;'Données projet'!$A$36,$K$205^A142,IF(A142='Données projet'!$A$36,'Données projet'!$B$36,N141+M142-V141)))</f>
        <v>338.99999999999955</v>
      </c>
      <c r="O142" s="14">
        <f>N142*VLOOKUP('Données projet'!$B$9,Paramètres!$A$1:$I$89,3,0)*VLOOKUP('Données projet'!$B$9,Paramètres!$A$1:$I$89,5,0)</f>
        <v>306.72719999999958</v>
      </c>
      <c r="P142" s="14">
        <f t="shared" si="141"/>
        <v>72.584917646145513</v>
      </c>
      <c r="Q142" s="22">
        <f t="shared" si="108"/>
        <v>660.63527156703606</v>
      </c>
      <c r="R142" s="60">
        <f t="shared" si="109"/>
        <v>953.96860490036943</v>
      </c>
      <c r="S142" s="60">
        <f ca="1">AVERAGE(OFFSET($R$3,0,0,'Données projet'!$E$9+1,1))-AVERAGE(OFFSET($H$3,0,0,'Données projet'!$E$9+1,1))</f>
        <v>384.44848355636935</v>
      </c>
      <c r="T142" s="60">
        <f t="shared" si="142"/>
        <v>203.5274665601915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265.37783999999937</v>
      </c>
      <c r="AK142" s="14">
        <f t="shared" si="143"/>
        <v>63.867346655917089</v>
      </c>
      <c r="AL142" s="22">
        <f t="shared" si="112"/>
        <v>573.43536675905443</v>
      </c>
      <c r="AM142" s="60">
        <f t="shared" si="113"/>
        <v>866.76870009238769</v>
      </c>
      <c r="AN142" s="60">
        <f ca="1">AVERAGE(OFFSET($AM$3,0,0,'Données projet'!$E$10+1,1))-AVERAGE(OFFSET($H$3,0,0,'Données projet'!$E$10+1,1))</f>
        <v>303.73499739059076</v>
      </c>
      <c r="AO142" s="60">
        <f t="shared" si="144"/>
        <v>172.32171001882188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4</v>
      </c>
      <c r="BD142" s="13">
        <f>IF('Données projet'!$A$88&gt;35,BD141+BC142-BL141,IF(A142&lt;'Données projet'!$A$88,$BA$205^A142,IF(A142='Données projet'!$A$88,'Données projet'!$B$88,BD141+BC142-BL141)))</f>
        <v>338.99999999999955</v>
      </c>
      <c r="BE142" s="14">
        <f>BD142*VLOOKUP('Données projet'!$B$11,Paramètres!$A$1:$I$89,3,0)*VLOOKUP('Données projet'!$B$11,Paramètres!$A$1:$I$89,5,0)</f>
        <v>285.57359999999966</v>
      </c>
      <c r="BF142" s="14">
        <f t="shared" si="145"/>
        <v>68.143516218311746</v>
      </c>
      <c r="BG142" s="22">
        <f t="shared" si="115"/>
        <v>616.05731074689231</v>
      </c>
      <c r="BH142" s="60">
        <f t="shared" si="116"/>
        <v>909.39064408022568</v>
      </c>
      <c r="BI142" s="60">
        <f ca="1">AVERAGE(OFFSET($BH$3,0,0,'Données projet'!$E$11+1,1))-AVERAGE(OFFSET($H$3,0,0,'Données projet'!$E$11+1,1))</f>
        <v>352.29660374042186</v>
      </c>
      <c r="BJ142" s="60">
        <f t="shared" si="146"/>
        <v>187.26439695305618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247.0759199999994</v>
      </c>
      <c r="CA142" s="14">
        <f t="shared" si="147"/>
        <v>59.959365027937501</v>
      </c>
      <c r="CB142" s="22">
        <f t="shared" si="118"/>
        <v>534.75312142365681</v>
      </c>
      <c r="CC142" s="60">
        <f t="shared" si="119"/>
        <v>828.08645475699018</v>
      </c>
      <c r="CD142" s="60">
        <f ca="1">AVERAGE(OFFSET($CC$3,0,0,'Données projet'!$E$12+1,1))-AVERAGE(OFFSET($H$3,0,0,'Données projet'!$E$12+1,1))</f>
        <v>277.03735509061545</v>
      </c>
      <c r="CE142" s="60">
        <f t="shared" si="148"/>
        <v>158.16416492761959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297.40619999999927</v>
      </c>
      <c r="CV142" s="14">
        <f t="shared" si="149"/>
        <v>70.632428863759543</v>
      </c>
      <c r="CW142" s="22">
        <f t="shared" si="121"/>
        <v>641.0006119377133</v>
      </c>
      <c r="CX142" s="60">
        <f t="shared" si="122"/>
        <v>934.33394527104656</v>
      </c>
      <c r="CY142" s="60">
        <f ca="1">AVERAGE(OFFSET($CX$3,0,0,'Données projet'!$E$13+1,1))-AVERAGE(OFFSET($H$3,0,0,'Données projet'!$E$13+1,1))</f>
        <v>350.3652766444938</v>
      </c>
      <c r="CZ142" s="60">
        <f t="shared" si="150"/>
        <v>197.04549436738586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3.4106051316484809E-13</v>
      </c>
      <c r="DP142" s="18">
        <f>DO142*VLOOKUP('Données projet'!$B$14,Paramètres!$A$1:$I$89,3,0)*VLOOKUP('Données projet'!$B$14,Paramètres!$A$1:$I$89,5,0)</f>
        <v>2.7134774427395314E-13</v>
      </c>
      <c r="DQ142" s="14">
        <f t="shared" si="151"/>
        <v>3.6292411711343559E-12</v>
      </c>
      <c r="DR142" s="22">
        <f t="shared" si="124"/>
        <v>6.7935256943361388E-12</v>
      </c>
      <c r="DS142" s="60">
        <f t="shared" si="125"/>
        <v>293.33333333334014</v>
      </c>
      <c r="DT142" s="60">
        <f ca="1">AVERAGE(OFFSET($DS$3,0,0,'Données projet'!$E$14+1,1))-AVERAGE(OFFSET($H$3,0,0,'Données projet'!$E$14+1,1))</f>
        <v>382.01991140382955</v>
      </c>
      <c r="DU142" s="60">
        <f t="shared" si="152"/>
        <v>389.53897948144339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323.92137573760789</v>
      </c>
      <c r="EP142" s="60">
        <f t="shared" si="154"/>
        <v>389.53897948144339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2.2737367544323206E-13</v>
      </c>
      <c r="FF142" s="18">
        <f>FE142*VLOOKUP('Données projet'!$B$16,Paramètres!$A$1:$I$89,3,0)*VLOOKUP('Données projet'!$B$16,Paramètres!$A$1:$I$89,5,0)</f>
        <v>1.8089849618263545E-13</v>
      </c>
      <c r="FG142" s="14">
        <f t="shared" si="155"/>
        <v>2.536422473342444E-12</v>
      </c>
      <c r="FH142" s="22">
        <f t="shared" si="130"/>
        <v>4.7326673552561798E-12</v>
      </c>
      <c r="FI142" s="60">
        <f t="shared" si="131"/>
        <v>293.33333333333803</v>
      </c>
      <c r="FJ142" s="60">
        <f ca="1">AVERAGE(OFFSET($FI$3,0,0,'Données projet'!$E$16+1,1))-AVERAGE(OFFSET($H$3,0,0,'Données projet'!$E$16+1,1))</f>
        <v>219.61164494001008</v>
      </c>
      <c r="FK142" s="60">
        <f t="shared" si="156"/>
        <v>219.59799863414111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-6.2527760746888816E-13</v>
      </c>
      <c r="GA142" s="18">
        <f>FZ142*VLOOKUP('Données projet'!$B$17,Paramètres!$A$1:$I$89,3,0)*VLOOKUP('Données projet'!$B$17,Paramètres!$A$1:$I$89,5,0)</f>
        <v>-2.9262992029543964E-13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147.5699668214238</v>
      </c>
      <c r="GF142" s="60">
        <f t="shared" si="158"/>
        <v>70.653739864908346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>
        <f>GU142*VLOOKUP('Données projet'!$B$18,Paramètres!$A$1:$I$89,3,0)*VLOOKUP('Données projet'!$B$18,Paramètres!$A$1:$I$89,5,0)</f>
        <v>0</v>
      </c>
      <c r="GW142" s="14" t="e">
        <f t="shared" si="159"/>
        <v>#NUM!</v>
      </c>
      <c r="GX142" s="22" t="e">
        <f t="shared" si="136"/>
        <v>#NUM!</v>
      </c>
      <c r="GY142" s="60" t="e">
        <f t="shared" si="137"/>
        <v>#NUM!</v>
      </c>
      <c r="GZ142" s="60">
        <f ca="1">AVERAGE(OFFSET($GY$3,0,0,'Données projet'!$E$18+1,1))-AVERAGE(OFFSET($H$3,0,0,'Données projet'!$E$18+1,1))</f>
        <v>136.03899433512379</v>
      </c>
      <c r="HA142" s="60">
        <f t="shared" si="160"/>
        <v>316.56646692826882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8.6230091084730365</v>
      </c>
      <c r="HH142" s="23">
        <f>EXP(-LN(2)/25)*HH141+(1-EXP(-LN(2)/25))/(LN(2)/25)*Calculateur!HC142*Calculateur!HE142*VLOOKUP('Données projet'!$B$18,Paramètres!$A$1:$I$89,3,0)*0.475*44/12</f>
        <v>0.49095816730561809</v>
      </c>
      <c r="HI142" s="23">
        <f>EXP(-LN(2)/2)*HI141+(1-EXP(-LN(2)/2))/(LN(2)/2)*HC142*HF142*VLOOKUP('Données projet'!$B$18,Paramètres!$A$1:$I$89,3,0)*0.475*44/12</f>
        <v>1.147627131480759E-16</v>
      </c>
      <c r="HJ142" s="24">
        <f t="shared" si="138"/>
        <v>9.1139672757786538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343</v>
      </c>
      <c r="L143" s="13">
        <f>VLOOKUP(A143,'Données projet'!$A$35:$I$55,9,0)</f>
        <v>4</v>
      </c>
      <c r="M143" s="13">
        <f t="array" ref="M143">INDEX(L:L,MIN(IF(ISNUMBER(L143:L339),ROW(L143:L339),"")))</f>
        <v>4</v>
      </c>
      <c r="N143" s="14">
        <f>IF('Données projet'!$A$36&gt;35,N142+M143-V142,IF(A143&lt;'Données projet'!$A$36,$K$205^A143,IF(A143='Données projet'!$A$36,'Données projet'!$B$36,N142+M143-V142)))</f>
        <v>342.99999999999955</v>
      </c>
      <c r="O143" s="14">
        <f>N143*VLOOKUP('Données projet'!$B$9,Paramètres!$A$1:$I$89,3,0)*VLOOKUP('Données projet'!$B$9,Paramètres!$A$1:$I$89,5,0)</f>
        <v>310.34639999999956</v>
      </c>
      <c r="P143" s="14">
        <f t="shared" si="141"/>
        <v>73.341167576152927</v>
      </c>
      <c r="Q143" s="22">
        <f t="shared" si="108"/>
        <v>668.25584686179889</v>
      </c>
      <c r="R143" s="60">
        <f t="shared" si="109"/>
        <v>961.58918019513226</v>
      </c>
      <c r="S143" s="60">
        <f ca="1">AVERAGE(OFFSET($R$3,0,0,'Données projet'!$E$9+1,1))-AVERAGE(OFFSET($H$3,0,0,'Données projet'!$E$9+1,1))</f>
        <v>384.44848355636935</v>
      </c>
      <c r="T143" s="60">
        <f t="shared" si="142"/>
        <v>203.5274665601915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43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267.82079999999934</v>
      </c>
      <c r="AK143" s="14">
        <f t="shared" si="143"/>
        <v>64.386570147897245</v>
      </c>
      <c r="AL143" s="22">
        <f t="shared" si="112"/>
        <v>578.59450300758647</v>
      </c>
      <c r="AM143" s="60">
        <f t="shared" si="113"/>
        <v>871.92783634091984</v>
      </c>
      <c r="AN143" s="60">
        <f ca="1">AVERAGE(OFFSET($AM$3,0,0,'Données projet'!$E$10+1,1))-AVERAGE(OFFSET($H$3,0,0,'Données projet'!$E$10+1,1))</f>
        <v>303.73499739059076</v>
      </c>
      <c r="AO143" s="60">
        <f t="shared" si="144"/>
        <v>172.32171001882188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343</v>
      </c>
      <c r="BB143" s="13">
        <f>VLOOKUP(A143,'Données projet'!$A$87:$I$107,9,0)</f>
        <v>4</v>
      </c>
      <c r="BC143" s="13">
        <f t="array" ref="BC143">INDEX(BB:BB,MIN(IF(ISNUMBER(BB143:BB339),ROW(BB143:BB339),"")))</f>
        <v>4</v>
      </c>
      <c r="BD143" s="13">
        <f>IF('Données projet'!$A$88&gt;35,BD142+BC143-BL142,IF(A143&lt;'Données projet'!$A$88,$BA$205^A143,IF(A143='Données projet'!$A$88,'Données projet'!$B$88,BD142+BC143-BL142)))</f>
        <v>342.99999999999955</v>
      </c>
      <c r="BE143" s="14">
        <f>BD143*VLOOKUP('Données projet'!$B$11,Paramètres!$A$1:$I$89,3,0)*VLOOKUP('Données projet'!$B$11,Paramètres!$A$1:$I$89,5,0)</f>
        <v>288.94319999999965</v>
      </c>
      <c r="BF143" s="14">
        <f t="shared" si="145"/>
        <v>68.853491941116658</v>
      </c>
      <c r="BG143" s="22">
        <f t="shared" si="115"/>
        <v>623.16257179744423</v>
      </c>
      <c r="BH143" s="60">
        <f t="shared" si="116"/>
        <v>916.4959051307776</v>
      </c>
      <c r="BI143" s="60">
        <f ca="1">AVERAGE(OFFSET($BH$3,0,0,'Données projet'!$E$11+1,1))-AVERAGE(OFFSET($H$3,0,0,'Données projet'!$E$11+1,1))</f>
        <v>352.29660374042186</v>
      </c>
      <c r="BJ143" s="60">
        <f t="shared" si="146"/>
        <v>187.26439695305618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43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249.35039999999938</v>
      </c>
      <c r="CA143" s="14">
        <f t="shared" si="147"/>
        <v>60.446817732908059</v>
      </c>
      <c r="CB143" s="22">
        <f t="shared" si="118"/>
        <v>539.56348755148042</v>
      </c>
      <c r="CC143" s="60">
        <f t="shared" si="119"/>
        <v>832.89682088481368</v>
      </c>
      <c r="CD143" s="60">
        <f ca="1">AVERAGE(OFFSET($CC$3,0,0,'Données projet'!$E$12+1,1))-AVERAGE(OFFSET($H$3,0,0,'Données projet'!$E$12+1,1))</f>
        <v>277.03735509061545</v>
      </c>
      <c r="CE143" s="60">
        <f t="shared" si="148"/>
        <v>158.16416492761959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300.14399999999927</v>
      </c>
      <c r="CV143" s="14">
        <f t="shared" si="149"/>
        <v>71.206650563609728</v>
      </c>
      <c r="CW143" s="22">
        <f t="shared" si="121"/>
        <v>646.76904973161891</v>
      </c>
      <c r="CX143" s="60">
        <f t="shared" si="122"/>
        <v>940.10238306495216</v>
      </c>
      <c r="CY143" s="60">
        <f ca="1">AVERAGE(OFFSET($CX$3,0,0,'Données projet'!$E$13+1,1))-AVERAGE(OFFSET($H$3,0,0,'Données projet'!$E$13+1,1))</f>
        <v>350.3652766444938</v>
      </c>
      <c r="CZ143" s="60">
        <f t="shared" si="150"/>
        <v>197.04549436738586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3.4106051316484809E-13</v>
      </c>
      <c r="DP143" s="18">
        <f>DO143*VLOOKUP('Données projet'!$B$14,Paramètres!$A$1:$I$89,3,0)*VLOOKUP('Données projet'!$B$14,Paramètres!$A$1:$I$89,5,0)</f>
        <v>2.7134774427395314E-13</v>
      </c>
      <c r="DQ143" s="14">
        <f t="shared" si="151"/>
        <v>3.6292411711343559E-12</v>
      </c>
      <c r="DR143" s="22">
        <f t="shared" si="124"/>
        <v>6.7935256943361388E-12</v>
      </c>
      <c r="DS143" s="60">
        <f t="shared" si="125"/>
        <v>293.33333333334014</v>
      </c>
      <c r="DT143" s="60">
        <f ca="1">AVERAGE(OFFSET($DS$3,0,0,'Données projet'!$E$14+1,1))-AVERAGE(OFFSET($H$3,0,0,'Données projet'!$E$14+1,1))</f>
        <v>382.01991140382955</v>
      </c>
      <c r="DU143" s="60">
        <f t="shared" si="152"/>
        <v>389.53897948144339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323.92137573760789</v>
      </c>
      <c r="EP143" s="60">
        <f t="shared" si="154"/>
        <v>389.53897948144339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2.2737367544323206E-13</v>
      </c>
      <c r="FF143" s="18">
        <f>FE143*VLOOKUP('Données projet'!$B$16,Paramètres!$A$1:$I$89,3,0)*VLOOKUP('Données projet'!$B$16,Paramètres!$A$1:$I$89,5,0)</f>
        <v>1.8089849618263545E-13</v>
      </c>
      <c r="FG143" s="14">
        <f t="shared" si="155"/>
        <v>2.536422473342444E-12</v>
      </c>
      <c r="FH143" s="22">
        <f t="shared" si="130"/>
        <v>4.7326673552561798E-12</v>
      </c>
      <c r="FI143" s="60">
        <f t="shared" si="131"/>
        <v>293.33333333333803</v>
      </c>
      <c r="FJ143" s="60">
        <f ca="1">AVERAGE(OFFSET($FI$3,0,0,'Données projet'!$E$16+1,1))-AVERAGE(OFFSET($H$3,0,0,'Données projet'!$E$16+1,1))</f>
        <v>219.61164494001008</v>
      </c>
      <c r="FK143" s="60">
        <f t="shared" si="156"/>
        <v>219.59799863414111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-6.2527760746888816E-13</v>
      </c>
      <c r="GA143" s="18">
        <f>FZ143*VLOOKUP('Données projet'!$B$17,Paramètres!$A$1:$I$89,3,0)*VLOOKUP('Données projet'!$B$17,Paramètres!$A$1:$I$89,5,0)</f>
        <v>-2.9262992029543964E-13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147.5699668214238</v>
      </c>
      <c r="GF143" s="60">
        <f t="shared" si="158"/>
        <v>70.653739864908346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>
        <f>GU143*VLOOKUP('Données projet'!$B$18,Paramètres!$A$1:$I$89,3,0)*VLOOKUP('Données projet'!$B$18,Paramètres!$A$1:$I$89,5,0)</f>
        <v>0</v>
      </c>
      <c r="GW143" s="14" t="e">
        <f t="shared" si="159"/>
        <v>#NUM!</v>
      </c>
      <c r="GX143" s="22" t="e">
        <f t="shared" si="136"/>
        <v>#NUM!</v>
      </c>
      <c r="GY143" s="60" t="e">
        <f t="shared" si="137"/>
        <v>#NUM!</v>
      </c>
      <c r="GZ143" s="60">
        <f ca="1">AVERAGE(OFFSET($GY$3,0,0,'Données projet'!$E$18+1,1))-AVERAGE(OFFSET($H$3,0,0,'Données projet'!$E$18+1,1))</f>
        <v>136.03899433512379</v>
      </c>
      <c r="HA143" s="60">
        <f t="shared" si="160"/>
        <v>316.56646692826882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8.4539171593721019</v>
      </c>
      <c r="HH143" s="23">
        <f>EXP(-LN(2)/25)*HH142+(1-EXP(-LN(2)/25))/(LN(2)/25)*Calculateur!HC143*Calculateur!HE143*VLOOKUP('Données projet'!$B$18,Paramètres!$A$1:$I$89,3,0)*0.475*44/12</f>
        <v>0.47753289040227803</v>
      </c>
      <c r="HI143" s="23">
        <f>EXP(-LN(2)/2)*HI142+(1-EXP(-LN(2)/2))/(LN(2)/2)*HC143*HF143*VLOOKUP('Données projet'!$B$18,Paramètres!$A$1:$I$89,3,0)*0.475*44/12</f>
        <v>8.1149492694371028E-17</v>
      </c>
      <c r="HJ143" s="24">
        <f t="shared" si="138"/>
        <v>8.9314500497743801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303.49999999999955</v>
      </c>
      <c r="O144" s="14">
        <f>N144*VLOOKUP('Données projet'!$B$9,Paramètres!$A$1:$I$89,3,0)*VLOOKUP('Données projet'!$B$9,Paramètres!$A$1:$I$89,5,0)</f>
        <v>274.60679999999957</v>
      </c>
      <c r="P144" s="14">
        <f t="shared" si="141"/>
        <v>65.825983768649721</v>
      </c>
      <c r="Q144" s="22">
        <f t="shared" si="108"/>
        <v>592.92043173039758</v>
      </c>
      <c r="R144" s="60">
        <f t="shared" si="109"/>
        <v>886.25376506373095</v>
      </c>
      <c r="S144" s="60">
        <f ca="1">AVERAGE(OFFSET($R$3,0,0,'Données projet'!$E$9+1,1))-AVERAGE(OFFSET($H$3,0,0,'Données projet'!$E$9+1,1))</f>
        <v>384.44848355636935</v>
      </c>
      <c r="T144" s="60">
        <f t="shared" si="142"/>
        <v>203.5274665601915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245.5627199999993</v>
      </c>
      <c r="AK144" s="14">
        <f t="shared" si="143"/>
        <v>59.634776048276741</v>
      </c>
      <c r="AL144" s="22">
        <f t="shared" si="112"/>
        <v>531.55230561741405</v>
      </c>
      <c r="AM144" s="60">
        <f t="shared" si="113"/>
        <v>824.88563895074731</v>
      </c>
      <c r="AN144" s="60">
        <f ca="1">AVERAGE(OFFSET($AM$3,0,0,'Données projet'!$E$10+1,1))-AVERAGE(OFFSET($H$3,0,0,'Données projet'!$E$10+1,1))</f>
        <v>303.73499739059076</v>
      </c>
      <c r="AO144" s="60">
        <f t="shared" si="144"/>
        <v>172.32171001882188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3.5</v>
      </c>
      <c r="BD144" s="13">
        <f>IF('Données projet'!$A$88&gt;35,BD143+BC144-BL143,IF(A144&lt;'Données projet'!$A$88,$BA$205^A144,IF(A144='Données projet'!$A$88,'Données projet'!$B$88,BD143+BC144-BL143)))</f>
        <v>303.49999999999955</v>
      </c>
      <c r="BE144" s="14">
        <f>BD144*VLOOKUP('Données projet'!$B$11,Paramètres!$A$1:$I$89,3,0)*VLOOKUP('Données projet'!$B$11,Paramètres!$A$1:$I$89,5,0)</f>
        <v>255.66839999999962</v>
      </c>
      <c r="BF144" s="14">
        <f t="shared" si="145"/>
        <v>61.798155016071838</v>
      </c>
      <c r="BG144" s="22">
        <f t="shared" si="115"/>
        <v>552.9209166529912</v>
      </c>
      <c r="BH144" s="60">
        <f t="shared" si="116"/>
        <v>846.25424998632457</v>
      </c>
      <c r="BI144" s="60">
        <f ca="1">AVERAGE(OFFSET($BH$3,0,0,'Données projet'!$E$11+1,1))-AVERAGE(OFFSET($H$3,0,0,'Données projet'!$E$11+1,1))</f>
        <v>352.29660374042186</v>
      </c>
      <c r="BJ144" s="60">
        <f t="shared" si="146"/>
        <v>187.26439695305618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228.62735999999936</v>
      </c>
      <c r="CA144" s="14">
        <f t="shared" si="147"/>
        <v>55.985781352428546</v>
      </c>
      <c r="CB144" s="22">
        <f t="shared" si="118"/>
        <v>495.70122118881187</v>
      </c>
      <c r="CC144" s="60">
        <f t="shared" si="119"/>
        <v>789.03455452214519</v>
      </c>
      <c r="CD144" s="60">
        <f ca="1">AVERAGE(OFFSET($CC$3,0,0,'Données projet'!$E$12+1,1))-AVERAGE(OFFSET($H$3,0,0,'Données projet'!$E$12+1,1))</f>
        <v>277.03735509061545</v>
      </c>
      <c r="CE144" s="60">
        <f t="shared" si="148"/>
        <v>158.16416492761959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275.19959999999924</v>
      </c>
      <c r="CV144" s="14">
        <f t="shared" si="149"/>
        <v>65.951527620662489</v>
      </c>
      <c r="CW144" s="22">
        <f t="shared" si="121"/>
        <v>594.17154727265245</v>
      </c>
      <c r="CX144" s="60">
        <f t="shared" si="122"/>
        <v>887.50488060598582</v>
      </c>
      <c r="CY144" s="60">
        <f ca="1">AVERAGE(OFFSET($CX$3,0,0,'Données projet'!$E$13+1,1))-AVERAGE(OFFSET($H$3,0,0,'Données projet'!$E$13+1,1))</f>
        <v>350.3652766444938</v>
      </c>
      <c r="CZ144" s="60">
        <f t="shared" si="150"/>
        <v>197.04549436738586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3.4106051316484809E-13</v>
      </c>
      <c r="DP144" s="18">
        <f>DO144*VLOOKUP('Données projet'!$B$14,Paramètres!$A$1:$I$89,3,0)*VLOOKUP('Données projet'!$B$14,Paramètres!$A$1:$I$89,5,0)</f>
        <v>2.7134774427395314E-13</v>
      </c>
      <c r="DQ144" s="14">
        <f t="shared" si="151"/>
        <v>3.6292411711343559E-12</v>
      </c>
      <c r="DR144" s="22">
        <f t="shared" si="124"/>
        <v>6.7935256943361388E-12</v>
      </c>
      <c r="DS144" s="60">
        <f t="shared" si="125"/>
        <v>293.33333333334014</v>
      </c>
      <c r="DT144" s="60">
        <f ca="1">AVERAGE(OFFSET($DS$3,0,0,'Données projet'!$E$14+1,1))-AVERAGE(OFFSET($H$3,0,0,'Données projet'!$E$14+1,1))</f>
        <v>382.01991140382955</v>
      </c>
      <c r="DU144" s="60">
        <f t="shared" si="152"/>
        <v>389.53897948144339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323.92137573760789</v>
      </c>
      <c r="EP144" s="60">
        <f t="shared" si="154"/>
        <v>389.53897948144339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2.2737367544323206E-13</v>
      </c>
      <c r="FF144" s="18">
        <f>FE144*VLOOKUP('Données projet'!$B$16,Paramètres!$A$1:$I$89,3,0)*VLOOKUP('Données projet'!$B$16,Paramètres!$A$1:$I$89,5,0)</f>
        <v>1.8089849618263545E-13</v>
      </c>
      <c r="FG144" s="14">
        <f t="shared" si="155"/>
        <v>2.536422473342444E-12</v>
      </c>
      <c r="FH144" s="22">
        <f t="shared" si="130"/>
        <v>4.7326673552561798E-12</v>
      </c>
      <c r="FI144" s="60">
        <f t="shared" si="131"/>
        <v>293.33333333333803</v>
      </c>
      <c r="FJ144" s="60">
        <f ca="1">AVERAGE(OFFSET($FI$3,0,0,'Données projet'!$E$16+1,1))-AVERAGE(OFFSET($H$3,0,0,'Données projet'!$E$16+1,1))</f>
        <v>219.61164494001008</v>
      </c>
      <c r="FK144" s="60">
        <f t="shared" si="156"/>
        <v>219.59799863414111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-6.2527760746888816E-13</v>
      </c>
      <c r="GA144" s="18">
        <f>FZ144*VLOOKUP('Données projet'!$B$17,Paramètres!$A$1:$I$89,3,0)*VLOOKUP('Données projet'!$B$17,Paramètres!$A$1:$I$89,5,0)</f>
        <v>-2.9262992029543964E-13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147.5699668214238</v>
      </c>
      <c r="GF144" s="60">
        <f t="shared" si="158"/>
        <v>70.653739864908346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>
        <f>GU144*VLOOKUP('Données projet'!$B$18,Paramètres!$A$1:$I$89,3,0)*VLOOKUP('Données projet'!$B$18,Paramètres!$A$1:$I$89,5,0)</f>
        <v>0</v>
      </c>
      <c r="GW144" s="14" t="e">
        <f t="shared" si="159"/>
        <v>#NUM!</v>
      </c>
      <c r="GX144" s="22" t="e">
        <f t="shared" si="136"/>
        <v>#NUM!</v>
      </c>
      <c r="GY144" s="60" t="e">
        <f t="shared" si="137"/>
        <v>#NUM!</v>
      </c>
      <c r="GZ144" s="60">
        <f ca="1">AVERAGE(OFFSET($GY$3,0,0,'Données projet'!$E$18+1,1))-AVERAGE(OFFSET($H$3,0,0,'Données projet'!$E$18+1,1))</f>
        <v>136.03899433512379</v>
      </c>
      <c r="HA144" s="60">
        <f t="shared" si="160"/>
        <v>316.56646692826882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8.2881410002571325</v>
      </c>
      <c r="HH144" s="23">
        <f>EXP(-LN(2)/25)*HH143+(1-EXP(-LN(2)/25))/(LN(2)/25)*Calculateur!HC144*Calculateur!HE144*VLOOKUP('Données projet'!$B$18,Paramètres!$A$1:$I$89,3,0)*0.475*44/12</f>
        <v>0.46447472840186443</v>
      </c>
      <c r="HI144" s="23">
        <f>EXP(-LN(2)/2)*HI143+(1-EXP(-LN(2)/2))/(LN(2)/2)*HC144*HF144*VLOOKUP('Données projet'!$B$18,Paramètres!$A$1:$I$89,3,0)*0.475*44/12</f>
        <v>5.7381356574037951E-17</v>
      </c>
      <c r="HJ144" s="24">
        <f t="shared" si="138"/>
        <v>8.7526157286589967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306.99999999999955</v>
      </c>
      <c r="O145" s="14">
        <f>N145*VLOOKUP('Données projet'!$B$9,Paramètres!$A$1:$I$89,3,0)*VLOOKUP('Données projet'!$B$9,Paramètres!$A$1:$I$89,5,0)</f>
        <v>277.77359999999959</v>
      </c>
      <c r="P145" s="14">
        <f t="shared" si="141"/>
        <v>66.496288176842299</v>
      </c>
      <c r="Q145" s="22">
        <f t="shared" si="108"/>
        <v>599.60338857466627</v>
      </c>
      <c r="R145" s="60">
        <f t="shared" si="109"/>
        <v>892.93672190799953</v>
      </c>
      <c r="S145" s="60">
        <f ca="1">AVERAGE(OFFSET($R$3,0,0,'Données projet'!$E$9+1,1))-AVERAGE(OFFSET($H$3,0,0,'Données projet'!$E$9+1,1))</f>
        <v>384.44848355636935</v>
      </c>
      <c r="T145" s="60">
        <f t="shared" si="142"/>
        <v>203.5274665601915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247.73423999999929</v>
      </c>
      <c r="AK145" s="14">
        <f t="shared" si="143"/>
        <v>60.100505665694953</v>
      </c>
      <c r="AL145" s="22">
        <f t="shared" si="112"/>
        <v>536.14551536775082</v>
      </c>
      <c r="AM145" s="60">
        <f t="shared" si="113"/>
        <v>829.47884870108419</v>
      </c>
      <c r="AN145" s="60">
        <f ca="1">AVERAGE(OFFSET($AM$3,0,0,'Données projet'!$E$10+1,1))-AVERAGE(OFFSET($H$3,0,0,'Données projet'!$E$10+1,1))</f>
        <v>303.73499739059076</v>
      </c>
      <c r="AO145" s="60">
        <f t="shared" si="144"/>
        <v>172.32171001882188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3.5</v>
      </c>
      <c r="BD145" s="13">
        <f>IF('Données projet'!$A$88&gt;35,BD144+BC145-BL144,IF(A145&lt;'Données projet'!$A$88,$BA$205^A145,IF(A145='Données projet'!$A$88,'Données projet'!$B$88,BD144+BC145-BL144)))</f>
        <v>306.99999999999955</v>
      </c>
      <c r="BE145" s="14">
        <f>BD145*VLOOKUP('Données projet'!$B$11,Paramètres!$A$1:$I$89,3,0)*VLOOKUP('Données projet'!$B$11,Paramètres!$A$1:$I$89,5,0)</f>
        <v>258.61679999999967</v>
      </c>
      <c r="BF145" s="14">
        <f t="shared" si="145"/>
        <v>62.427444141032382</v>
      </c>
      <c r="BG145" s="22">
        <f t="shared" si="115"/>
        <v>559.15205854563067</v>
      </c>
      <c r="BH145" s="60">
        <f t="shared" si="116"/>
        <v>852.48539187896404</v>
      </c>
      <c r="BI145" s="60">
        <f ca="1">AVERAGE(OFFSET($BH$3,0,0,'Données projet'!$E$11+1,1))-AVERAGE(OFFSET($H$3,0,0,'Données projet'!$E$11+1,1))</f>
        <v>352.29660374042186</v>
      </c>
      <c r="BJ145" s="60">
        <f t="shared" si="146"/>
        <v>187.26439695305618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230.64911999999936</v>
      </c>
      <c r="CA145" s="14">
        <f t="shared" si="147"/>
        <v>56.423013421666433</v>
      </c>
      <c r="CB145" s="22">
        <f t="shared" si="118"/>
        <v>499.98396570940122</v>
      </c>
      <c r="CC145" s="60">
        <f t="shared" si="119"/>
        <v>793.31729904273448</v>
      </c>
      <c r="CD145" s="60">
        <f ca="1">AVERAGE(OFFSET($CC$3,0,0,'Données projet'!$E$12+1,1))-AVERAGE(OFFSET($H$3,0,0,'Données projet'!$E$12+1,1))</f>
        <v>277.03735509061545</v>
      </c>
      <c r="CE145" s="60">
        <f t="shared" si="148"/>
        <v>158.16416492761959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277.63319999999919</v>
      </c>
      <c r="CV145" s="14">
        <f t="shared" si="149"/>
        <v>66.466589162975524</v>
      </c>
      <c r="CW145" s="22">
        <f t="shared" si="121"/>
        <v>599.30713279218094</v>
      </c>
      <c r="CX145" s="60">
        <f t="shared" si="122"/>
        <v>892.64046612551419</v>
      </c>
      <c r="CY145" s="60">
        <f ca="1">AVERAGE(OFFSET($CX$3,0,0,'Données projet'!$E$13+1,1))-AVERAGE(OFFSET($H$3,0,0,'Données projet'!$E$13+1,1))</f>
        <v>350.3652766444938</v>
      </c>
      <c r="CZ145" s="60">
        <f t="shared" si="150"/>
        <v>197.04549436738586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3.4106051316484809E-13</v>
      </c>
      <c r="DP145" s="18">
        <f>DO145*VLOOKUP('Données projet'!$B$14,Paramètres!$A$1:$I$89,3,0)*VLOOKUP('Données projet'!$B$14,Paramètres!$A$1:$I$89,5,0)</f>
        <v>2.7134774427395314E-13</v>
      </c>
      <c r="DQ145" s="14">
        <f t="shared" si="151"/>
        <v>3.6292411711343559E-12</v>
      </c>
      <c r="DR145" s="22">
        <f t="shared" si="124"/>
        <v>6.7935256943361388E-12</v>
      </c>
      <c r="DS145" s="60">
        <f t="shared" si="125"/>
        <v>293.33333333334014</v>
      </c>
      <c r="DT145" s="60">
        <f ca="1">AVERAGE(OFFSET($DS$3,0,0,'Données projet'!$E$14+1,1))-AVERAGE(OFFSET($H$3,0,0,'Données projet'!$E$14+1,1))</f>
        <v>382.01991140382955</v>
      </c>
      <c r="DU145" s="60">
        <f t="shared" si="152"/>
        <v>389.53897948144339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323.92137573760789</v>
      </c>
      <c r="EP145" s="60">
        <f t="shared" si="154"/>
        <v>389.53897948144339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2.2737367544323206E-13</v>
      </c>
      <c r="FF145" s="18">
        <f>FE145*VLOOKUP('Données projet'!$B$16,Paramètres!$A$1:$I$89,3,0)*VLOOKUP('Données projet'!$B$16,Paramètres!$A$1:$I$89,5,0)</f>
        <v>1.8089849618263545E-13</v>
      </c>
      <c r="FG145" s="14">
        <f t="shared" si="155"/>
        <v>2.536422473342444E-12</v>
      </c>
      <c r="FH145" s="22">
        <f t="shared" si="130"/>
        <v>4.7326673552561798E-12</v>
      </c>
      <c r="FI145" s="60">
        <f t="shared" si="131"/>
        <v>293.33333333333803</v>
      </c>
      <c r="FJ145" s="60">
        <f ca="1">AVERAGE(OFFSET($FI$3,0,0,'Données projet'!$E$16+1,1))-AVERAGE(OFFSET($H$3,0,0,'Données projet'!$E$16+1,1))</f>
        <v>219.61164494001008</v>
      </c>
      <c r="FK145" s="60">
        <f t="shared" si="156"/>
        <v>219.59799863414111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-6.2527760746888816E-13</v>
      </c>
      <c r="GA145" s="18">
        <f>FZ145*VLOOKUP('Données projet'!$B$17,Paramètres!$A$1:$I$89,3,0)*VLOOKUP('Données projet'!$B$17,Paramètres!$A$1:$I$89,5,0)</f>
        <v>-2.9262992029543964E-13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147.5699668214238</v>
      </c>
      <c r="GF145" s="60">
        <f t="shared" si="158"/>
        <v>70.653739864908346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>
        <f>GU145*VLOOKUP('Données projet'!$B$18,Paramètres!$A$1:$I$89,3,0)*VLOOKUP('Données projet'!$B$18,Paramètres!$A$1:$I$89,5,0)</f>
        <v>0</v>
      </c>
      <c r="GW145" s="14" t="e">
        <f t="shared" si="159"/>
        <v>#NUM!</v>
      </c>
      <c r="GX145" s="22" t="e">
        <f t="shared" si="136"/>
        <v>#NUM!</v>
      </c>
      <c r="GY145" s="60" t="e">
        <f t="shared" si="137"/>
        <v>#NUM!</v>
      </c>
      <c r="GZ145" s="60">
        <f ca="1">AVERAGE(OFFSET($GY$3,0,0,'Données projet'!$E$18+1,1))-AVERAGE(OFFSET($H$3,0,0,'Données projet'!$E$18+1,1))</f>
        <v>136.03899433512379</v>
      </c>
      <c r="HA145" s="60">
        <f t="shared" si="160"/>
        <v>316.56646692826882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8.1256156105089339</v>
      </c>
      <c r="HH145" s="23">
        <f>EXP(-LN(2)/25)*HH144+(1-EXP(-LN(2)/25))/(LN(2)/25)*Calculateur!HC145*Calculateur!HE145*VLOOKUP('Données projet'!$B$18,Paramètres!$A$1:$I$89,3,0)*0.475*44/12</f>
        <v>0.45177364252805108</v>
      </c>
      <c r="HI145" s="23">
        <f>EXP(-LN(2)/2)*HI144+(1-EXP(-LN(2)/2))/(LN(2)/2)*HC145*HF145*VLOOKUP('Données projet'!$B$18,Paramètres!$A$1:$I$89,3,0)*0.475*44/12</f>
        <v>4.0574746347185514E-17</v>
      </c>
      <c r="HJ145" s="24">
        <f t="shared" si="138"/>
        <v>8.5773892530369853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310.49999999999955</v>
      </c>
      <c r="O146" s="14">
        <f>N146*VLOOKUP('Données projet'!$B$9,Paramètres!$A$1:$I$89,3,0)*VLOOKUP('Données projet'!$B$9,Paramètres!$A$1:$I$89,5,0)</f>
        <v>280.94039999999956</v>
      </c>
      <c r="P146" s="14">
        <f t="shared" si="141"/>
        <v>67.165703636653078</v>
      </c>
      <c r="Q146" s="22">
        <f t="shared" si="108"/>
        <v>606.28479716716993</v>
      </c>
      <c r="R146" s="60">
        <f t="shared" si="109"/>
        <v>899.61813050050318</v>
      </c>
      <c r="S146" s="60">
        <f ca="1">AVERAGE(OFFSET($R$3,0,0,'Données projet'!$E$9+1,1))-AVERAGE(OFFSET($H$3,0,0,'Données projet'!$E$9+1,1))</f>
        <v>384.44848355636935</v>
      </c>
      <c r="T146" s="60">
        <f t="shared" si="142"/>
        <v>203.5274665601915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249.90575999999925</v>
      </c>
      <c r="AK146" s="14">
        <f t="shared" si="143"/>
        <v>60.565760331923727</v>
      </c>
      <c r="AL146" s="22">
        <f t="shared" si="112"/>
        <v>540.73789791143247</v>
      </c>
      <c r="AM146" s="60">
        <f t="shared" si="113"/>
        <v>834.07123124476584</v>
      </c>
      <c r="AN146" s="60">
        <f ca="1">AVERAGE(OFFSET($AM$3,0,0,'Données projet'!$E$10+1,1))-AVERAGE(OFFSET($H$3,0,0,'Données projet'!$E$10+1,1))</f>
        <v>303.73499739059076</v>
      </c>
      <c r="AO146" s="60">
        <f t="shared" si="144"/>
        <v>172.32171001882188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3.5</v>
      </c>
      <c r="BD146" s="13">
        <f>IF('Données projet'!$A$88&gt;35,BD145+BC146-BL145,IF(A146&lt;'Données projet'!$A$88,$BA$205^A146,IF(A146='Données projet'!$A$88,'Données projet'!$B$88,BD145+BC146-BL145)))</f>
        <v>310.49999999999955</v>
      </c>
      <c r="BE146" s="14">
        <f>BD146*VLOOKUP('Données projet'!$B$11,Paramètres!$A$1:$I$89,3,0)*VLOOKUP('Données projet'!$B$11,Paramètres!$A$1:$I$89,5,0)</f>
        <v>261.56519999999961</v>
      </c>
      <c r="BF146" s="14">
        <f t="shared" si="145"/>
        <v>63.055898711509222</v>
      </c>
      <c r="BG146" s="22">
        <f t="shared" si="115"/>
        <v>565.38174692254449</v>
      </c>
      <c r="BH146" s="60">
        <f t="shared" si="116"/>
        <v>858.71508025587787</v>
      </c>
      <c r="BI146" s="60">
        <f ca="1">AVERAGE(OFFSET($BH$3,0,0,'Données projet'!$E$11+1,1))-AVERAGE(OFFSET($H$3,0,0,'Données projet'!$E$11+1,1))</f>
        <v>352.29660374042186</v>
      </c>
      <c r="BJ146" s="60">
        <f t="shared" si="146"/>
        <v>187.26439695305618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232.67087999999933</v>
      </c>
      <c r="CA146" s="14">
        <f t="shared" si="147"/>
        <v>56.859799601522155</v>
      </c>
      <c r="CB146" s="22">
        <f t="shared" si="118"/>
        <v>504.26593363931647</v>
      </c>
      <c r="CC146" s="60">
        <f t="shared" si="119"/>
        <v>797.59926697264973</v>
      </c>
      <c r="CD146" s="60">
        <f ca="1">AVERAGE(OFFSET($CC$3,0,0,'Données projet'!$E$12+1,1))-AVERAGE(OFFSET($H$3,0,0,'Données projet'!$E$12+1,1))</f>
        <v>277.03735509061545</v>
      </c>
      <c r="CE146" s="60">
        <f t="shared" si="148"/>
        <v>158.16416492761959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280.0667999999992</v>
      </c>
      <c r="CV146" s="14">
        <f t="shared" si="149"/>
        <v>66.981125445388756</v>
      </c>
      <c r="CW146" s="22">
        <f t="shared" si="121"/>
        <v>604.44180348405064</v>
      </c>
      <c r="CX146" s="60">
        <f t="shared" si="122"/>
        <v>897.77513681738401</v>
      </c>
      <c r="CY146" s="60">
        <f ca="1">AVERAGE(OFFSET($CX$3,0,0,'Données projet'!$E$13+1,1))-AVERAGE(OFFSET($H$3,0,0,'Données projet'!$E$13+1,1))</f>
        <v>350.3652766444938</v>
      </c>
      <c r="CZ146" s="60">
        <f t="shared" si="150"/>
        <v>197.04549436738586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3.4106051316484809E-13</v>
      </c>
      <c r="DP146" s="18">
        <f>DO146*VLOOKUP('Données projet'!$B$14,Paramètres!$A$1:$I$89,3,0)*VLOOKUP('Données projet'!$B$14,Paramètres!$A$1:$I$89,5,0)</f>
        <v>2.7134774427395314E-13</v>
      </c>
      <c r="DQ146" s="14">
        <f t="shared" si="151"/>
        <v>3.6292411711343559E-12</v>
      </c>
      <c r="DR146" s="22">
        <f t="shared" si="124"/>
        <v>6.7935256943361388E-12</v>
      </c>
      <c r="DS146" s="60">
        <f t="shared" si="125"/>
        <v>293.33333333334014</v>
      </c>
      <c r="DT146" s="60">
        <f ca="1">AVERAGE(OFFSET($DS$3,0,0,'Données projet'!$E$14+1,1))-AVERAGE(OFFSET($H$3,0,0,'Données projet'!$E$14+1,1))</f>
        <v>382.01991140382955</v>
      </c>
      <c r="DU146" s="60">
        <f t="shared" si="152"/>
        <v>389.53897948144339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323.92137573760789</v>
      </c>
      <c r="EP146" s="60">
        <f t="shared" si="154"/>
        <v>389.53897948144339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2.2737367544323206E-13</v>
      </c>
      <c r="FF146" s="18">
        <f>FE146*VLOOKUP('Données projet'!$B$16,Paramètres!$A$1:$I$89,3,0)*VLOOKUP('Données projet'!$B$16,Paramètres!$A$1:$I$89,5,0)</f>
        <v>1.8089849618263545E-13</v>
      </c>
      <c r="FG146" s="14">
        <f t="shared" si="155"/>
        <v>2.536422473342444E-12</v>
      </c>
      <c r="FH146" s="22">
        <f t="shared" si="130"/>
        <v>4.7326673552561798E-12</v>
      </c>
      <c r="FI146" s="60">
        <f t="shared" si="131"/>
        <v>293.33333333333803</v>
      </c>
      <c r="FJ146" s="60">
        <f ca="1">AVERAGE(OFFSET($FI$3,0,0,'Données projet'!$E$16+1,1))-AVERAGE(OFFSET($H$3,0,0,'Données projet'!$E$16+1,1))</f>
        <v>219.61164494001008</v>
      </c>
      <c r="FK146" s="60">
        <f t="shared" si="156"/>
        <v>219.59799863414111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-6.2527760746888816E-13</v>
      </c>
      <c r="GA146" s="18">
        <f>FZ146*VLOOKUP('Données projet'!$B$17,Paramètres!$A$1:$I$89,3,0)*VLOOKUP('Données projet'!$B$17,Paramètres!$A$1:$I$89,5,0)</f>
        <v>-2.9262992029543964E-13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147.5699668214238</v>
      </c>
      <c r="GF146" s="60">
        <f t="shared" si="158"/>
        <v>70.653739864908346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>
        <f>GU146*VLOOKUP('Données projet'!$B$18,Paramètres!$A$1:$I$89,3,0)*VLOOKUP('Données projet'!$B$18,Paramètres!$A$1:$I$89,5,0)</f>
        <v>0</v>
      </c>
      <c r="GW146" s="14" t="e">
        <f t="shared" si="159"/>
        <v>#NUM!</v>
      </c>
      <c r="GX146" s="22" t="e">
        <f t="shared" si="136"/>
        <v>#NUM!</v>
      </c>
      <c r="GY146" s="60" t="e">
        <f t="shared" si="137"/>
        <v>#NUM!</v>
      </c>
      <c r="GZ146" s="60">
        <f ca="1">AVERAGE(OFFSET($GY$3,0,0,'Données projet'!$E$18+1,1))-AVERAGE(OFFSET($H$3,0,0,'Données projet'!$E$18+1,1))</f>
        <v>136.03899433512379</v>
      </c>
      <c r="HA146" s="60">
        <f t="shared" si="160"/>
        <v>316.56646692826882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7.9662772445229981</v>
      </c>
      <c r="HH146" s="23">
        <f>EXP(-LN(2)/25)*HH145+(1-EXP(-LN(2)/25))/(LN(2)/25)*Calculateur!HC146*Calculateur!HE146*VLOOKUP('Données projet'!$B$18,Paramètres!$A$1:$I$89,3,0)*0.475*44/12</f>
        <v>0.43941986851537818</v>
      </c>
      <c r="HI146" s="23">
        <f>EXP(-LN(2)/2)*HI145+(1-EXP(-LN(2)/2))/(LN(2)/2)*HC146*HF146*VLOOKUP('Données projet'!$B$18,Paramètres!$A$1:$I$89,3,0)*0.475*44/12</f>
        <v>2.8690678287018975E-17</v>
      </c>
      <c r="HJ146" s="24">
        <f t="shared" si="138"/>
        <v>8.4056971130383769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313.99999999999955</v>
      </c>
      <c r="O147" s="14">
        <f>N147*VLOOKUP('Données projet'!$B$9,Paramètres!$A$1:$I$89,3,0)*VLOOKUP('Données projet'!$B$9,Paramètres!$A$1:$I$89,5,0)</f>
        <v>284.10719999999958</v>
      </c>
      <c r="P147" s="14">
        <f t="shared" si="141"/>
        <v>67.834241327943658</v>
      </c>
      <c r="Q147" s="22">
        <f t="shared" si="108"/>
        <v>612.96467697950118</v>
      </c>
      <c r="R147" s="60">
        <f t="shared" si="109"/>
        <v>906.29801031283455</v>
      </c>
      <c r="S147" s="60">
        <f ca="1">AVERAGE(OFFSET($R$3,0,0,'Données projet'!$E$9+1,1))-AVERAGE(OFFSET($H$3,0,0,'Données projet'!$E$9+1,1))</f>
        <v>384.44848355636935</v>
      </c>
      <c r="T147" s="60">
        <f t="shared" si="142"/>
        <v>203.5274665601915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252.07727999999923</v>
      </c>
      <c r="AK147" s="14">
        <f t="shared" si="143"/>
        <v>61.030544652154823</v>
      </c>
      <c r="AL147" s="22">
        <f t="shared" si="112"/>
        <v>545.32946126916829</v>
      </c>
      <c r="AM147" s="60">
        <f t="shared" si="113"/>
        <v>838.66279460250166</v>
      </c>
      <c r="AN147" s="60">
        <f ca="1">AVERAGE(OFFSET($AM$3,0,0,'Données projet'!$E$10+1,1))-AVERAGE(OFFSET($H$3,0,0,'Données projet'!$E$10+1,1))</f>
        <v>303.73499739059076</v>
      </c>
      <c r="AO147" s="60">
        <f t="shared" si="144"/>
        <v>172.32171001882188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3.5</v>
      </c>
      <c r="BD147" s="13">
        <f>IF('Données projet'!$A$88&gt;35,BD146+BC147-BL146,IF(A147&lt;'Données projet'!$A$88,$BA$205^A147,IF(A147='Données projet'!$A$88,'Données projet'!$B$88,BD146+BC147-BL146)))</f>
        <v>313.99999999999955</v>
      </c>
      <c r="BE147" s="14">
        <f>BD147*VLOOKUP('Données projet'!$B$11,Paramètres!$A$1:$I$89,3,0)*VLOOKUP('Données projet'!$B$11,Paramètres!$A$1:$I$89,5,0)</f>
        <v>264.51359999999966</v>
      </c>
      <c r="BF147" s="14">
        <f t="shared" si="145"/>
        <v>63.683529223278924</v>
      </c>
      <c r="BG147" s="22">
        <f t="shared" si="115"/>
        <v>571.61000006387678</v>
      </c>
      <c r="BH147" s="60">
        <f t="shared" si="116"/>
        <v>864.94333339721015</v>
      </c>
      <c r="BI147" s="60">
        <f ca="1">AVERAGE(OFFSET($BH$3,0,0,'Données projet'!$E$11+1,1))-AVERAGE(OFFSET($H$3,0,0,'Données projet'!$E$11+1,1))</f>
        <v>352.29660374042186</v>
      </c>
      <c r="BJ147" s="60">
        <f t="shared" si="146"/>
        <v>187.26439695305618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234.69263999999933</v>
      </c>
      <c r="CA147" s="14">
        <f t="shared" si="147"/>
        <v>57.296144215400361</v>
      </c>
      <c r="CB147" s="22">
        <f t="shared" si="118"/>
        <v>508.54713250848772</v>
      </c>
      <c r="CC147" s="60">
        <f t="shared" si="119"/>
        <v>801.88046584182098</v>
      </c>
      <c r="CD147" s="60">
        <f ca="1">AVERAGE(OFFSET($CC$3,0,0,'Données projet'!$E$12+1,1))-AVERAGE(OFFSET($H$3,0,0,'Données projet'!$E$12+1,1))</f>
        <v>277.03735509061545</v>
      </c>
      <c r="CE147" s="60">
        <f t="shared" si="148"/>
        <v>158.16416492761959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282.50039999999916</v>
      </c>
      <c r="CV147" s="14">
        <f t="shared" si="149"/>
        <v>67.495141560894254</v>
      </c>
      <c r="CW147" s="22">
        <f t="shared" si="121"/>
        <v>609.57556821855599</v>
      </c>
      <c r="CX147" s="60">
        <f t="shared" si="122"/>
        <v>902.90890155188936</v>
      </c>
      <c r="CY147" s="60">
        <f ca="1">AVERAGE(OFFSET($CX$3,0,0,'Données projet'!$E$13+1,1))-AVERAGE(OFFSET($H$3,0,0,'Données projet'!$E$13+1,1))</f>
        <v>350.3652766444938</v>
      </c>
      <c r="CZ147" s="60">
        <f t="shared" si="150"/>
        <v>197.04549436738586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3.4106051316484809E-13</v>
      </c>
      <c r="DP147" s="18">
        <f>DO147*VLOOKUP('Données projet'!$B$14,Paramètres!$A$1:$I$89,3,0)*VLOOKUP('Données projet'!$B$14,Paramètres!$A$1:$I$89,5,0)</f>
        <v>2.7134774427395314E-13</v>
      </c>
      <c r="DQ147" s="14">
        <f t="shared" si="151"/>
        <v>3.6292411711343559E-12</v>
      </c>
      <c r="DR147" s="22">
        <f t="shared" si="124"/>
        <v>6.7935256943361388E-12</v>
      </c>
      <c r="DS147" s="60">
        <f t="shared" si="125"/>
        <v>293.33333333334014</v>
      </c>
      <c r="DT147" s="60">
        <f ca="1">AVERAGE(OFFSET($DS$3,0,0,'Données projet'!$E$14+1,1))-AVERAGE(OFFSET($H$3,0,0,'Données projet'!$E$14+1,1))</f>
        <v>382.01991140382955</v>
      </c>
      <c r="DU147" s="60">
        <f t="shared" si="152"/>
        <v>389.53897948144339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323.92137573760789</v>
      </c>
      <c r="EP147" s="60">
        <f t="shared" si="154"/>
        <v>389.53897948144339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2.2737367544323206E-13</v>
      </c>
      <c r="FF147" s="18">
        <f>FE147*VLOOKUP('Données projet'!$B$16,Paramètres!$A$1:$I$89,3,0)*VLOOKUP('Données projet'!$B$16,Paramètres!$A$1:$I$89,5,0)</f>
        <v>1.8089849618263545E-13</v>
      </c>
      <c r="FG147" s="14">
        <f t="shared" si="155"/>
        <v>2.536422473342444E-12</v>
      </c>
      <c r="FH147" s="22">
        <f t="shared" si="130"/>
        <v>4.7326673552561798E-12</v>
      </c>
      <c r="FI147" s="60">
        <f t="shared" si="131"/>
        <v>293.33333333333803</v>
      </c>
      <c r="FJ147" s="60">
        <f ca="1">AVERAGE(OFFSET($FI$3,0,0,'Données projet'!$E$16+1,1))-AVERAGE(OFFSET($H$3,0,0,'Données projet'!$E$16+1,1))</f>
        <v>219.61164494001008</v>
      </c>
      <c r="FK147" s="60">
        <f t="shared" si="156"/>
        <v>219.59799863414111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-6.2527760746888816E-13</v>
      </c>
      <c r="GA147" s="18">
        <f>FZ147*VLOOKUP('Données projet'!$B$17,Paramètres!$A$1:$I$89,3,0)*VLOOKUP('Données projet'!$B$17,Paramètres!$A$1:$I$89,5,0)</f>
        <v>-2.9262992029543964E-13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147.5699668214238</v>
      </c>
      <c r="GF147" s="60">
        <f t="shared" si="158"/>
        <v>70.653739864908346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>
        <f>GU147*VLOOKUP('Données projet'!$B$18,Paramètres!$A$1:$I$89,3,0)*VLOOKUP('Données projet'!$B$18,Paramètres!$A$1:$I$89,5,0)</f>
        <v>0</v>
      </c>
      <c r="GW147" s="14" t="e">
        <f t="shared" si="159"/>
        <v>#NUM!</v>
      </c>
      <c r="GX147" s="22" t="e">
        <f t="shared" si="136"/>
        <v>#NUM!</v>
      </c>
      <c r="GY147" s="60" t="e">
        <f t="shared" si="137"/>
        <v>#NUM!</v>
      </c>
      <c r="GZ147" s="60">
        <f ca="1">AVERAGE(OFFSET($GY$3,0,0,'Données projet'!$E$18+1,1))-AVERAGE(OFFSET($H$3,0,0,'Données projet'!$E$18+1,1))</f>
        <v>136.03899433512379</v>
      </c>
      <c r="HA147" s="60">
        <f t="shared" si="160"/>
        <v>316.56646692826882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7.8100634067072399</v>
      </c>
      <c r="HH147" s="23">
        <f>EXP(-LN(2)/25)*HH146+(1-EXP(-LN(2)/25))/(LN(2)/25)*Calculateur!HC147*Calculateur!HE147*VLOOKUP('Données projet'!$B$18,Paramètres!$A$1:$I$89,3,0)*0.475*44/12</f>
        <v>0.42740390910273857</v>
      </c>
      <c r="HI147" s="23">
        <f>EXP(-LN(2)/2)*HI146+(1-EXP(-LN(2)/2))/(LN(2)/2)*HC147*HF147*VLOOKUP('Données projet'!$B$18,Paramètres!$A$1:$I$89,3,0)*0.475*44/12</f>
        <v>2.0287373173592757E-17</v>
      </c>
      <c r="HJ147" s="24">
        <f t="shared" si="138"/>
        <v>8.2374673158099778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317.49999999999955</v>
      </c>
      <c r="O148" s="14">
        <f>N148*VLOOKUP('Données projet'!$B$9,Paramètres!$A$1:$I$89,3,0)*VLOOKUP('Données projet'!$B$9,Paramètres!$A$1:$I$89,5,0)</f>
        <v>287.2739999999996</v>
      </c>
      <c r="P148" s="14">
        <f t="shared" si="141"/>
        <v>68.501912166991971</v>
      </c>
      <c r="Q148" s="22">
        <f t="shared" si="108"/>
        <v>619.64304702417701</v>
      </c>
      <c r="R148" s="60">
        <f t="shared" si="109"/>
        <v>912.97638035751038</v>
      </c>
      <c r="S148" s="60">
        <f ca="1">AVERAGE(OFFSET($R$3,0,0,'Données projet'!$E$9+1,1))-AVERAGE(OFFSET($H$3,0,0,'Données projet'!$E$9+1,1))</f>
        <v>384.44848355636935</v>
      </c>
      <c r="T148" s="60">
        <f t="shared" si="142"/>
        <v>203.5274665601915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254.24879999999925</v>
      </c>
      <c r="AK148" s="14">
        <f t="shared" si="143"/>
        <v>61.494863147658698</v>
      </c>
      <c r="AL148" s="22">
        <f t="shared" si="112"/>
        <v>549.92021331550427</v>
      </c>
      <c r="AM148" s="60">
        <f t="shared" si="113"/>
        <v>843.25354664883753</v>
      </c>
      <c r="AN148" s="60">
        <f ca="1">AVERAGE(OFFSET($AM$3,0,0,'Données projet'!$E$10+1,1))-AVERAGE(OFFSET($H$3,0,0,'Données projet'!$E$10+1,1))</f>
        <v>303.73499739059076</v>
      </c>
      <c r="AO148" s="60">
        <f t="shared" si="144"/>
        <v>172.32171001882188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3.5</v>
      </c>
      <c r="BD148" s="13">
        <f>IF('Données projet'!$A$88&gt;35,BD147+BC148-BL147,IF(A148&lt;'Données projet'!$A$88,$BA$205^A148,IF(A148='Données projet'!$A$88,'Données projet'!$B$88,BD147+BC148-BL147)))</f>
        <v>317.49999999999955</v>
      </c>
      <c r="BE148" s="14">
        <f>BD148*VLOOKUP('Données projet'!$B$11,Paramètres!$A$1:$I$89,3,0)*VLOOKUP('Données projet'!$B$11,Paramètres!$A$1:$I$89,5,0)</f>
        <v>267.46199999999965</v>
      </c>
      <c r="BF148" s="14">
        <f t="shared" si="145"/>
        <v>64.310345924662812</v>
      </c>
      <c r="BG148" s="22">
        <f t="shared" si="115"/>
        <v>577.83683581878711</v>
      </c>
      <c r="BH148" s="60">
        <f t="shared" si="116"/>
        <v>871.17016915212048</v>
      </c>
      <c r="BI148" s="60">
        <f ca="1">AVERAGE(OFFSET($BH$3,0,0,'Données projet'!$E$11+1,1))-AVERAGE(OFFSET($H$3,0,0,'Données projet'!$E$11+1,1))</f>
        <v>352.29660374042186</v>
      </c>
      <c r="BJ148" s="60">
        <f t="shared" si="146"/>
        <v>187.26439695305618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236.7143999999993</v>
      </c>
      <c r="CA148" s="14">
        <f t="shared" si="147"/>
        <v>57.732051507919145</v>
      </c>
      <c r="CB148" s="22">
        <f t="shared" si="118"/>
        <v>512.82756970962453</v>
      </c>
      <c r="CC148" s="60">
        <f t="shared" si="119"/>
        <v>806.1609030429579</v>
      </c>
      <c r="CD148" s="60">
        <f ca="1">AVERAGE(OFFSET($CC$3,0,0,'Données projet'!$E$12+1,1))-AVERAGE(OFFSET($H$3,0,0,'Données projet'!$E$12+1,1))</f>
        <v>277.03735509061545</v>
      </c>
      <c r="CE148" s="60">
        <f t="shared" si="148"/>
        <v>158.16416492761959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284.93399999999917</v>
      </c>
      <c r="CV148" s="14">
        <f t="shared" si="149"/>
        <v>68.008642509673109</v>
      </c>
      <c r="CW148" s="22">
        <f t="shared" si="121"/>
        <v>614.7084357043459</v>
      </c>
      <c r="CX148" s="60">
        <f t="shared" si="122"/>
        <v>908.04176903767916</v>
      </c>
      <c r="CY148" s="60">
        <f ca="1">AVERAGE(OFFSET($CX$3,0,0,'Données projet'!$E$13+1,1))-AVERAGE(OFFSET($H$3,0,0,'Données projet'!$E$13+1,1))</f>
        <v>350.3652766444938</v>
      </c>
      <c r="CZ148" s="60">
        <f t="shared" si="150"/>
        <v>197.04549436738586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3.4106051316484809E-13</v>
      </c>
      <c r="DP148" s="18">
        <f>DO148*VLOOKUP('Données projet'!$B$14,Paramètres!$A$1:$I$89,3,0)*VLOOKUP('Données projet'!$B$14,Paramètres!$A$1:$I$89,5,0)</f>
        <v>2.7134774427395314E-13</v>
      </c>
      <c r="DQ148" s="14">
        <f t="shared" si="151"/>
        <v>3.6292411711343559E-12</v>
      </c>
      <c r="DR148" s="22">
        <f t="shared" si="124"/>
        <v>6.7935256943361388E-12</v>
      </c>
      <c r="DS148" s="60">
        <f t="shared" si="125"/>
        <v>293.33333333334014</v>
      </c>
      <c r="DT148" s="60">
        <f ca="1">AVERAGE(OFFSET($DS$3,0,0,'Données projet'!$E$14+1,1))-AVERAGE(OFFSET($H$3,0,0,'Données projet'!$E$14+1,1))</f>
        <v>382.01991140382955</v>
      </c>
      <c r="DU148" s="60">
        <f t="shared" si="152"/>
        <v>389.53897948144339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323.92137573760789</v>
      </c>
      <c r="EP148" s="60">
        <f t="shared" si="154"/>
        <v>389.53897948144339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2.2737367544323206E-13</v>
      </c>
      <c r="FF148" s="18">
        <f>FE148*VLOOKUP('Données projet'!$B$16,Paramètres!$A$1:$I$89,3,0)*VLOOKUP('Données projet'!$B$16,Paramètres!$A$1:$I$89,5,0)</f>
        <v>1.8089849618263545E-13</v>
      </c>
      <c r="FG148" s="14">
        <f t="shared" si="155"/>
        <v>2.536422473342444E-12</v>
      </c>
      <c r="FH148" s="22">
        <f t="shared" si="130"/>
        <v>4.7326673552561798E-12</v>
      </c>
      <c r="FI148" s="60">
        <f t="shared" si="131"/>
        <v>293.33333333333803</v>
      </c>
      <c r="FJ148" s="60">
        <f ca="1">AVERAGE(OFFSET($FI$3,0,0,'Données projet'!$E$16+1,1))-AVERAGE(OFFSET($H$3,0,0,'Données projet'!$E$16+1,1))</f>
        <v>219.61164494001008</v>
      </c>
      <c r="FK148" s="60">
        <f t="shared" si="156"/>
        <v>219.59799863414111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-6.2527760746888816E-13</v>
      </c>
      <c r="GA148" s="18">
        <f>FZ148*VLOOKUP('Données projet'!$B$17,Paramètres!$A$1:$I$89,3,0)*VLOOKUP('Données projet'!$B$17,Paramètres!$A$1:$I$89,5,0)</f>
        <v>-2.9262992029543964E-13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147.5699668214238</v>
      </c>
      <c r="GF148" s="60">
        <f t="shared" si="158"/>
        <v>70.653739864908346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>
        <f>GU148*VLOOKUP('Données projet'!$B$18,Paramètres!$A$1:$I$89,3,0)*VLOOKUP('Données projet'!$B$18,Paramètres!$A$1:$I$89,5,0)</f>
        <v>0</v>
      </c>
      <c r="GW148" s="14" t="e">
        <f t="shared" si="159"/>
        <v>#NUM!</v>
      </c>
      <c r="GX148" s="22" t="e">
        <f t="shared" si="136"/>
        <v>#NUM!</v>
      </c>
      <c r="GY148" s="60" t="e">
        <f t="shared" si="137"/>
        <v>#NUM!</v>
      </c>
      <c r="GZ148" s="60">
        <f ca="1">AVERAGE(OFFSET($GY$3,0,0,'Données projet'!$E$18+1,1))-AVERAGE(OFFSET($H$3,0,0,'Données projet'!$E$18+1,1))</f>
        <v>136.03899433512379</v>
      </c>
      <c r="HA148" s="60">
        <f t="shared" si="160"/>
        <v>316.56646692826882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7.6569128269700162</v>
      </c>
      <c r="HH148" s="23">
        <f>EXP(-LN(2)/25)*HH147+(1-EXP(-LN(2)/25))/(LN(2)/25)*Calculateur!HC148*Calculateur!HE148*VLOOKUP('Données projet'!$B$18,Paramètres!$A$1:$I$89,3,0)*0.475*44/12</f>
        <v>0.41571652673212944</v>
      </c>
      <c r="HI148" s="23">
        <f>EXP(-LN(2)/2)*HI147+(1-EXP(-LN(2)/2))/(LN(2)/2)*HC148*HF148*VLOOKUP('Données projet'!$B$18,Paramètres!$A$1:$I$89,3,0)*0.475*44/12</f>
        <v>1.4345339143509488E-17</v>
      </c>
      <c r="HJ148" s="24">
        <f t="shared" si="138"/>
        <v>8.0726293537021458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320.99999999999955</v>
      </c>
      <c r="O149" s="14">
        <f>N149*VLOOKUP('Données projet'!$B$9,Paramètres!$A$1:$I$89,3,0)*VLOOKUP('Données projet'!$B$9,Paramètres!$A$1:$I$89,5,0)</f>
        <v>290.44079999999957</v>
      </c>
      <c r="P149" s="14">
        <f t="shared" si="141"/>
        <v>69.168726815543238</v>
      </c>
      <c r="Q149" s="22">
        <f t="shared" si="108"/>
        <v>626.31992587040372</v>
      </c>
      <c r="R149" s="60">
        <f t="shared" si="109"/>
        <v>919.65325920373698</v>
      </c>
      <c r="S149" s="60">
        <f ca="1">AVERAGE(OFFSET($R$3,0,0,'Données projet'!$E$9+1,1))-AVERAGE(OFFSET($H$3,0,0,'Données projet'!$E$9+1,1))</f>
        <v>384.44848355636935</v>
      </c>
      <c r="T149" s="60">
        <f t="shared" si="142"/>
        <v>203.5274665601915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256.42031999999921</v>
      </c>
      <c r="AK149" s="14">
        <f t="shared" si="143"/>
        <v>61.958720258016747</v>
      </c>
      <c r="AL149" s="22">
        <f t="shared" si="112"/>
        <v>554.51016178271107</v>
      </c>
      <c r="AM149" s="60">
        <f t="shared" si="113"/>
        <v>847.84349511604432</v>
      </c>
      <c r="AN149" s="60">
        <f ca="1">AVERAGE(OFFSET($AM$3,0,0,'Données projet'!$E$10+1,1))-AVERAGE(OFFSET($H$3,0,0,'Données projet'!$E$10+1,1))</f>
        <v>303.73499739059076</v>
      </c>
      <c r="AO149" s="60">
        <f t="shared" si="144"/>
        <v>172.32171001882188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3.5</v>
      </c>
      <c r="BD149" s="13">
        <f>IF('Données projet'!$A$88&gt;35,BD148+BC149-BL148,IF(A149&lt;'Données projet'!$A$88,$BA$205^A149,IF(A149='Données projet'!$A$88,'Données projet'!$B$88,BD148+BC149-BL148)))</f>
        <v>320.99999999999955</v>
      </c>
      <c r="BE149" s="14">
        <f>BD149*VLOOKUP('Données projet'!$B$11,Paramètres!$A$1:$I$89,3,0)*VLOOKUP('Données projet'!$B$11,Paramètres!$A$1:$I$89,5,0)</f>
        <v>270.41039999999964</v>
      </c>
      <c r="BF149" s="14">
        <f t="shared" si="145"/>
        <v>64.936358825024271</v>
      </c>
      <c r="BG149" s="22">
        <f t="shared" si="115"/>
        <v>584.06227162025004</v>
      </c>
      <c r="BH149" s="60">
        <f t="shared" si="116"/>
        <v>877.39560495358342</v>
      </c>
      <c r="BI149" s="60">
        <f ca="1">AVERAGE(OFFSET($BH$3,0,0,'Données projet'!$E$11+1,1))-AVERAGE(OFFSET($H$3,0,0,'Données projet'!$E$11+1,1))</f>
        <v>352.29660374042186</v>
      </c>
      <c r="BJ149" s="60">
        <f t="shared" si="146"/>
        <v>187.26439695305618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238.7361599999993</v>
      </c>
      <c r="CA149" s="14">
        <f t="shared" si="147"/>
        <v>58.167525647006187</v>
      </c>
      <c r="CB149" s="22">
        <f t="shared" si="118"/>
        <v>517.10725250186795</v>
      </c>
      <c r="CC149" s="60">
        <f t="shared" si="119"/>
        <v>810.44058583520132</v>
      </c>
      <c r="CD149" s="60">
        <f ca="1">AVERAGE(OFFSET($CC$3,0,0,'Données projet'!$E$12+1,1))-AVERAGE(OFFSET($H$3,0,0,'Données projet'!$E$12+1,1))</f>
        <v>277.03735509061545</v>
      </c>
      <c r="CE149" s="60">
        <f t="shared" si="148"/>
        <v>158.16416492761959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287.36759999999913</v>
      </c>
      <c r="CV149" s="14">
        <f t="shared" si="149"/>
        <v>68.521633201564995</v>
      </c>
      <c r="CW149" s="22">
        <f t="shared" si="121"/>
        <v>619.84041449272411</v>
      </c>
      <c r="CX149" s="60">
        <f t="shared" si="122"/>
        <v>913.17374782605748</v>
      </c>
      <c r="CY149" s="60">
        <f ca="1">AVERAGE(OFFSET($CX$3,0,0,'Données projet'!$E$13+1,1))-AVERAGE(OFFSET($H$3,0,0,'Données projet'!$E$13+1,1))</f>
        <v>350.3652766444938</v>
      </c>
      <c r="CZ149" s="60">
        <f t="shared" si="150"/>
        <v>197.04549436738586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3.4106051316484809E-13</v>
      </c>
      <c r="DP149" s="18">
        <f>DO149*VLOOKUP('Données projet'!$B$14,Paramètres!$A$1:$I$89,3,0)*VLOOKUP('Données projet'!$B$14,Paramètres!$A$1:$I$89,5,0)</f>
        <v>2.7134774427395314E-13</v>
      </c>
      <c r="DQ149" s="14">
        <f t="shared" si="151"/>
        <v>3.6292411711343559E-12</v>
      </c>
      <c r="DR149" s="22">
        <f t="shared" si="124"/>
        <v>6.7935256943361388E-12</v>
      </c>
      <c r="DS149" s="60">
        <f t="shared" si="125"/>
        <v>293.33333333334014</v>
      </c>
      <c r="DT149" s="60">
        <f ca="1">AVERAGE(OFFSET($DS$3,0,0,'Données projet'!$E$14+1,1))-AVERAGE(OFFSET($H$3,0,0,'Données projet'!$E$14+1,1))</f>
        <v>382.01991140382955</v>
      </c>
      <c r="DU149" s="60">
        <f t="shared" si="152"/>
        <v>389.53897948144339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323.92137573760789</v>
      </c>
      <c r="EP149" s="60">
        <f t="shared" si="154"/>
        <v>389.53897948144339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2.2737367544323206E-13</v>
      </c>
      <c r="FF149" s="18">
        <f>FE149*VLOOKUP('Données projet'!$B$16,Paramètres!$A$1:$I$89,3,0)*VLOOKUP('Données projet'!$B$16,Paramètres!$A$1:$I$89,5,0)</f>
        <v>1.8089849618263545E-13</v>
      </c>
      <c r="FG149" s="14">
        <f t="shared" si="155"/>
        <v>2.536422473342444E-12</v>
      </c>
      <c r="FH149" s="22">
        <f t="shared" si="130"/>
        <v>4.7326673552561798E-12</v>
      </c>
      <c r="FI149" s="60">
        <f t="shared" si="131"/>
        <v>293.33333333333803</v>
      </c>
      <c r="FJ149" s="60">
        <f ca="1">AVERAGE(OFFSET($FI$3,0,0,'Données projet'!$E$16+1,1))-AVERAGE(OFFSET($H$3,0,0,'Données projet'!$E$16+1,1))</f>
        <v>219.61164494001008</v>
      </c>
      <c r="FK149" s="60">
        <f t="shared" si="156"/>
        <v>219.59799863414111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-6.2527760746888816E-13</v>
      </c>
      <c r="GA149" s="18">
        <f>FZ149*VLOOKUP('Données projet'!$B$17,Paramètres!$A$1:$I$89,3,0)*VLOOKUP('Données projet'!$B$17,Paramètres!$A$1:$I$89,5,0)</f>
        <v>-2.9262992029543964E-13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147.5699668214238</v>
      </c>
      <c r="GF149" s="60">
        <f t="shared" si="158"/>
        <v>70.653739864908346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>
        <f>GU149*VLOOKUP('Données projet'!$B$18,Paramètres!$A$1:$I$89,3,0)*VLOOKUP('Données projet'!$B$18,Paramètres!$A$1:$I$89,5,0)</f>
        <v>0</v>
      </c>
      <c r="GW149" s="14" t="e">
        <f t="shared" si="159"/>
        <v>#NUM!</v>
      </c>
      <c r="GX149" s="22" t="e">
        <f t="shared" si="136"/>
        <v>#NUM!</v>
      </c>
      <c r="GY149" s="60" t="e">
        <f t="shared" si="137"/>
        <v>#NUM!</v>
      </c>
      <c r="GZ149" s="60">
        <f ca="1">AVERAGE(OFFSET($GY$3,0,0,'Données projet'!$E$18+1,1))-AVERAGE(OFFSET($H$3,0,0,'Données projet'!$E$18+1,1))</f>
        <v>136.03899433512379</v>
      </c>
      <c r="HA149" s="60">
        <f t="shared" si="160"/>
        <v>316.56646692826882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7.5067654366888092</v>
      </c>
      <c r="HH149" s="23">
        <f>EXP(-LN(2)/25)*HH148+(1-EXP(-LN(2)/25))/(LN(2)/25)*Calculateur!HC149*Calculateur!HE149*VLOOKUP('Données projet'!$B$18,Paramètres!$A$1:$I$89,3,0)*0.475*44/12</f>
        <v>0.40434873644705738</v>
      </c>
      <c r="HI149" s="23">
        <f>EXP(-LN(2)/2)*HI148+(1-EXP(-LN(2)/2))/(LN(2)/2)*HC149*HF149*VLOOKUP('Données projet'!$B$18,Paramètres!$A$1:$I$89,3,0)*0.475*44/12</f>
        <v>1.0143686586796378E-17</v>
      </c>
      <c r="HJ149" s="24">
        <f t="shared" si="138"/>
        <v>7.911114173135867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324.49999999999955</v>
      </c>
      <c r="O150" s="14">
        <f>N150*VLOOKUP('Données projet'!$B$9,Paramètres!$A$1:$I$89,3,0)*VLOOKUP('Données projet'!$B$9,Paramètres!$A$1:$I$89,5,0)</f>
        <v>293.60759999999959</v>
      </c>
      <c r="P150" s="14">
        <f t="shared" si="141"/>
        <v>69.834695689453554</v>
      </c>
      <c r="Q150" s="22">
        <f t="shared" si="108"/>
        <v>632.99533165913078</v>
      </c>
      <c r="R150" s="60">
        <f t="shared" si="109"/>
        <v>926.32866499246416</v>
      </c>
      <c r="S150" s="60">
        <f ca="1">AVERAGE(OFFSET($R$3,0,0,'Données projet'!$E$9+1,1))-AVERAGE(OFFSET($H$3,0,0,'Données projet'!$E$9+1,1))</f>
        <v>384.44848355636935</v>
      </c>
      <c r="T150" s="60">
        <f t="shared" si="142"/>
        <v>203.5274665601915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258.59183999999919</v>
      </c>
      <c r="AK150" s="14">
        <f t="shared" si="143"/>
        <v>62.422120343276475</v>
      </c>
      <c r="AL150" s="22">
        <f t="shared" si="112"/>
        <v>559.09931426453841</v>
      </c>
      <c r="AM150" s="60">
        <f t="shared" si="113"/>
        <v>852.43264759787166</v>
      </c>
      <c r="AN150" s="60">
        <f ca="1">AVERAGE(OFFSET($AM$3,0,0,'Données projet'!$E$10+1,1))-AVERAGE(OFFSET($H$3,0,0,'Données projet'!$E$10+1,1))</f>
        <v>303.73499739059076</v>
      </c>
      <c r="AO150" s="60">
        <f t="shared" si="144"/>
        <v>172.32171001882188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3.5</v>
      </c>
      <c r="BD150" s="13">
        <f>IF('Données projet'!$A$88&gt;35,BD149+BC150-BL149,IF(A150&lt;'Données projet'!$A$88,$BA$205^A150,IF(A150='Données projet'!$A$88,'Données projet'!$B$88,BD149+BC150-BL149)))</f>
        <v>324.49999999999955</v>
      </c>
      <c r="BE150" s="14">
        <f>BD150*VLOOKUP('Données projet'!$B$11,Paramètres!$A$1:$I$89,3,0)*VLOOKUP('Données projet'!$B$11,Paramètres!$A$1:$I$89,5,0)</f>
        <v>273.35879999999963</v>
      </c>
      <c r="BF150" s="14">
        <f t="shared" si="145"/>
        <v>65.561577702883156</v>
      </c>
      <c r="BG150" s="22">
        <f t="shared" si="115"/>
        <v>590.28632449918746</v>
      </c>
      <c r="BH150" s="60">
        <f t="shared" si="116"/>
        <v>883.61965783252072</v>
      </c>
      <c r="BI150" s="60">
        <f ca="1">AVERAGE(OFFSET($BH$3,0,0,'Données projet'!$E$11+1,1))-AVERAGE(OFFSET($H$3,0,0,'Données projet'!$E$11+1,1))</f>
        <v>352.29660374042186</v>
      </c>
      <c r="BJ150" s="60">
        <f t="shared" si="146"/>
        <v>187.26439695305618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240.7579199999993</v>
      </c>
      <c r="CA150" s="14">
        <f t="shared" si="147"/>
        <v>58.602570725922028</v>
      </c>
      <c r="CB150" s="22">
        <f t="shared" si="118"/>
        <v>521.38618801431301</v>
      </c>
      <c r="CC150" s="60">
        <f t="shared" si="119"/>
        <v>814.71952134764638</v>
      </c>
      <c r="CD150" s="60">
        <f ca="1">AVERAGE(OFFSET($CC$3,0,0,'Données projet'!$E$12+1,1))-AVERAGE(OFFSET($H$3,0,0,'Données projet'!$E$12+1,1))</f>
        <v>277.03735509061545</v>
      </c>
      <c r="CE150" s="60">
        <f t="shared" si="148"/>
        <v>158.16416492761959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289.80119999999908</v>
      </c>
      <c r="CV150" s="14">
        <f t="shared" si="149"/>
        <v>69.034118458450664</v>
      </c>
      <c r="CW150" s="22">
        <f t="shared" si="121"/>
        <v>624.97151298179995</v>
      </c>
      <c r="CX150" s="60">
        <f t="shared" si="122"/>
        <v>918.30484631513332</v>
      </c>
      <c r="CY150" s="60">
        <f ca="1">AVERAGE(OFFSET($CX$3,0,0,'Données projet'!$E$13+1,1))-AVERAGE(OFFSET($H$3,0,0,'Données projet'!$E$13+1,1))</f>
        <v>350.3652766444938</v>
      </c>
      <c r="CZ150" s="60">
        <f t="shared" si="150"/>
        <v>197.04549436738586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3.4106051316484809E-13</v>
      </c>
      <c r="DP150" s="18">
        <f>DO150*VLOOKUP('Données projet'!$B$14,Paramètres!$A$1:$I$89,3,0)*VLOOKUP('Données projet'!$B$14,Paramètres!$A$1:$I$89,5,0)</f>
        <v>2.7134774427395314E-13</v>
      </c>
      <c r="DQ150" s="14">
        <f t="shared" si="151"/>
        <v>3.6292411711343559E-12</v>
      </c>
      <c r="DR150" s="22">
        <f t="shared" si="124"/>
        <v>6.7935256943361388E-12</v>
      </c>
      <c r="DS150" s="60">
        <f t="shared" si="125"/>
        <v>293.33333333334014</v>
      </c>
      <c r="DT150" s="60">
        <f ca="1">AVERAGE(OFFSET($DS$3,0,0,'Données projet'!$E$14+1,1))-AVERAGE(OFFSET($H$3,0,0,'Données projet'!$E$14+1,1))</f>
        <v>382.01991140382955</v>
      </c>
      <c r="DU150" s="60">
        <f t="shared" si="152"/>
        <v>389.53897948144339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323.92137573760789</v>
      </c>
      <c r="EP150" s="60">
        <f t="shared" si="154"/>
        <v>389.53897948144339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2.2737367544323206E-13</v>
      </c>
      <c r="FF150" s="18">
        <f>FE150*VLOOKUP('Données projet'!$B$16,Paramètres!$A$1:$I$89,3,0)*VLOOKUP('Données projet'!$B$16,Paramètres!$A$1:$I$89,5,0)</f>
        <v>1.8089849618263545E-13</v>
      </c>
      <c r="FG150" s="14">
        <f t="shared" si="155"/>
        <v>2.536422473342444E-12</v>
      </c>
      <c r="FH150" s="22">
        <f t="shared" si="130"/>
        <v>4.7326673552561798E-12</v>
      </c>
      <c r="FI150" s="60">
        <f t="shared" si="131"/>
        <v>293.33333333333803</v>
      </c>
      <c r="FJ150" s="60">
        <f ca="1">AVERAGE(OFFSET($FI$3,0,0,'Données projet'!$E$16+1,1))-AVERAGE(OFFSET($H$3,0,0,'Données projet'!$E$16+1,1))</f>
        <v>219.61164494001008</v>
      </c>
      <c r="FK150" s="60">
        <f t="shared" si="156"/>
        <v>219.59799863414111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-6.2527760746888816E-13</v>
      </c>
      <c r="GA150" s="18">
        <f>FZ150*VLOOKUP('Données projet'!$B$17,Paramètres!$A$1:$I$89,3,0)*VLOOKUP('Données projet'!$B$17,Paramètres!$A$1:$I$89,5,0)</f>
        <v>-2.9262992029543964E-13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147.5699668214238</v>
      </c>
      <c r="GF150" s="60">
        <f t="shared" si="158"/>
        <v>70.653739864908346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>
        <f>GU150*VLOOKUP('Données projet'!$B$18,Paramètres!$A$1:$I$89,3,0)*VLOOKUP('Données projet'!$B$18,Paramètres!$A$1:$I$89,5,0)</f>
        <v>0</v>
      </c>
      <c r="GW150" s="14" t="e">
        <f t="shared" si="159"/>
        <v>#NUM!</v>
      </c>
      <c r="GX150" s="22" t="e">
        <f t="shared" si="136"/>
        <v>#NUM!</v>
      </c>
      <c r="GY150" s="60" t="e">
        <f t="shared" si="137"/>
        <v>#NUM!</v>
      </c>
      <c r="GZ150" s="60">
        <f ca="1">AVERAGE(OFFSET($GY$3,0,0,'Données projet'!$E$18+1,1))-AVERAGE(OFFSET($H$3,0,0,'Données projet'!$E$18+1,1))</f>
        <v>136.03899433512379</v>
      </c>
      <c r="HA150" s="60">
        <f t="shared" si="160"/>
        <v>316.56646692826882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7.3595623451501515</v>
      </c>
      <c r="HH150" s="23">
        <f>EXP(-LN(2)/25)*HH149+(1-EXP(-LN(2)/25))/(LN(2)/25)*Calculateur!HC150*Calculateur!HE150*VLOOKUP('Données projet'!$B$18,Paramètres!$A$1:$I$89,3,0)*0.475*44/12</f>
        <v>0.39329179898513672</v>
      </c>
      <c r="HI150" s="23">
        <f>EXP(-LN(2)/2)*HI149+(1-EXP(-LN(2)/2))/(LN(2)/2)*HC150*HF150*VLOOKUP('Données projet'!$B$18,Paramètres!$A$1:$I$89,3,0)*0.475*44/12</f>
        <v>7.1726695717547439E-18</v>
      </c>
      <c r="HJ150" s="24">
        <f t="shared" si="138"/>
        <v>7.7528541441352878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327.99999999999955</v>
      </c>
      <c r="O151" s="14">
        <f>N151*VLOOKUP('Données projet'!$B$9,Paramètres!$A$1:$I$89,3,0)*VLOOKUP('Données projet'!$B$9,Paramètres!$A$1:$I$89,5,0)</f>
        <v>296.77439999999956</v>
      </c>
      <c r="P151" s="14">
        <f t="shared" si="141"/>
        <v>70.499828966950616</v>
      </c>
      <c r="Q151" s="22">
        <f t="shared" si="108"/>
        <v>639.66928211743823</v>
      </c>
      <c r="R151" s="60">
        <f t="shared" si="109"/>
        <v>933.0026154507716</v>
      </c>
      <c r="S151" s="60">
        <f ca="1">AVERAGE(OFFSET($R$3,0,0,'Données projet'!$E$9+1,1))-AVERAGE(OFFSET($H$3,0,0,'Données projet'!$E$9+1,1))</f>
        <v>384.44848355636935</v>
      </c>
      <c r="T151" s="60">
        <f t="shared" si="142"/>
        <v>203.5274665601915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260.76335999999918</v>
      </c>
      <c r="AK151" s="14">
        <f t="shared" si="143"/>
        <v>62.885067686031789</v>
      </c>
      <c r="AL151" s="22">
        <f t="shared" si="112"/>
        <v>563.68767821983727</v>
      </c>
      <c r="AM151" s="60">
        <f t="shared" si="113"/>
        <v>857.02101155317064</v>
      </c>
      <c r="AN151" s="60">
        <f ca="1">AVERAGE(OFFSET($AM$3,0,0,'Données projet'!$E$10+1,1))-AVERAGE(OFFSET($H$3,0,0,'Données projet'!$E$10+1,1))</f>
        <v>303.73499739059076</v>
      </c>
      <c r="AO151" s="60">
        <f t="shared" si="144"/>
        <v>172.32171001882188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3.5</v>
      </c>
      <c r="BD151" s="13">
        <f>IF('Données projet'!$A$88&gt;35,BD150+BC151-BL150,IF(A151&lt;'Données projet'!$A$88,$BA$205^A151,IF(A151='Données projet'!$A$88,'Données projet'!$B$88,BD150+BC151-BL150)))</f>
        <v>327.99999999999955</v>
      </c>
      <c r="BE151" s="14">
        <f>BD151*VLOOKUP('Données projet'!$B$11,Paramètres!$A$1:$I$89,3,0)*VLOOKUP('Données projet'!$B$11,Paramètres!$A$1:$I$89,5,0)</f>
        <v>276.30719999999968</v>
      </c>
      <c r="BF151" s="14">
        <f t="shared" si="145"/>
        <v>66.186012113671069</v>
      </c>
      <c r="BG151" s="22">
        <f t="shared" si="115"/>
        <v>596.50901109797655</v>
      </c>
      <c r="BH151" s="60">
        <f t="shared" si="116"/>
        <v>889.84234443130981</v>
      </c>
      <c r="BI151" s="60">
        <f ca="1">AVERAGE(OFFSET($BH$3,0,0,'Données projet'!$E$11+1,1))-AVERAGE(OFFSET($H$3,0,0,'Données projet'!$E$11+1,1))</f>
        <v>352.29660374042186</v>
      </c>
      <c r="BJ151" s="60">
        <f t="shared" si="146"/>
        <v>187.26439695305618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242.77967999999925</v>
      </c>
      <c r="CA151" s="14">
        <f t="shared" si="147"/>
        <v>59.0371907652126</v>
      </c>
      <c r="CB151" s="22">
        <f t="shared" si="118"/>
        <v>525.66438324941055</v>
      </c>
      <c r="CC151" s="60">
        <f t="shared" si="119"/>
        <v>818.99771658274381</v>
      </c>
      <c r="CD151" s="60">
        <f ca="1">AVERAGE(OFFSET($CC$3,0,0,'Données projet'!$E$12+1,1))-AVERAGE(OFFSET($H$3,0,0,'Données projet'!$E$12+1,1))</f>
        <v>277.03735509061545</v>
      </c>
      <c r="CE151" s="60">
        <f t="shared" si="148"/>
        <v>158.16416492761959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292.2347999999991</v>
      </c>
      <c r="CV151" s="14">
        <f t="shared" si="149"/>
        <v>69.546103016553573</v>
      </c>
      <c r="CW151" s="22">
        <f t="shared" si="121"/>
        <v>630.10173942049585</v>
      </c>
      <c r="CX151" s="60">
        <f t="shared" si="122"/>
        <v>923.43507275382922</v>
      </c>
      <c r="CY151" s="60">
        <f ca="1">AVERAGE(OFFSET($CX$3,0,0,'Données projet'!$E$13+1,1))-AVERAGE(OFFSET($H$3,0,0,'Données projet'!$E$13+1,1))</f>
        <v>350.3652766444938</v>
      </c>
      <c r="CZ151" s="60">
        <f t="shared" si="150"/>
        <v>197.04549436738586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3.4106051316484809E-13</v>
      </c>
      <c r="DP151" s="18">
        <f>DO151*VLOOKUP('Données projet'!$B$14,Paramètres!$A$1:$I$89,3,0)*VLOOKUP('Données projet'!$B$14,Paramètres!$A$1:$I$89,5,0)</f>
        <v>2.7134774427395314E-13</v>
      </c>
      <c r="DQ151" s="14">
        <f t="shared" si="151"/>
        <v>3.6292411711343559E-12</v>
      </c>
      <c r="DR151" s="22">
        <f t="shared" si="124"/>
        <v>6.7935256943361388E-12</v>
      </c>
      <c r="DS151" s="60">
        <f t="shared" si="125"/>
        <v>293.33333333334014</v>
      </c>
      <c r="DT151" s="60">
        <f ca="1">AVERAGE(OFFSET($DS$3,0,0,'Données projet'!$E$14+1,1))-AVERAGE(OFFSET($H$3,0,0,'Données projet'!$E$14+1,1))</f>
        <v>382.01991140382955</v>
      </c>
      <c r="DU151" s="60">
        <f t="shared" si="152"/>
        <v>389.53897948144339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323.92137573760789</v>
      </c>
      <c r="EP151" s="60">
        <f t="shared" si="154"/>
        <v>389.53897948144339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2.2737367544323206E-13</v>
      </c>
      <c r="FF151" s="18">
        <f>FE151*VLOOKUP('Données projet'!$B$16,Paramètres!$A$1:$I$89,3,0)*VLOOKUP('Données projet'!$B$16,Paramètres!$A$1:$I$89,5,0)</f>
        <v>1.8089849618263545E-13</v>
      </c>
      <c r="FG151" s="14">
        <f t="shared" si="155"/>
        <v>2.536422473342444E-12</v>
      </c>
      <c r="FH151" s="22">
        <f t="shared" si="130"/>
        <v>4.7326673552561798E-12</v>
      </c>
      <c r="FI151" s="60">
        <f t="shared" si="131"/>
        <v>293.33333333333803</v>
      </c>
      <c r="FJ151" s="60">
        <f ca="1">AVERAGE(OFFSET($FI$3,0,0,'Données projet'!$E$16+1,1))-AVERAGE(OFFSET($H$3,0,0,'Données projet'!$E$16+1,1))</f>
        <v>219.61164494001008</v>
      </c>
      <c r="FK151" s="60">
        <f t="shared" si="156"/>
        <v>219.59799863414111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-6.2527760746888816E-13</v>
      </c>
      <c r="GA151" s="18">
        <f>FZ151*VLOOKUP('Données projet'!$B$17,Paramètres!$A$1:$I$89,3,0)*VLOOKUP('Données projet'!$B$17,Paramètres!$A$1:$I$89,5,0)</f>
        <v>-2.9262992029543964E-13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147.5699668214238</v>
      </c>
      <c r="GF151" s="60">
        <f t="shared" si="158"/>
        <v>70.653739864908346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>
        <f>GU151*VLOOKUP('Données projet'!$B$18,Paramètres!$A$1:$I$89,3,0)*VLOOKUP('Données projet'!$B$18,Paramètres!$A$1:$I$89,5,0)</f>
        <v>0</v>
      </c>
      <c r="GW151" s="14" t="e">
        <f t="shared" si="159"/>
        <v>#NUM!</v>
      </c>
      <c r="GX151" s="22" t="e">
        <f t="shared" si="136"/>
        <v>#NUM!</v>
      </c>
      <c r="GY151" s="60" t="e">
        <f t="shared" si="137"/>
        <v>#NUM!</v>
      </c>
      <c r="GZ151" s="60">
        <f ca="1">AVERAGE(OFFSET($GY$3,0,0,'Données projet'!$E$18+1,1))-AVERAGE(OFFSET($H$3,0,0,'Données projet'!$E$18+1,1))</f>
        <v>136.03899433512379</v>
      </c>
      <c r="HA151" s="60">
        <f t="shared" si="160"/>
        <v>316.56646692826882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7.2152458164515467</v>
      </c>
      <c r="HH151" s="23">
        <f>EXP(-LN(2)/25)*HH150+(1-EXP(-LN(2)/25))/(LN(2)/25)*Calculateur!HC151*Calculateur!HE151*VLOOKUP('Données projet'!$B$18,Paramètres!$A$1:$I$89,3,0)*0.475*44/12</f>
        <v>0.38253721405957131</v>
      </c>
      <c r="HI151" s="23">
        <f>EXP(-LN(2)/2)*HI150+(1-EXP(-LN(2)/2))/(LN(2)/2)*HC151*HF151*VLOOKUP('Données projet'!$B$18,Paramètres!$A$1:$I$89,3,0)*0.475*44/12</f>
        <v>5.0718432933981892E-18</v>
      </c>
      <c r="HJ151" s="24">
        <f t="shared" si="138"/>
        <v>7.5977830305111178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331.49999999999955</v>
      </c>
      <c r="O152" s="14">
        <f>N152*VLOOKUP('Données projet'!$B$9,Paramètres!$A$1:$I$89,3,0)*VLOOKUP('Données projet'!$B$9,Paramètres!$A$1:$I$89,5,0)</f>
        <v>299.94119999999958</v>
      </c>
      <c r="P152" s="14">
        <f t="shared" si="141"/>
        <v>71.164136596531449</v>
      </c>
      <c r="Q152" s="22">
        <f t="shared" si="108"/>
        <v>646.34179457229163</v>
      </c>
      <c r="R152" s="60">
        <f t="shared" si="109"/>
        <v>939.675127905625</v>
      </c>
      <c r="S152" s="60">
        <f ca="1">AVERAGE(OFFSET($R$3,0,0,'Données projet'!$E$9+1,1))-AVERAGE(OFFSET($H$3,0,0,'Données projet'!$E$9+1,1))</f>
        <v>384.44848355636935</v>
      </c>
      <c r="T152" s="60">
        <f t="shared" si="142"/>
        <v>203.5274665601915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262.93487999999911</v>
      </c>
      <c r="AK152" s="14">
        <f t="shared" si="143"/>
        <v>63.347566493432595</v>
      </c>
      <c r="AL152" s="22">
        <f t="shared" si="112"/>
        <v>568.27526097606028</v>
      </c>
      <c r="AM152" s="60">
        <f t="shared" si="113"/>
        <v>861.60859430939354</v>
      </c>
      <c r="AN152" s="60">
        <f ca="1">AVERAGE(OFFSET($AM$3,0,0,'Données projet'!$E$10+1,1))-AVERAGE(OFFSET($H$3,0,0,'Données projet'!$E$10+1,1))</f>
        <v>303.73499739059076</v>
      </c>
      <c r="AO152" s="60">
        <f t="shared" si="144"/>
        <v>172.32171001882188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3.5</v>
      </c>
      <c r="BD152" s="13">
        <f>IF('Données projet'!$A$88&gt;35,BD151+BC152-BL151,IF(A152&lt;'Données projet'!$A$88,$BA$205^A152,IF(A152='Données projet'!$A$88,'Données projet'!$B$88,BD151+BC152-BL151)))</f>
        <v>331.49999999999955</v>
      </c>
      <c r="BE152" s="14">
        <f>BD152*VLOOKUP('Données projet'!$B$11,Paramètres!$A$1:$I$89,3,0)*VLOOKUP('Données projet'!$B$11,Paramètres!$A$1:$I$89,5,0)</f>
        <v>279.25559999999962</v>
      </c>
      <c r="BF152" s="14">
        <f t="shared" si="145"/>
        <v>66.809671397146104</v>
      </c>
      <c r="BG152" s="22">
        <f t="shared" si="115"/>
        <v>602.73034768336208</v>
      </c>
      <c r="BH152" s="60">
        <f t="shared" si="116"/>
        <v>896.06368101669545</v>
      </c>
      <c r="BI152" s="60">
        <f ca="1">AVERAGE(OFFSET($BH$3,0,0,'Données projet'!$E$11+1,1))-AVERAGE(OFFSET($H$3,0,0,'Données projet'!$E$11+1,1))</f>
        <v>352.29660374042186</v>
      </c>
      <c r="BJ152" s="60">
        <f t="shared" si="146"/>
        <v>187.26439695305618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244.80143999999922</v>
      </c>
      <c r="CA152" s="14">
        <f t="shared" si="147"/>
        <v>59.471389714596413</v>
      </c>
      <c r="CB152" s="22">
        <f t="shared" si="118"/>
        <v>529.94184508625403</v>
      </c>
      <c r="CC152" s="60">
        <f t="shared" si="119"/>
        <v>823.27517841958729</v>
      </c>
      <c r="CD152" s="60">
        <f ca="1">AVERAGE(OFFSET($CC$3,0,0,'Données projet'!$E$12+1,1))-AVERAGE(OFFSET($H$3,0,0,'Données projet'!$E$12+1,1))</f>
        <v>277.03735509061545</v>
      </c>
      <c r="CE152" s="60">
        <f t="shared" si="148"/>
        <v>158.16416492761959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294.66839999999905</v>
      </c>
      <c r="CV152" s="14">
        <f t="shared" si="149"/>
        <v>70.057591528661362</v>
      </c>
      <c r="CW152" s="22">
        <f t="shared" si="121"/>
        <v>635.23110191241688</v>
      </c>
      <c r="CX152" s="60">
        <f t="shared" si="122"/>
        <v>928.56443524575025</v>
      </c>
      <c r="CY152" s="60">
        <f ca="1">AVERAGE(OFFSET($CX$3,0,0,'Données projet'!$E$13+1,1))-AVERAGE(OFFSET($H$3,0,0,'Données projet'!$E$13+1,1))</f>
        <v>350.3652766444938</v>
      </c>
      <c r="CZ152" s="60">
        <f t="shared" si="150"/>
        <v>197.04549436738586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3.4106051316484809E-13</v>
      </c>
      <c r="DP152" s="18">
        <f>DO152*VLOOKUP('Données projet'!$B$14,Paramètres!$A$1:$I$89,3,0)*VLOOKUP('Données projet'!$B$14,Paramètres!$A$1:$I$89,5,0)</f>
        <v>2.7134774427395314E-13</v>
      </c>
      <c r="DQ152" s="14">
        <f t="shared" si="151"/>
        <v>3.6292411711343559E-12</v>
      </c>
      <c r="DR152" s="22">
        <f t="shared" si="124"/>
        <v>6.7935256943361388E-12</v>
      </c>
      <c r="DS152" s="60">
        <f t="shared" si="125"/>
        <v>293.33333333334014</v>
      </c>
      <c r="DT152" s="60">
        <f ca="1">AVERAGE(OFFSET($DS$3,0,0,'Données projet'!$E$14+1,1))-AVERAGE(OFFSET($H$3,0,0,'Données projet'!$E$14+1,1))</f>
        <v>382.01991140382955</v>
      </c>
      <c r="DU152" s="60">
        <f t="shared" si="152"/>
        <v>389.53897948144339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323.92137573760789</v>
      </c>
      <c r="EP152" s="60">
        <f t="shared" si="154"/>
        <v>389.53897948144339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2.2737367544323206E-13</v>
      </c>
      <c r="FF152" s="18">
        <f>FE152*VLOOKUP('Données projet'!$B$16,Paramètres!$A$1:$I$89,3,0)*VLOOKUP('Données projet'!$B$16,Paramètres!$A$1:$I$89,5,0)</f>
        <v>1.8089849618263545E-13</v>
      </c>
      <c r="FG152" s="14">
        <f t="shared" si="155"/>
        <v>2.536422473342444E-12</v>
      </c>
      <c r="FH152" s="22">
        <f t="shared" si="130"/>
        <v>4.7326673552561798E-12</v>
      </c>
      <c r="FI152" s="60">
        <f t="shared" si="131"/>
        <v>293.33333333333803</v>
      </c>
      <c r="FJ152" s="60">
        <f ca="1">AVERAGE(OFFSET($FI$3,0,0,'Données projet'!$E$16+1,1))-AVERAGE(OFFSET($H$3,0,0,'Données projet'!$E$16+1,1))</f>
        <v>219.61164494001008</v>
      </c>
      <c r="FK152" s="60">
        <f t="shared" si="156"/>
        <v>219.59799863414111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-6.2527760746888816E-13</v>
      </c>
      <c r="GA152" s="18">
        <f>FZ152*VLOOKUP('Données projet'!$B$17,Paramètres!$A$1:$I$89,3,0)*VLOOKUP('Données projet'!$B$17,Paramètres!$A$1:$I$89,5,0)</f>
        <v>-2.9262992029543964E-13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147.5699668214238</v>
      </c>
      <c r="GF152" s="60">
        <f t="shared" si="158"/>
        <v>70.653739864908346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>
        <f>GU152*VLOOKUP('Données projet'!$B$18,Paramètres!$A$1:$I$89,3,0)*VLOOKUP('Données projet'!$B$18,Paramètres!$A$1:$I$89,5,0)</f>
        <v>0</v>
      </c>
      <c r="GW152" s="14" t="e">
        <f t="shared" si="159"/>
        <v>#NUM!</v>
      </c>
      <c r="GX152" s="22" t="e">
        <f t="shared" si="136"/>
        <v>#NUM!</v>
      </c>
      <c r="GY152" s="60" t="e">
        <f t="shared" si="137"/>
        <v>#NUM!</v>
      </c>
      <c r="GZ152" s="60">
        <f ca="1">AVERAGE(OFFSET($GY$3,0,0,'Données projet'!$E$18+1,1))-AVERAGE(OFFSET($H$3,0,0,'Données projet'!$E$18+1,1))</f>
        <v>136.03899433512379</v>
      </c>
      <c r="HA152" s="60">
        <f t="shared" si="160"/>
        <v>316.56646692826882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7.0737592468563308</v>
      </c>
      <c r="HH152" s="23">
        <f>EXP(-LN(2)/25)*HH151+(1-EXP(-LN(2)/25))/(LN(2)/25)*Calculateur!HC152*Calculateur!HE152*VLOOKUP('Données projet'!$B$18,Paramètres!$A$1:$I$89,3,0)*0.475*44/12</f>
        <v>0.37207671382435453</v>
      </c>
      <c r="HI152" s="23">
        <f>EXP(-LN(2)/2)*HI151+(1-EXP(-LN(2)/2))/(LN(2)/2)*HC152*HF152*VLOOKUP('Données projet'!$B$18,Paramètres!$A$1:$I$89,3,0)*0.475*44/12</f>
        <v>3.5863347858773719E-18</v>
      </c>
      <c r="HJ152" s="24">
        <f t="shared" si="138"/>
        <v>7.445835960680685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334.99999999999955</v>
      </c>
      <c r="O153" s="14">
        <f>N153*VLOOKUP('Données projet'!$B$9,Paramètres!$A$1:$I$89,3,0)*VLOOKUP('Données projet'!$B$9,Paramètres!$A$1:$I$89,5,0)</f>
        <v>303.10799999999961</v>
      </c>
      <c r="P153" s="14">
        <f t="shared" si="141"/>
        <v>71.827628304517162</v>
      </c>
      <c r="Q153" s="22">
        <f t="shared" si="108"/>
        <v>653.0128859637</v>
      </c>
      <c r="R153" s="60">
        <f t="shared" si="109"/>
        <v>946.34621929703326</v>
      </c>
      <c r="S153" s="60">
        <f ca="1">AVERAGE(OFFSET($R$3,0,0,'Données projet'!$E$9+1,1))-AVERAGE(OFFSET($H$3,0,0,'Données projet'!$E$9+1,1))</f>
        <v>384.44848355636935</v>
      </c>
      <c r="T153" s="60">
        <f t="shared" si="142"/>
        <v>203.5274665601915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335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265.1063999999991</v>
      </c>
      <c r="AK153" s="14">
        <f t="shared" si="143"/>
        <v>63.809620899125136</v>
      </c>
      <c r="AL153" s="22">
        <f t="shared" si="112"/>
        <v>572.86206973264132</v>
      </c>
      <c r="AM153" s="60">
        <f t="shared" si="113"/>
        <v>866.19540306597469</v>
      </c>
      <c r="AN153" s="60">
        <f ca="1">AVERAGE(OFFSET($AM$3,0,0,'Données projet'!$E$10+1,1))-AVERAGE(OFFSET($H$3,0,0,'Données projet'!$E$10+1,1))</f>
        <v>303.73499739059076</v>
      </c>
      <c r="AO153" s="60">
        <f t="shared" si="144"/>
        <v>172.32171001882188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335</v>
      </c>
      <c r="BB153" s="13">
        <f>VLOOKUP(A153,'Données projet'!$A$87:$I$107,9,0)</f>
        <v>3.5</v>
      </c>
      <c r="BC153" s="13">
        <f t="array" ref="BC153">INDEX(BB:BB,MIN(IF(ISNUMBER(BB153:BB349),ROW(BB153:BB349),"")))</f>
        <v>3.5</v>
      </c>
      <c r="BD153" s="13">
        <f>IF('Données projet'!$A$88&gt;35,BD152+BC153-BL152,IF(A153&lt;'Données projet'!$A$88,$BA$205^A153,IF(A153='Données projet'!$A$88,'Données projet'!$B$88,BD152+BC153-BL152)))</f>
        <v>334.99999999999955</v>
      </c>
      <c r="BE153" s="14">
        <f>BD153*VLOOKUP('Données projet'!$B$11,Paramètres!$A$1:$I$89,3,0)*VLOOKUP('Données projet'!$B$11,Paramètres!$A$1:$I$89,5,0)</f>
        <v>282.20399999999967</v>
      </c>
      <c r="BF153" s="14">
        <f t="shared" si="145"/>
        <v>67.432564684485129</v>
      </c>
      <c r="BG153" s="22">
        <f t="shared" si="115"/>
        <v>608.95035015881103</v>
      </c>
      <c r="BH153" s="60">
        <f t="shared" si="116"/>
        <v>902.28368349214429</v>
      </c>
      <c r="BI153" s="60">
        <f ca="1">AVERAGE(OFFSET($BH$3,0,0,'Données projet'!$E$11+1,1))-AVERAGE(OFFSET($H$3,0,0,'Données projet'!$E$11+1,1))</f>
        <v>352.29660374042186</v>
      </c>
      <c r="BJ153" s="60">
        <f t="shared" si="146"/>
        <v>187.26439695305618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335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246.82319999999922</v>
      </c>
      <c r="CA153" s="14">
        <f t="shared" si="147"/>
        <v>59.905171454785851</v>
      </c>
      <c r="CB153" s="22">
        <f t="shared" si="118"/>
        <v>534.21858028375061</v>
      </c>
      <c r="CC153" s="60">
        <f t="shared" si="119"/>
        <v>827.55191361708398</v>
      </c>
      <c r="CD153" s="60">
        <f ca="1">AVERAGE(OFFSET($CC$3,0,0,'Données projet'!$E$12+1,1))-AVERAGE(OFFSET($H$3,0,0,'Données projet'!$E$12+1,1))</f>
        <v>277.03735509061545</v>
      </c>
      <c r="CE153" s="60">
        <f t="shared" si="148"/>
        <v>158.16416492761959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297.10199999999907</v>
      </c>
      <c r="CV153" s="14">
        <f t="shared" si="149"/>
        <v>70.568588566272624</v>
      </c>
      <c r="CW153" s="22">
        <f t="shared" si="121"/>
        <v>640.3596084195899</v>
      </c>
      <c r="CX153" s="60">
        <f t="shared" si="122"/>
        <v>933.69294175292316</v>
      </c>
      <c r="CY153" s="60">
        <f ca="1">AVERAGE(OFFSET($CX$3,0,0,'Données projet'!$E$13+1,1))-AVERAGE(OFFSET($H$3,0,0,'Données projet'!$E$13+1,1))</f>
        <v>350.3652766444938</v>
      </c>
      <c r="CZ153" s="60">
        <f t="shared" si="150"/>
        <v>197.04549436738586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3.4106051316484809E-13</v>
      </c>
      <c r="DP153" s="18">
        <f>DO153*VLOOKUP('Données projet'!$B$14,Paramètres!$A$1:$I$89,3,0)*VLOOKUP('Données projet'!$B$14,Paramètres!$A$1:$I$89,5,0)</f>
        <v>2.7134774427395314E-13</v>
      </c>
      <c r="DQ153" s="14">
        <f t="shared" si="151"/>
        <v>3.6292411711343559E-12</v>
      </c>
      <c r="DR153" s="22">
        <f t="shared" si="124"/>
        <v>6.7935256943361388E-12</v>
      </c>
      <c r="DS153" s="60">
        <f t="shared" si="125"/>
        <v>293.33333333334014</v>
      </c>
      <c r="DT153" s="60">
        <f ca="1">AVERAGE(OFFSET($DS$3,0,0,'Données projet'!$E$14+1,1))-AVERAGE(OFFSET($H$3,0,0,'Données projet'!$E$14+1,1))</f>
        <v>382.01991140382955</v>
      </c>
      <c r="DU153" s="60">
        <f t="shared" si="152"/>
        <v>389.53897948144339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323.92137573760789</v>
      </c>
      <c r="EP153" s="60">
        <f t="shared" si="154"/>
        <v>389.53897948144339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2.2737367544323206E-13</v>
      </c>
      <c r="FF153" s="18">
        <f>FE153*VLOOKUP('Données projet'!$B$16,Paramètres!$A$1:$I$89,3,0)*VLOOKUP('Données projet'!$B$16,Paramètres!$A$1:$I$89,5,0)</f>
        <v>1.8089849618263545E-13</v>
      </c>
      <c r="FG153" s="14">
        <f t="shared" si="155"/>
        <v>2.536422473342444E-12</v>
      </c>
      <c r="FH153" s="22">
        <f t="shared" si="130"/>
        <v>4.7326673552561798E-12</v>
      </c>
      <c r="FI153" s="60">
        <f t="shared" si="131"/>
        <v>293.33333333333803</v>
      </c>
      <c r="FJ153" s="60">
        <f ca="1">AVERAGE(OFFSET($FI$3,0,0,'Données projet'!$E$16+1,1))-AVERAGE(OFFSET($H$3,0,0,'Données projet'!$E$16+1,1))</f>
        <v>219.61164494001008</v>
      </c>
      <c r="FK153" s="60">
        <f t="shared" si="156"/>
        <v>219.59799863414111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-6.2527760746888816E-13</v>
      </c>
      <c r="GA153" s="18">
        <f>FZ153*VLOOKUP('Données projet'!$B$17,Paramètres!$A$1:$I$89,3,0)*VLOOKUP('Données projet'!$B$17,Paramètres!$A$1:$I$89,5,0)</f>
        <v>-2.9262992029543964E-13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147.5699668214238</v>
      </c>
      <c r="GF153" s="60">
        <f t="shared" si="158"/>
        <v>70.653739864908346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>
        <f>GU153*VLOOKUP('Données projet'!$B$18,Paramètres!$A$1:$I$89,3,0)*VLOOKUP('Données projet'!$B$18,Paramètres!$A$1:$I$89,5,0)</f>
        <v>0</v>
      </c>
      <c r="GW153" s="14" t="e">
        <f t="shared" si="159"/>
        <v>#NUM!</v>
      </c>
      <c r="GX153" s="22" t="e">
        <f t="shared" si="136"/>
        <v>#NUM!</v>
      </c>
      <c r="GY153" s="60" t="e">
        <f t="shared" si="137"/>
        <v>#NUM!</v>
      </c>
      <c r="GZ153" s="60">
        <f ca="1">AVERAGE(OFFSET($GY$3,0,0,'Données projet'!$E$18+1,1))-AVERAGE(OFFSET($H$3,0,0,'Données projet'!$E$18+1,1))</f>
        <v>136.03899433512379</v>
      </c>
      <c r="HA153" s="60">
        <f t="shared" si="160"/>
        <v>316.56646692826882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6.935047142592591</v>
      </c>
      <c r="HH153" s="23">
        <f>EXP(-LN(2)/25)*HH152+(1-EXP(-LN(2)/25))/(LN(2)/25)*Calculateur!HC153*Calculateur!HE153*VLOOKUP('Données projet'!$B$18,Paramètres!$A$1:$I$89,3,0)*0.475*44/12</f>
        <v>0.36190225651816355</v>
      </c>
      <c r="HI153" s="23">
        <f>EXP(-LN(2)/2)*HI152+(1-EXP(-LN(2)/2))/(LN(2)/2)*HC153*HF153*VLOOKUP('Données projet'!$B$18,Paramètres!$A$1:$I$89,3,0)*0.475*44/12</f>
        <v>2.5359216466990946E-18</v>
      </c>
      <c r="HJ153" s="24">
        <f t="shared" si="138"/>
        <v>7.2969493991107548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-4.1145540308207271E-13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384.44848355636935</v>
      </c>
      <c r="T154" s="60">
        <f t="shared" si="142"/>
        <v>203.5274665601915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-8.7434273154940449E-13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303.73499739059076</v>
      </c>
      <c r="AO154" s="60">
        <f t="shared" si="144"/>
        <v>172.32171001882188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-4.5474735088646412E-13</v>
      </c>
      <c r="BE154" s="14">
        <f>BD154*VLOOKUP('Données projet'!$B$11,Paramètres!$A$1:$I$89,3,0)*VLOOKUP('Données projet'!$B$11,Paramètres!$A$1:$I$89,5,0)</f>
        <v>-3.8307916838675739E-13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352.29660374042186</v>
      </c>
      <c r="BJ154" s="60">
        <f t="shared" si="146"/>
        <v>187.26439695305618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-8.1404323282185943E-13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277.03735509061545</v>
      </c>
      <c r="CE154" s="60">
        <f t="shared" si="148"/>
        <v>158.16416492761959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-9.7986685432260874E-13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350.3652766444938</v>
      </c>
      <c r="CZ154" s="60">
        <f t="shared" si="150"/>
        <v>197.04549436738586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3.4106051316484809E-13</v>
      </c>
      <c r="DP154" s="18">
        <f>DO154*VLOOKUP('Données projet'!$B$14,Paramètres!$A$1:$I$89,3,0)*VLOOKUP('Données projet'!$B$14,Paramètres!$A$1:$I$89,5,0)</f>
        <v>2.7134774427395314E-13</v>
      </c>
      <c r="DQ154" s="14">
        <f t="shared" ref="DQ154:DQ203" si="176">EXP(-1.0587+0.8836*LN(DP154)+0.284)</f>
        <v>3.6292411711343559E-12</v>
      </c>
      <c r="DR154" s="22">
        <f t="shared" ref="DR154:DR203" si="177">(DP154+DQ154)*0.475*44/12</f>
        <v>6.7935256943361388E-12</v>
      </c>
      <c r="DS154" s="60">
        <f t="shared" si="125"/>
        <v>293.33333333334014</v>
      </c>
      <c r="DT154" s="60">
        <f ca="1">AVERAGE(OFFSET($DS$3,0,0,'Données projet'!$E$14+1,1))-AVERAGE(OFFSET($H$3,0,0,'Données projet'!$E$14+1,1))</f>
        <v>382.01991140382955</v>
      </c>
      <c r="DU154" s="60">
        <f t="shared" si="152"/>
        <v>389.53897948144339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323.92137573760789</v>
      </c>
      <c r="EP154" s="60">
        <f t="shared" si="154"/>
        <v>389.53897948144339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2.2737367544323206E-13</v>
      </c>
      <c r="FF154" s="18">
        <f>FE154*VLOOKUP('Données projet'!$B$16,Paramètres!$A$1:$I$89,3,0)*VLOOKUP('Données projet'!$B$16,Paramètres!$A$1:$I$89,5,0)</f>
        <v>1.8089849618263545E-13</v>
      </c>
      <c r="FG154" s="14">
        <f t="shared" ref="FG154:FG203" si="182">EXP(-1.0587+0.8836*LN(FF154)+0.284)</f>
        <v>2.536422473342444E-12</v>
      </c>
      <c r="FH154" s="22">
        <f t="shared" ref="FH154:FH203" si="183">(FF154+FG154)*0.475*44/12</f>
        <v>4.7326673552561798E-12</v>
      </c>
      <c r="FI154" s="60">
        <f t="shared" si="131"/>
        <v>293.33333333333803</v>
      </c>
      <c r="FJ154" s="60">
        <f ca="1">AVERAGE(OFFSET($FI$3,0,0,'Données projet'!$E$16+1,1))-AVERAGE(OFFSET($H$3,0,0,'Données projet'!$E$16+1,1))</f>
        <v>219.61164494001008</v>
      </c>
      <c r="FK154" s="60">
        <f t="shared" si="156"/>
        <v>219.59799863414111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-6.2527760746888816E-13</v>
      </c>
      <c r="GA154" s="18">
        <f>FZ154*VLOOKUP('Données projet'!$B$17,Paramètres!$A$1:$I$89,3,0)*VLOOKUP('Données projet'!$B$17,Paramètres!$A$1:$I$89,5,0)</f>
        <v>-2.9262992029543964E-13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147.5699668214238</v>
      </c>
      <c r="GF154" s="60">
        <f t="shared" si="158"/>
        <v>70.653739864908346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>
        <f>GU154*VLOOKUP('Données projet'!$B$18,Paramètres!$A$1:$I$89,3,0)*VLOOKUP('Données projet'!$B$18,Paramètres!$A$1:$I$89,5,0)</f>
        <v>0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0" t="e">
        <f t="shared" si="137"/>
        <v>#NUM!</v>
      </c>
      <c r="GZ154" s="60">
        <f ca="1">AVERAGE(OFFSET($GY$3,0,0,'Données projet'!$E$18+1,1))-AVERAGE(OFFSET($H$3,0,0,'Données projet'!$E$18+1,1))</f>
        <v>136.03899433512379</v>
      </c>
      <c r="HA154" s="60">
        <f t="shared" si="160"/>
        <v>316.56646692826882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6.7990550980874334</v>
      </c>
      <c r="HH154" s="23">
        <f>EXP(-LN(2)/25)*HH153+(1-EXP(-LN(2)/25))/(LN(2)/25)*Calculateur!HC154*Calculateur!HE154*VLOOKUP('Données projet'!$B$18,Paramètres!$A$1:$I$89,3,0)*0.475*44/12</f>
        <v>0.35200602028206185</v>
      </c>
      <c r="HI154" s="23">
        <f>EXP(-LN(2)/2)*HI153+(1-EXP(-LN(2)/2))/(LN(2)/2)*HC154*HF154*VLOOKUP('Données projet'!$B$18,Paramètres!$A$1:$I$89,3,0)*0.475*44/12</f>
        <v>1.793167392938686E-18</v>
      </c>
      <c r="HJ154" s="24">
        <f t="shared" ref="HJ154:HJ203" si="190">SUM(HG154:HI154)</f>
        <v>7.151061118369495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-4.1145540308207271E-13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384.44848355636935</v>
      </c>
      <c r="T155" s="60">
        <f t="shared" si="142"/>
        <v>203.5274665601915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-8.7434273154940449E-13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303.73499739059076</v>
      </c>
      <c r="AO155" s="60">
        <f t="shared" si="144"/>
        <v>172.32171001882188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-4.5474735088646412E-13</v>
      </c>
      <c r="BE155" s="14">
        <f>BD155*VLOOKUP('Données projet'!$B$11,Paramètres!$A$1:$I$89,3,0)*VLOOKUP('Données projet'!$B$11,Paramètres!$A$1:$I$89,5,0)</f>
        <v>-3.8307916838675739E-13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352.29660374042186</v>
      </c>
      <c r="BJ155" s="60">
        <f t="shared" si="146"/>
        <v>187.26439695305618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-8.1404323282185943E-13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277.03735509061545</v>
      </c>
      <c r="CE155" s="60">
        <f t="shared" si="148"/>
        <v>158.16416492761959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-9.7986685432260874E-13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350.3652766444938</v>
      </c>
      <c r="CZ155" s="60">
        <f t="shared" si="150"/>
        <v>197.04549436738586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3.4106051316484809E-13</v>
      </c>
      <c r="DP155" s="18">
        <f>DO155*VLOOKUP('Données projet'!$B$14,Paramètres!$A$1:$I$89,3,0)*VLOOKUP('Données projet'!$B$14,Paramètres!$A$1:$I$89,5,0)</f>
        <v>2.7134774427395314E-13</v>
      </c>
      <c r="DQ155" s="14">
        <f t="shared" si="176"/>
        <v>3.6292411711343559E-12</v>
      </c>
      <c r="DR155" s="22">
        <f t="shared" si="177"/>
        <v>6.7935256943361388E-12</v>
      </c>
      <c r="DS155" s="60">
        <f t="shared" si="125"/>
        <v>293.33333333334014</v>
      </c>
      <c r="DT155" s="60">
        <f ca="1">AVERAGE(OFFSET($DS$3,0,0,'Données projet'!$E$14+1,1))-AVERAGE(OFFSET($H$3,0,0,'Données projet'!$E$14+1,1))</f>
        <v>382.01991140382955</v>
      </c>
      <c r="DU155" s="60">
        <f t="shared" si="152"/>
        <v>389.53897948144339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323.92137573760789</v>
      </c>
      <c r="EP155" s="60">
        <f t="shared" si="154"/>
        <v>389.53897948144339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2.2737367544323206E-13</v>
      </c>
      <c r="FF155" s="18">
        <f>FE155*VLOOKUP('Données projet'!$B$16,Paramètres!$A$1:$I$89,3,0)*VLOOKUP('Données projet'!$B$16,Paramètres!$A$1:$I$89,5,0)</f>
        <v>1.8089849618263545E-13</v>
      </c>
      <c r="FG155" s="14">
        <f t="shared" si="182"/>
        <v>2.536422473342444E-12</v>
      </c>
      <c r="FH155" s="22">
        <f t="shared" si="183"/>
        <v>4.7326673552561798E-12</v>
      </c>
      <c r="FI155" s="60">
        <f t="shared" si="131"/>
        <v>293.33333333333803</v>
      </c>
      <c r="FJ155" s="60">
        <f ca="1">AVERAGE(OFFSET($FI$3,0,0,'Données projet'!$E$16+1,1))-AVERAGE(OFFSET($H$3,0,0,'Données projet'!$E$16+1,1))</f>
        <v>219.61164494001008</v>
      </c>
      <c r="FK155" s="60">
        <f t="shared" si="156"/>
        <v>219.59799863414111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-6.2527760746888816E-13</v>
      </c>
      <c r="GA155" s="18">
        <f>FZ155*VLOOKUP('Données projet'!$B$17,Paramètres!$A$1:$I$89,3,0)*VLOOKUP('Données projet'!$B$17,Paramètres!$A$1:$I$89,5,0)</f>
        <v>-2.9262992029543964E-13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147.5699668214238</v>
      </c>
      <c r="GF155" s="60">
        <f t="shared" si="158"/>
        <v>70.653739864908346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>
        <f>GU155*VLOOKUP('Données projet'!$B$18,Paramètres!$A$1:$I$89,3,0)*VLOOKUP('Données projet'!$B$18,Paramètres!$A$1:$I$89,5,0)</f>
        <v>0</v>
      </c>
      <c r="GW155" s="14" t="e">
        <f t="shared" si="188"/>
        <v>#NUM!</v>
      </c>
      <c r="GX155" s="22" t="e">
        <f t="shared" si="189"/>
        <v>#NUM!</v>
      </c>
      <c r="GY155" s="60" t="e">
        <f t="shared" si="137"/>
        <v>#NUM!</v>
      </c>
      <c r="GZ155" s="60">
        <f ca="1">AVERAGE(OFFSET($GY$3,0,0,'Données projet'!$E$18+1,1))-AVERAGE(OFFSET($H$3,0,0,'Données projet'!$E$18+1,1))</f>
        <v>136.03899433512379</v>
      </c>
      <c r="HA155" s="60">
        <f t="shared" si="160"/>
        <v>316.56646692826882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6.6657297746280646</v>
      </c>
      <c r="HH155" s="23">
        <f>EXP(-LN(2)/25)*HH154+(1-EXP(-LN(2)/25))/(LN(2)/25)*Calculateur!HC155*Calculateur!HE155*VLOOKUP('Données projet'!$B$18,Paramètres!$A$1:$I$89,3,0)*0.475*44/12</f>
        <v>0.34238039714625679</v>
      </c>
      <c r="HI155" s="23">
        <f>EXP(-LN(2)/2)*HI154+(1-EXP(-LN(2)/2))/(LN(2)/2)*HC155*HF155*VLOOKUP('Données projet'!$B$18,Paramètres!$A$1:$I$89,3,0)*0.475*44/12</f>
        <v>1.2679608233495473E-18</v>
      </c>
      <c r="HJ155" s="24">
        <f t="shared" si="190"/>
        <v>7.0081101717743213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-4.1145540308207271E-13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384.44848355636935</v>
      </c>
      <c r="T156" s="60">
        <f t="shared" si="142"/>
        <v>203.5274665601915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-8.7434273154940449E-13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303.73499739059076</v>
      </c>
      <c r="AO156" s="60">
        <f t="shared" si="144"/>
        <v>172.32171001882188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-4.5474735088646412E-13</v>
      </c>
      <c r="BE156" s="14">
        <f>BD156*VLOOKUP('Données projet'!$B$11,Paramètres!$A$1:$I$89,3,0)*VLOOKUP('Données projet'!$B$11,Paramètres!$A$1:$I$89,5,0)</f>
        <v>-3.8307916838675739E-13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352.29660374042186</v>
      </c>
      <c r="BJ156" s="60">
        <f t="shared" si="146"/>
        <v>187.26439695305618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-8.1404323282185943E-13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277.03735509061545</v>
      </c>
      <c r="CE156" s="60">
        <f t="shared" si="148"/>
        <v>158.16416492761959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-9.7986685432260874E-13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350.3652766444938</v>
      </c>
      <c r="CZ156" s="60">
        <f t="shared" si="150"/>
        <v>197.04549436738586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3.4106051316484809E-13</v>
      </c>
      <c r="DP156" s="18">
        <f>DO156*VLOOKUP('Données projet'!$B$14,Paramètres!$A$1:$I$89,3,0)*VLOOKUP('Données projet'!$B$14,Paramètres!$A$1:$I$89,5,0)</f>
        <v>2.7134774427395314E-13</v>
      </c>
      <c r="DQ156" s="14">
        <f t="shared" si="176"/>
        <v>3.6292411711343559E-12</v>
      </c>
      <c r="DR156" s="22">
        <f t="shared" si="177"/>
        <v>6.7935256943361388E-12</v>
      </c>
      <c r="DS156" s="60">
        <f t="shared" si="125"/>
        <v>293.33333333334014</v>
      </c>
      <c r="DT156" s="60">
        <f ca="1">AVERAGE(OFFSET($DS$3,0,0,'Données projet'!$E$14+1,1))-AVERAGE(OFFSET($H$3,0,0,'Données projet'!$E$14+1,1))</f>
        <v>382.01991140382955</v>
      </c>
      <c r="DU156" s="60">
        <f t="shared" si="152"/>
        <v>389.53897948144339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323.92137573760789</v>
      </c>
      <c r="EP156" s="60">
        <f t="shared" si="154"/>
        <v>389.53897948144339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2.2737367544323206E-13</v>
      </c>
      <c r="FF156" s="18">
        <f>FE156*VLOOKUP('Données projet'!$B$16,Paramètres!$A$1:$I$89,3,0)*VLOOKUP('Données projet'!$B$16,Paramètres!$A$1:$I$89,5,0)</f>
        <v>1.8089849618263545E-13</v>
      </c>
      <c r="FG156" s="14">
        <f t="shared" si="182"/>
        <v>2.536422473342444E-12</v>
      </c>
      <c r="FH156" s="22">
        <f t="shared" si="183"/>
        <v>4.7326673552561798E-12</v>
      </c>
      <c r="FI156" s="60">
        <f t="shared" si="131"/>
        <v>293.33333333333803</v>
      </c>
      <c r="FJ156" s="60">
        <f ca="1">AVERAGE(OFFSET($FI$3,0,0,'Données projet'!$E$16+1,1))-AVERAGE(OFFSET($H$3,0,0,'Données projet'!$E$16+1,1))</f>
        <v>219.61164494001008</v>
      </c>
      <c r="FK156" s="60">
        <f t="shared" si="156"/>
        <v>219.59799863414111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-6.2527760746888816E-13</v>
      </c>
      <c r="GA156" s="18">
        <f>FZ156*VLOOKUP('Données projet'!$B$17,Paramètres!$A$1:$I$89,3,0)*VLOOKUP('Données projet'!$B$17,Paramètres!$A$1:$I$89,5,0)</f>
        <v>-2.9262992029543964E-13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147.5699668214238</v>
      </c>
      <c r="GF156" s="60">
        <f t="shared" si="158"/>
        <v>70.653739864908346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>
        <f>GU156*VLOOKUP('Données projet'!$B$18,Paramètres!$A$1:$I$89,3,0)*VLOOKUP('Données projet'!$B$18,Paramètres!$A$1:$I$89,5,0)</f>
        <v>0</v>
      </c>
      <c r="GW156" s="14" t="e">
        <f t="shared" si="188"/>
        <v>#NUM!</v>
      </c>
      <c r="GX156" s="22" t="e">
        <f t="shared" si="189"/>
        <v>#NUM!</v>
      </c>
      <c r="GY156" s="60" t="e">
        <f t="shared" si="137"/>
        <v>#NUM!</v>
      </c>
      <c r="GZ156" s="60">
        <f ca="1">AVERAGE(OFFSET($GY$3,0,0,'Données projet'!$E$18+1,1))-AVERAGE(OFFSET($H$3,0,0,'Données projet'!$E$18+1,1))</f>
        <v>136.03899433512379</v>
      </c>
      <c r="HA156" s="60">
        <f t="shared" si="160"/>
        <v>316.56646692826882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6.5350188794413171</v>
      </c>
      <c r="HH156" s="23">
        <f>EXP(-LN(2)/25)*HH155+(1-EXP(-LN(2)/25))/(LN(2)/25)*Calculateur!HC156*Calculateur!HE156*VLOOKUP('Données projet'!$B$18,Paramètres!$A$1:$I$89,3,0)*0.475*44/12</f>
        <v>0.33301798718128983</v>
      </c>
      <c r="HI156" s="23">
        <f>EXP(-LN(2)/2)*HI155+(1-EXP(-LN(2)/2))/(LN(2)/2)*HC156*HF156*VLOOKUP('Données projet'!$B$18,Paramètres!$A$1:$I$89,3,0)*0.475*44/12</f>
        <v>8.9658369646934298E-19</v>
      </c>
      <c r="HJ156" s="24">
        <f t="shared" si="190"/>
        <v>6.8680368666226066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-4.1145540308207271E-13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384.44848355636935</v>
      </c>
      <c r="T157" s="60">
        <f t="shared" si="142"/>
        <v>203.5274665601915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-8.7434273154940449E-13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303.73499739059076</v>
      </c>
      <c r="AO157" s="60">
        <f t="shared" si="144"/>
        <v>172.32171001882188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-4.5474735088646412E-13</v>
      </c>
      <c r="BE157" s="14">
        <f>BD157*VLOOKUP('Données projet'!$B$11,Paramètres!$A$1:$I$89,3,0)*VLOOKUP('Données projet'!$B$11,Paramètres!$A$1:$I$89,5,0)</f>
        <v>-3.8307916838675739E-13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352.29660374042186</v>
      </c>
      <c r="BJ157" s="60">
        <f t="shared" si="146"/>
        <v>187.26439695305618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-8.1404323282185943E-13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277.03735509061545</v>
      </c>
      <c r="CE157" s="60">
        <f t="shared" si="148"/>
        <v>158.16416492761959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-9.7986685432260874E-13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350.3652766444938</v>
      </c>
      <c r="CZ157" s="60">
        <f t="shared" si="150"/>
        <v>197.04549436738586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3.4106051316484809E-13</v>
      </c>
      <c r="DP157" s="18">
        <f>DO157*VLOOKUP('Données projet'!$B$14,Paramètres!$A$1:$I$89,3,0)*VLOOKUP('Données projet'!$B$14,Paramètres!$A$1:$I$89,5,0)</f>
        <v>2.7134774427395314E-13</v>
      </c>
      <c r="DQ157" s="14">
        <f t="shared" si="176"/>
        <v>3.6292411711343559E-12</v>
      </c>
      <c r="DR157" s="22">
        <f t="shared" si="177"/>
        <v>6.7935256943361388E-12</v>
      </c>
      <c r="DS157" s="60">
        <f t="shared" si="125"/>
        <v>293.33333333334014</v>
      </c>
      <c r="DT157" s="60">
        <f ca="1">AVERAGE(OFFSET($DS$3,0,0,'Données projet'!$E$14+1,1))-AVERAGE(OFFSET($H$3,0,0,'Données projet'!$E$14+1,1))</f>
        <v>382.01991140382955</v>
      </c>
      <c r="DU157" s="60">
        <f t="shared" si="152"/>
        <v>389.53897948144339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323.92137573760789</v>
      </c>
      <c r="EP157" s="60">
        <f t="shared" si="154"/>
        <v>389.53897948144339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2.2737367544323206E-13</v>
      </c>
      <c r="FF157" s="18">
        <f>FE157*VLOOKUP('Données projet'!$B$16,Paramètres!$A$1:$I$89,3,0)*VLOOKUP('Données projet'!$B$16,Paramètres!$A$1:$I$89,5,0)</f>
        <v>1.8089849618263545E-13</v>
      </c>
      <c r="FG157" s="14">
        <f t="shared" si="182"/>
        <v>2.536422473342444E-12</v>
      </c>
      <c r="FH157" s="22">
        <f t="shared" si="183"/>
        <v>4.7326673552561798E-12</v>
      </c>
      <c r="FI157" s="60">
        <f t="shared" si="131"/>
        <v>293.33333333333803</v>
      </c>
      <c r="FJ157" s="60">
        <f ca="1">AVERAGE(OFFSET($FI$3,0,0,'Données projet'!$E$16+1,1))-AVERAGE(OFFSET($H$3,0,0,'Données projet'!$E$16+1,1))</f>
        <v>219.61164494001008</v>
      </c>
      <c r="FK157" s="60">
        <f t="shared" si="156"/>
        <v>219.59799863414111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-6.2527760746888816E-13</v>
      </c>
      <c r="GA157" s="18">
        <f>FZ157*VLOOKUP('Données projet'!$B$17,Paramètres!$A$1:$I$89,3,0)*VLOOKUP('Données projet'!$B$17,Paramètres!$A$1:$I$89,5,0)</f>
        <v>-2.9262992029543964E-13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147.5699668214238</v>
      </c>
      <c r="GF157" s="60">
        <f t="shared" si="158"/>
        <v>70.653739864908346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>
        <f>GU157*VLOOKUP('Données projet'!$B$18,Paramètres!$A$1:$I$89,3,0)*VLOOKUP('Données projet'!$B$18,Paramètres!$A$1:$I$89,5,0)</f>
        <v>0</v>
      </c>
      <c r="GW157" s="14" t="e">
        <f t="shared" si="188"/>
        <v>#NUM!</v>
      </c>
      <c r="GX157" s="22" t="e">
        <f t="shared" si="189"/>
        <v>#NUM!</v>
      </c>
      <c r="GY157" s="60" t="e">
        <f t="shared" si="137"/>
        <v>#NUM!</v>
      </c>
      <c r="GZ157" s="60">
        <f ca="1">AVERAGE(OFFSET($GY$3,0,0,'Données projet'!$E$18+1,1))-AVERAGE(OFFSET($H$3,0,0,'Données projet'!$E$18+1,1))</f>
        <v>136.03899433512379</v>
      </c>
      <c r="HA157" s="60">
        <f t="shared" si="160"/>
        <v>316.56646692826882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6.4068711451834073</v>
      </c>
      <c r="HH157" s="23">
        <f>EXP(-LN(2)/25)*HH156+(1-EXP(-LN(2)/25))/(LN(2)/25)*Calculateur!HC157*Calculateur!HE157*VLOOKUP('Données projet'!$B$18,Paramètres!$A$1:$I$89,3,0)*0.475*44/12</f>
        <v>0.32391159280916265</v>
      </c>
      <c r="HI157" s="23">
        <f>EXP(-LN(2)/2)*HI156+(1-EXP(-LN(2)/2))/(LN(2)/2)*HC157*HF157*VLOOKUP('Données projet'!$B$18,Paramètres!$A$1:$I$89,3,0)*0.475*44/12</f>
        <v>6.3398041167477365E-19</v>
      </c>
      <c r="HJ157" s="24">
        <f t="shared" si="190"/>
        <v>6.7307827379925698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-4.1145540308207271E-13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384.44848355636935</v>
      </c>
      <c r="T158" s="60">
        <f t="shared" si="142"/>
        <v>203.5274665601915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-8.7434273154940449E-13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303.73499739059076</v>
      </c>
      <c r="AO158" s="60">
        <f t="shared" si="144"/>
        <v>172.32171001882188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-4.5474735088646412E-13</v>
      </c>
      <c r="BE158" s="14">
        <f>BD158*VLOOKUP('Données projet'!$B$11,Paramètres!$A$1:$I$89,3,0)*VLOOKUP('Données projet'!$B$11,Paramètres!$A$1:$I$89,5,0)</f>
        <v>-3.8307916838675739E-13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352.29660374042186</v>
      </c>
      <c r="BJ158" s="60">
        <f t="shared" si="146"/>
        <v>187.26439695305618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-8.1404323282185943E-13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277.03735509061545</v>
      </c>
      <c r="CE158" s="60">
        <f t="shared" si="148"/>
        <v>158.16416492761959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-9.7986685432260874E-13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350.3652766444938</v>
      </c>
      <c r="CZ158" s="60">
        <f t="shared" si="150"/>
        <v>197.04549436738586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3.4106051316484809E-13</v>
      </c>
      <c r="DP158" s="18">
        <f>DO158*VLOOKUP('Données projet'!$B$14,Paramètres!$A$1:$I$89,3,0)*VLOOKUP('Données projet'!$B$14,Paramètres!$A$1:$I$89,5,0)</f>
        <v>2.7134774427395314E-13</v>
      </c>
      <c r="DQ158" s="14">
        <f t="shared" si="176"/>
        <v>3.6292411711343559E-12</v>
      </c>
      <c r="DR158" s="22">
        <f t="shared" si="177"/>
        <v>6.7935256943361388E-12</v>
      </c>
      <c r="DS158" s="60">
        <f t="shared" si="125"/>
        <v>293.33333333334014</v>
      </c>
      <c r="DT158" s="60">
        <f ca="1">AVERAGE(OFFSET($DS$3,0,0,'Données projet'!$E$14+1,1))-AVERAGE(OFFSET($H$3,0,0,'Données projet'!$E$14+1,1))</f>
        <v>382.01991140382955</v>
      </c>
      <c r="DU158" s="60">
        <f t="shared" si="152"/>
        <v>389.53897948144339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323.92137573760789</v>
      </c>
      <c r="EP158" s="60">
        <f t="shared" si="154"/>
        <v>389.53897948144339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2.2737367544323206E-13</v>
      </c>
      <c r="FF158" s="18">
        <f>FE158*VLOOKUP('Données projet'!$B$16,Paramètres!$A$1:$I$89,3,0)*VLOOKUP('Données projet'!$B$16,Paramètres!$A$1:$I$89,5,0)</f>
        <v>1.8089849618263545E-13</v>
      </c>
      <c r="FG158" s="14">
        <f t="shared" si="182"/>
        <v>2.536422473342444E-12</v>
      </c>
      <c r="FH158" s="22">
        <f t="shared" si="183"/>
        <v>4.7326673552561798E-12</v>
      </c>
      <c r="FI158" s="60">
        <f t="shared" si="131"/>
        <v>293.33333333333803</v>
      </c>
      <c r="FJ158" s="60">
        <f ca="1">AVERAGE(OFFSET($FI$3,0,0,'Données projet'!$E$16+1,1))-AVERAGE(OFFSET($H$3,0,0,'Données projet'!$E$16+1,1))</f>
        <v>219.61164494001008</v>
      </c>
      <c r="FK158" s="60">
        <f t="shared" si="156"/>
        <v>219.59799863414111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-6.2527760746888816E-13</v>
      </c>
      <c r="GA158" s="18">
        <f>FZ158*VLOOKUP('Données projet'!$B$17,Paramètres!$A$1:$I$89,3,0)*VLOOKUP('Données projet'!$B$17,Paramètres!$A$1:$I$89,5,0)</f>
        <v>-2.9262992029543964E-13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147.5699668214238</v>
      </c>
      <c r="GF158" s="60">
        <f t="shared" si="158"/>
        <v>70.653739864908346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>
        <f>GU158*VLOOKUP('Données projet'!$B$18,Paramètres!$A$1:$I$89,3,0)*VLOOKUP('Données projet'!$B$18,Paramètres!$A$1:$I$89,5,0)</f>
        <v>0</v>
      </c>
      <c r="GW158" s="14" t="e">
        <f t="shared" si="188"/>
        <v>#NUM!</v>
      </c>
      <c r="GX158" s="22" t="e">
        <f t="shared" si="189"/>
        <v>#NUM!</v>
      </c>
      <c r="GY158" s="60" t="e">
        <f t="shared" si="137"/>
        <v>#NUM!</v>
      </c>
      <c r="GZ158" s="60">
        <f ca="1">AVERAGE(OFFSET($GY$3,0,0,'Données projet'!$E$18+1,1))-AVERAGE(OFFSET($H$3,0,0,'Données projet'!$E$18+1,1))</f>
        <v>136.03899433512379</v>
      </c>
      <c r="HA158" s="60">
        <f t="shared" si="160"/>
        <v>316.56646692826882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6.2812363098318951</v>
      </c>
      <c r="HH158" s="23">
        <f>EXP(-LN(2)/25)*HH157+(1-EXP(-LN(2)/25))/(LN(2)/25)*Calculateur!HC158*Calculateur!HE158*VLOOKUP('Données projet'!$B$18,Paramètres!$A$1:$I$89,3,0)*0.475*44/12</f>
        <v>0.31505421327002575</v>
      </c>
      <c r="HI158" s="23">
        <f>EXP(-LN(2)/2)*HI157+(1-EXP(-LN(2)/2))/(LN(2)/2)*HC158*HF158*VLOOKUP('Données projet'!$B$18,Paramètres!$A$1:$I$89,3,0)*0.475*44/12</f>
        <v>4.4829184823467149E-19</v>
      </c>
      <c r="HJ158" s="24">
        <f t="shared" si="190"/>
        <v>6.5962905231019207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-4.1145540308207271E-13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384.44848355636935</v>
      </c>
      <c r="T159" s="60">
        <f t="shared" si="142"/>
        <v>203.5274665601915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-8.7434273154940449E-13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303.73499739059076</v>
      </c>
      <c r="AO159" s="60">
        <f t="shared" si="144"/>
        <v>172.32171001882188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-4.5474735088646412E-13</v>
      </c>
      <c r="BE159" s="14">
        <f>BD159*VLOOKUP('Données projet'!$B$11,Paramètres!$A$1:$I$89,3,0)*VLOOKUP('Données projet'!$B$11,Paramètres!$A$1:$I$89,5,0)</f>
        <v>-3.8307916838675739E-13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352.29660374042186</v>
      </c>
      <c r="BJ159" s="60">
        <f t="shared" si="146"/>
        <v>187.26439695305618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-8.1404323282185943E-13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277.03735509061545</v>
      </c>
      <c r="CE159" s="60">
        <f t="shared" si="148"/>
        <v>158.16416492761959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-9.7986685432260874E-13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350.3652766444938</v>
      </c>
      <c r="CZ159" s="60">
        <f t="shared" si="150"/>
        <v>197.04549436738586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3.4106051316484809E-13</v>
      </c>
      <c r="DP159" s="18">
        <f>DO159*VLOOKUP('Données projet'!$B$14,Paramètres!$A$1:$I$89,3,0)*VLOOKUP('Données projet'!$B$14,Paramètres!$A$1:$I$89,5,0)</f>
        <v>2.7134774427395314E-13</v>
      </c>
      <c r="DQ159" s="14">
        <f t="shared" si="176"/>
        <v>3.6292411711343559E-12</v>
      </c>
      <c r="DR159" s="22">
        <f t="shared" si="177"/>
        <v>6.7935256943361388E-12</v>
      </c>
      <c r="DS159" s="60">
        <f t="shared" si="125"/>
        <v>293.33333333334014</v>
      </c>
      <c r="DT159" s="60">
        <f ca="1">AVERAGE(OFFSET($DS$3,0,0,'Données projet'!$E$14+1,1))-AVERAGE(OFFSET($H$3,0,0,'Données projet'!$E$14+1,1))</f>
        <v>382.01991140382955</v>
      </c>
      <c r="DU159" s="60">
        <f t="shared" si="152"/>
        <v>389.53897948144339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323.92137573760789</v>
      </c>
      <c r="EP159" s="60">
        <f t="shared" si="154"/>
        <v>389.53897948144339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2.2737367544323206E-13</v>
      </c>
      <c r="FF159" s="18">
        <f>FE159*VLOOKUP('Données projet'!$B$16,Paramètres!$A$1:$I$89,3,0)*VLOOKUP('Données projet'!$B$16,Paramètres!$A$1:$I$89,5,0)</f>
        <v>1.8089849618263545E-13</v>
      </c>
      <c r="FG159" s="14">
        <f t="shared" si="182"/>
        <v>2.536422473342444E-12</v>
      </c>
      <c r="FH159" s="22">
        <f t="shared" si="183"/>
        <v>4.7326673552561798E-12</v>
      </c>
      <c r="FI159" s="60">
        <f t="shared" si="131"/>
        <v>293.33333333333803</v>
      </c>
      <c r="FJ159" s="60">
        <f ca="1">AVERAGE(OFFSET($FI$3,0,0,'Données projet'!$E$16+1,1))-AVERAGE(OFFSET($H$3,0,0,'Données projet'!$E$16+1,1))</f>
        <v>219.61164494001008</v>
      </c>
      <c r="FK159" s="60">
        <f t="shared" si="156"/>
        <v>219.59799863414111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-6.2527760746888816E-13</v>
      </c>
      <c r="GA159" s="18">
        <f>FZ159*VLOOKUP('Données projet'!$B$17,Paramètres!$A$1:$I$89,3,0)*VLOOKUP('Données projet'!$B$17,Paramètres!$A$1:$I$89,5,0)</f>
        <v>-2.9262992029543964E-13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147.5699668214238</v>
      </c>
      <c r="GF159" s="60">
        <f t="shared" si="158"/>
        <v>70.653739864908346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>
        <f>GU159*VLOOKUP('Données projet'!$B$18,Paramètres!$A$1:$I$89,3,0)*VLOOKUP('Données projet'!$B$18,Paramètres!$A$1:$I$89,5,0)</f>
        <v>0</v>
      </c>
      <c r="GW159" s="14" t="e">
        <f t="shared" si="188"/>
        <v>#NUM!</v>
      </c>
      <c r="GX159" s="22" t="e">
        <f t="shared" si="189"/>
        <v>#NUM!</v>
      </c>
      <c r="GY159" s="60" t="e">
        <f t="shared" si="137"/>
        <v>#NUM!</v>
      </c>
      <c r="GZ159" s="60">
        <f ca="1">AVERAGE(OFFSET($GY$3,0,0,'Données projet'!$E$18+1,1))-AVERAGE(OFFSET($H$3,0,0,'Données projet'!$E$18+1,1))</f>
        <v>136.03899433512379</v>
      </c>
      <c r="HA159" s="60">
        <f t="shared" si="160"/>
        <v>316.56646692826882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6.158065096971943</v>
      </c>
      <c r="HH159" s="23">
        <f>EXP(-LN(2)/25)*HH158+(1-EXP(-LN(2)/25))/(LN(2)/25)*Calculateur!HC159*Calculateur!HE159*VLOOKUP('Données projet'!$B$18,Paramètres!$A$1:$I$89,3,0)*0.475*44/12</f>
        <v>0.3064390392401759</v>
      </c>
      <c r="HI159" s="23">
        <f>EXP(-LN(2)/2)*HI158+(1-EXP(-LN(2)/2))/(LN(2)/2)*HC159*HF159*VLOOKUP('Données projet'!$B$18,Paramètres!$A$1:$I$89,3,0)*0.475*44/12</f>
        <v>3.1699020583738683E-19</v>
      </c>
      <c r="HJ159" s="24">
        <f t="shared" si="190"/>
        <v>6.4645041362121187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-4.1145540308207271E-13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384.44848355636935</v>
      </c>
      <c r="T160" s="60">
        <f t="shared" si="142"/>
        <v>203.5274665601915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-8.7434273154940449E-13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303.73499739059076</v>
      </c>
      <c r="AO160" s="60">
        <f t="shared" si="144"/>
        <v>172.32171001882188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-4.5474735088646412E-13</v>
      </c>
      <c r="BE160" s="14">
        <f>BD160*VLOOKUP('Données projet'!$B$11,Paramètres!$A$1:$I$89,3,0)*VLOOKUP('Données projet'!$B$11,Paramètres!$A$1:$I$89,5,0)</f>
        <v>-3.8307916838675739E-13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352.29660374042186</v>
      </c>
      <c r="BJ160" s="60">
        <f t="shared" si="146"/>
        <v>187.26439695305618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-8.1404323282185943E-13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277.03735509061545</v>
      </c>
      <c r="CE160" s="60">
        <f t="shared" si="148"/>
        <v>158.16416492761959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-9.7986685432260874E-13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350.3652766444938</v>
      </c>
      <c r="CZ160" s="60">
        <f t="shared" si="150"/>
        <v>197.04549436738586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3.4106051316484809E-13</v>
      </c>
      <c r="DP160" s="18">
        <f>DO160*VLOOKUP('Données projet'!$B$14,Paramètres!$A$1:$I$89,3,0)*VLOOKUP('Données projet'!$B$14,Paramètres!$A$1:$I$89,5,0)</f>
        <v>2.7134774427395314E-13</v>
      </c>
      <c r="DQ160" s="14">
        <f t="shared" si="176"/>
        <v>3.6292411711343559E-12</v>
      </c>
      <c r="DR160" s="22">
        <f t="shared" si="177"/>
        <v>6.7935256943361388E-12</v>
      </c>
      <c r="DS160" s="60">
        <f t="shared" si="125"/>
        <v>293.33333333334014</v>
      </c>
      <c r="DT160" s="60">
        <f ca="1">AVERAGE(OFFSET($DS$3,0,0,'Données projet'!$E$14+1,1))-AVERAGE(OFFSET($H$3,0,0,'Données projet'!$E$14+1,1))</f>
        <v>382.01991140382955</v>
      </c>
      <c r="DU160" s="60">
        <f t="shared" si="152"/>
        <v>389.53897948144339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323.92137573760789</v>
      </c>
      <c r="EP160" s="60">
        <f t="shared" si="154"/>
        <v>389.53897948144339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2.2737367544323206E-13</v>
      </c>
      <c r="FF160" s="18">
        <f>FE160*VLOOKUP('Données projet'!$B$16,Paramètres!$A$1:$I$89,3,0)*VLOOKUP('Données projet'!$B$16,Paramètres!$A$1:$I$89,5,0)</f>
        <v>1.8089849618263545E-13</v>
      </c>
      <c r="FG160" s="14">
        <f t="shared" si="182"/>
        <v>2.536422473342444E-12</v>
      </c>
      <c r="FH160" s="22">
        <f t="shared" si="183"/>
        <v>4.7326673552561798E-12</v>
      </c>
      <c r="FI160" s="60">
        <f t="shared" si="131"/>
        <v>293.33333333333803</v>
      </c>
      <c r="FJ160" s="60">
        <f ca="1">AVERAGE(OFFSET($FI$3,0,0,'Données projet'!$E$16+1,1))-AVERAGE(OFFSET($H$3,0,0,'Données projet'!$E$16+1,1))</f>
        <v>219.61164494001008</v>
      </c>
      <c r="FK160" s="60">
        <f t="shared" si="156"/>
        <v>219.59799863414111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-6.2527760746888816E-13</v>
      </c>
      <c r="GA160" s="18">
        <f>FZ160*VLOOKUP('Données projet'!$B$17,Paramètres!$A$1:$I$89,3,0)*VLOOKUP('Données projet'!$B$17,Paramètres!$A$1:$I$89,5,0)</f>
        <v>-2.9262992029543964E-13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147.5699668214238</v>
      </c>
      <c r="GF160" s="60">
        <f t="shared" si="158"/>
        <v>70.653739864908346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>
        <f>GU160*VLOOKUP('Données projet'!$B$18,Paramètres!$A$1:$I$89,3,0)*VLOOKUP('Données projet'!$B$18,Paramètres!$A$1:$I$89,5,0)</f>
        <v>0</v>
      </c>
      <c r="GW160" s="14" t="e">
        <f t="shared" si="188"/>
        <v>#NUM!</v>
      </c>
      <c r="GX160" s="22" t="e">
        <f t="shared" si="189"/>
        <v>#NUM!</v>
      </c>
      <c r="GY160" s="60" t="e">
        <f t="shared" si="137"/>
        <v>#NUM!</v>
      </c>
      <c r="GZ160" s="60">
        <f ca="1">AVERAGE(OFFSET($GY$3,0,0,'Données projet'!$E$18+1,1))-AVERAGE(OFFSET($H$3,0,0,'Données projet'!$E$18+1,1))</f>
        <v>136.03899433512379</v>
      </c>
      <c r="HA160" s="60">
        <f t="shared" si="160"/>
        <v>316.56646692826882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6.0373091964691534</v>
      </c>
      <c r="HH160" s="23">
        <f>EXP(-LN(2)/25)*HH159+(1-EXP(-LN(2)/25))/(LN(2)/25)*Calculateur!HC160*Calculateur!HE160*VLOOKUP('Données projet'!$B$18,Paramètres!$A$1:$I$89,3,0)*0.475*44/12</f>
        <v>0.29805944759722458</v>
      </c>
      <c r="HI160" s="23">
        <f>EXP(-LN(2)/2)*HI159+(1-EXP(-LN(2)/2))/(LN(2)/2)*HC160*HF160*VLOOKUP('Données projet'!$B$18,Paramètres!$A$1:$I$89,3,0)*0.475*44/12</f>
        <v>2.2414592411733575E-19</v>
      </c>
      <c r="HJ160" s="24">
        <f t="shared" si="190"/>
        <v>6.3353686440663779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-4.1145540308207271E-13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384.44848355636935</v>
      </c>
      <c r="T161" s="60">
        <f t="shared" si="142"/>
        <v>203.5274665601915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-8.7434273154940449E-13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303.73499739059076</v>
      </c>
      <c r="AO161" s="60">
        <f t="shared" si="144"/>
        <v>172.32171001882188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-4.5474735088646412E-13</v>
      </c>
      <c r="BE161" s="14">
        <f>BD161*VLOOKUP('Données projet'!$B$11,Paramètres!$A$1:$I$89,3,0)*VLOOKUP('Données projet'!$B$11,Paramètres!$A$1:$I$89,5,0)</f>
        <v>-3.8307916838675739E-13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352.29660374042186</v>
      </c>
      <c r="BJ161" s="60">
        <f t="shared" si="146"/>
        <v>187.26439695305618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-8.1404323282185943E-13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277.03735509061545</v>
      </c>
      <c r="CE161" s="60">
        <f t="shared" si="148"/>
        <v>158.16416492761959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-9.7986685432260874E-13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350.3652766444938</v>
      </c>
      <c r="CZ161" s="60">
        <f t="shared" si="150"/>
        <v>197.04549436738586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3.4106051316484809E-13</v>
      </c>
      <c r="DP161" s="18">
        <f>DO161*VLOOKUP('Données projet'!$B$14,Paramètres!$A$1:$I$89,3,0)*VLOOKUP('Données projet'!$B$14,Paramètres!$A$1:$I$89,5,0)</f>
        <v>2.7134774427395314E-13</v>
      </c>
      <c r="DQ161" s="14">
        <f t="shared" si="176"/>
        <v>3.6292411711343559E-12</v>
      </c>
      <c r="DR161" s="22">
        <f t="shared" si="177"/>
        <v>6.7935256943361388E-12</v>
      </c>
      <c r="DS161" s="60">
        <f t="shared" si="125"/>
        <v>293.33333333334014</v>
      </c>
      <c r="DT161" s="60">
        <f ca="1">AVERAGE(OFFSET($DS$3,0,0,'Données projet'!$E$14+1,1))-AVERAGE(OFFSET($H$3,0,0,'Données projet'!$E$14+1,1))</f>
        <v>382.01991140382955</v>
      </c>
      <c r="DU161" s="60">
        <f t="shared" si="152"/>
        <v>389.53897948144339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323.92137573760789</v>
      </c>
      <c r="EP161" s="60">
        <f t="shared" si="154"/>
        <v>389.53897948144339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2.2737367544323206E-13</v>
      </c>
      <c r="FF161" s="18">
        <f>FE161*VLOOKUP('Données projet'!$B$16,Paramètres!$A$1:$I$89,3,0)*VLOOKUP('Données projet'!$B$16,Paramètres!$A$1:$I$89,5,0)</f>
        <v>1.8089849618263545E-13</v>
      </c>
      <c r="FG161" s="14">
        <f t="shared" si="182"/>
        <v>2.536422473342444E-12</v>
      </c>
      <c r="FH161" s="22">
        <f t="shared" si="183"/>
        <v>4.7326673552561798E-12</v>
      </c>
      <c r="FI161" s="60">
        <f t="shared" si="131"/>
        <v>293.33333333333803</v>
      </c>
      <c r="FJ161" s="60">
        <f ca="1">AVERAGE(OFFSET($FI$3,0,0,'Données projet'!$E$16+1,1))-AVERAGE(OFFSET($H$3,0,0,'Données projet'!$E$16+1,1))</f>
        <v>219.61164494001008</v>
      </c>
      <c r="FK161" s="60">
        <f t="shared" si="156"/>
        <v>219.59799863414111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-6.2527760746888816E-13</v>
      </c>
      <c r="GA161" s="18">
        <f>FZ161*VLOOKUP('Données projet'!$B$17,Paramètres!$A$1:$I$89,3,0)*VLOOKUP('Données projet'!$B$17,Paramètres!$A$1:$I$89,5,0)</f>
        <v>-2.9262992029543964E-13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147.5699668214238</v>
      </c>
      <c r="GF161" s="60">
        <f t="shared" si="158"/>
        <v>70.653739864908346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>
        <f>GU161*VLOOKUP('Données projet'!$B$18,Paramètres!$A$1:$I$89,3,0)*VLOOKUP('Données projet'!$B$18,Paramètres!$A$1:$I$89,5,0)</f>
        <v>0</v>
      </c>
      <c r="GW161" s="14" t="e">
        <f t="shared" si="188"/>
        <v>#NUM!</v>
      </c>
      <c r="GX161" s="22" t="e">
        <f t="shared" si="189"/>
        <v>#NUM!</v>
      </c>
      <c r="GY161" s="60" t="e">
        <f t="shared" si="137"/>
        <v>#NUM!</v>
      </c>
      <c r="GZ161" s="60">
        <f ca="1">AVERAGE(OFFSET($GY$3,0,0,'Données projet'!$E$18+1,1))-AVERAGE(OFFSET($H$3,0,0,'Données projet'!$E$18+1,1))</f>
        <v>136.03899433512379</v>
      </c>
      <c r="HA161" s="60">
        <f t="shared" si="160"/>
        <v>316.56646692826882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5.9189212455213971</v>
      </c>
      <c r="HH161" s="23">
        <f>EXP(-LN(2)/25)*HH160+(1-EXP(-LN(2)/25))/(LN(2)/25)*Calculateur!HC161*Calculateur!HE161*VLOOKUP('Données projet'!$B$18,Paramètres!$A$1:$I$89,3,0)*0.475*44/12</f>
        <v>0.28990899632841333</v>
      </c>
      <c r="HI161" s="23">
        <f>EXP(-LN(2)/2)*HI160+(1-EXP(-LN(2)/2))/(LN(2)/2)*HC161*HF161*VLOOKUP('Données projet'!$B$18,Paramètres!$A$1:$I$89,3,0)*0.475*44/12</f>
        <v>1.5849510291869341E-19</v>
      </c>
      <c r="HJ161" s="24">
        <f t="shared" si="190"/>
        <v>6.2088302418498102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-4.1145540308207271E-13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384.44848355636935</v>
      </c>
      <c r="T162" s="60">
        <f t="shared" si="142"/>
        <v>203.5274665601915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-8.7434273154940449E-13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303.73499739059076</v>
      </c>
      <c r="AO162" s="60">
        <f t="shared" si="144"/>
        <v>172.32171001882188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-4.5474735088646412E-13</v>
      </c>
      <c r="BE162" s="14">
        <f>BD162*VLOOKUP('Données projet'!$B$11,Paramètres!$A$1:$I$89,3,0)*VLOOKUP('Données projet'!$B$11,Paramètres!$A$1:$I$89,5,0)</f>
        <v>-3.8307916838675739E-13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352.29660374042186</v>
      </c>
      <c r="BJ162" s="60">
        <f t="shared" si="146"/>
        <v>187.26439695305618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-8.1404323282185943E-13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277.03735509061545</v>
      </c>
      <c r="CE162" s="60">
        <f t="shared" si="148"/>
        <v>158.16416492761959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-9.7986685432260874E-13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350.3652766444938</v>
      </c>
      <c r="CZ162" s="60">
        <f t="shared" si="150"/>
        <v>197.04549436738586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3.4106051316484809E-13</v>
      </c>
      <c r="DP162" s="18">
        <f>DO162*VLOOKUP('Données projet'!$B$14,Paramètres!$A$1:$I$89,3,0)*VLOOKUP('Données projet'!$B$14,Paramètres!$A$1:$I$89,5,0)</f>
        <v>2.7134774427395314E-13</v>
      </c>
      <c r="DQ162" s="14">
        <f t="shared" si="176"/>
        <v>3.6292411711343559E-12</v>
      </c>
      <c r="DR162" s="22">
        <f t="shared" si="177"/>
        <v>6.7935256943361388E-12</v>
      </c>
      <c r="DS162" s="60">
        <f t="shared" si="125"/>
        <v>293.33333333334014</v>
      </c>
      <c r="DT162" s="60">
        <f ca="1">AVERAGE(OFFSET($DS$3,0,0,'Données projet'!$E$14+1,1))-AVERAGE(OFFSET($H$3,0,0,'Données projet'!$E$14+1,1))</f>
        <v>382.01991140382955</v>
      </c>
      <c r="DU162" s="60">
        <f t="shared" si="152"/>
        <v>389.53897948144339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323.92137573760789</v>
      </c>
      <c r="EP162" s="60">
        <f t="shared" si="154"/>
        <v>389.53897948144339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2.2737367544323206E-13</v>
      </c>
      <c r="FF162" s="18">
        <f>FE162*VLOOKUP('Données projet'!$B$16,Paramètres!$A$1:$I$89,3,0)*VLOOKUP('Données projet'!$B$16,Paramètres!$A$1:$I$89,5,0)</f>
        <v>1.8089849618263545E-13</v>
      </c>
      <c r="FG162" s="14">
        <f t="shared" si="182"/>
        <v>2.536422473342444E-12</v>
      </c>
      <c r="FH162" s="22">
        <f t="shared" si="183"/>
        <v>4.7326673552561798E-12</v>
      </c>
      <c r="FI162" s="60">
        <f t="shared" si="131"/>
        <v>293.33333333333803</v>
      </c>
      <c r="FJ162" s="60">
        <f ca="1">AVERAGE(OFFSET($FI$3,0,0,'Données projet'!$E$16+1,1))-AVERAGE(OFFSET($H$3,0,0,'Données projet'!$E$16+1,1))</f>
        <v>219.61164494001008</v>
      </c>
      <c r="FK162" s="60">
        <f t="shared" si="156"/>
        <v>219.59799863414111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-6.2527760746888816E-13</v>
      </c>
      <c r="GA162" s="18">
        <f>FZ162*VLOOKUP('Données projet'!$B$17,Paramètres!$A$1:$I$89,3,0)*VLOOKUP('Données projet'!$B$17,Paramètres!$A$1:$I$89,5,0)</f>
        <v>-2.9262992029543964E-13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147.5699668214238</v>
      </c>
      <c r="GF162" s="60">
        <f t="shared" si="158"/>
        <v>70.653739864908346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>
        <f>GU162*VLOOKUP('Données projet'!$B$18,Paramètres!$A$1:$I$89,3,0)*VLOOKUP('Données projet'!$B$18,Paramètres!$A$1:$I$89,5,0)</f>
        <v>0</v>
      </c>
      <c r="GW162" s="14" t="e">
        <f t="shared" si="188"/>
        <v>#NUM!</v>
      </c>
      <c r="GX162" s="22" t="e">
        <f t="shared" si="189"/>
        <v>#NUM!</v>
      </c>
      <c r="GY162" s="60" t="e">
        <f t="shared" si="137"/>
        <v>#NUM!</v>
      </c>
      <c r="GZ162" s="60">
        <f ca="1">AVERAGE(OFFSET($GY$3,0,0,'Données projet'!$E$18+1,1))-AVERAGE(OFFSET($H$3,0,0,'Données projet'!$E$18+1,1))</f>
        <v>136.03899433512379</v>
      </c>
      <c r="HA162" s="60">
        <f t="shared" si="160"/>
        <v>316.56646692826882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5.8028548100822057</v>
      </c>
      <c r="HH162" s="23">
        <f>EXP(-LN(2)/25)*HH161+(1-EXP(-LN(2)/25))/(LN(2)/25)*Calculateur!HC162*Calculateur!HE162*VLOOKUP('Données projet'!$B$18,Paramètres!$A$1:$I$89,3,0)*0.475*44/12</f>
        <v>0.28198141957816136</v>
      </c>
      <c r="HI162" s="23">
        <f>EXP(-LN(2)/2)*HI161+(1-EXP(-LN(2)/2))/(LN(2)/2)*HC162*HF162*VLOOKUP('Données projet'!$B$18,Paramètres!$A$1:$I$89,3,0)*0.475*44/12</f>
        <v>1.1207296205866787E-19</v>
      </c>
      <c r="HJ162" s="24">
        <f t="shared" si="190"/>
        <v>6.0848362296603673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-4.1145540308207271E-13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384.44848355636935</v>
      </c>
      <c r="T163" s="60">
        <f t="shared" si="142"/>
        <v>203.5274665601915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-8.7434273154940449E-13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303.73499739059076</v>
      </c>
      <c r="AO163" s="60">
        <f t="shared" si="144"/>
        <v>172.32171001882188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-4.5474735088646412E-13</v>
      </c>
      <c r="BE163" s="14">
        <f>BD163*VLOOKUP('Données projet'!$B$11,Paramètres!$A$1:$I$89,3,0)*VLOOKUP('Données projet'!$B$11,Paramètres!$A$1:$I$89,5,0)</f>
        <v>-3.8307916838675739E-13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352.29660374042186</v>
      </c>
      <c r="BJ163" s="60">
        <f t="shared" si="146"/>
        <v>187.26439695305618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-8.1404323282185943E-13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277.03735509061545</v>
      </c>
      <c r="CE163" s="60">
        <f t="shared" si="148"/>
        <v>158.16416492761959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-9.7986685432260874E-13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350.3652766444938</v>
      </c>
      <c r="CZ163" s="60">
        <f t="shared" si="150"/>
        <v>197.04549436738586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3.4106051316484809E-13</v>
      </c>
      <c r="DP163" s="18">
        <f>DO163*VLOOKUP('Données projet'!$B$14,Paramètres!$A$1:$I$89,3,0)*VLOOKUP('Données projet'!$B$14,Paramètres!$A$1:$I$89,5,0)</f>
        <v>2.7134774427395314E-13</v>
      </c>
      <c r="DQ163" s="14">
        <f t="shared" si="176"/>
        <v>3.6292411711343559E-12</v>
      </c>
      <c r="DR163" s="22">
        <f t="shared" si="177"/>
        <v>6.7935256943361388E-12</v>
      </c>
      <c r="DS163" s="60">
        <f t="shared" si="125"/>
        <v>293.33333333334014</v>
      </c>
      <c r="DT163" s="60">
        <f ca="1">AVERAGE(OFFSET($DS$3,0,0,'Données projet'!$E$14+1,1))-AVERAGE(OFFSET($H$3,0,0,'Données projet'!$E$14+1,1))</f>
        <v>382.01991140382955</v>
      </c>
      <c r="DU163" s="60">
        <f t="shared" si="152"/>
        <v>389.53897948144339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323.92137573760789</v>
      </c>
      <c r="EP163" s="60">
        <f t="shared" si="154"/>
        <v>389.53897948144339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2.2737367544323206E-13</v>
      </c>
      <c r="FF163" s="18">
        <f>FE163*VLOOKUP('Données projet'!$B$16,Paramètres!$A$1:$I$89,3,0)*VLOOKUP('Données projet'!$B$16,Paramètres!$A$1:$I$89,5,0)</f>
        <v>1.8089849618263545E-13</v>
      </c>
      <c r="FG163" s="14">
        <f t="shared" si="182"/>
        <v>2.536422473342444E-12</v>
      </c>
      <c r="FH163" s="22">
        <f t="shared" si="183"/>
        <v>4.7326673552561798E-12</v>
      </c>
      <c r="FI163" s="60">
        <f t="shared" si="131"/>
        <v>293.33333333333803</v>
      </c>
      <c r="FJ163" s="60">
        <f ca="1">AVERAGE(OFFSET($FI$3,0,0,'Données projet'!$E$16+1,1))-AVERAGE(OFFSET($H$3,0,0,'Données projet'!$E$16+1,1))</f>
        <v>219.61164494001008</v>
      </c>
      <c r="FK163" s="60">
        <f t="shared" si="156"/>
        <v>219.59799863414111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-6.2527760746888816E-13</v>
      </c>
      <c r="GA163" s="18">
        <f>FZ163*VLOOKUP('Données projet'!$B$17,Paramètres!$A$1:$I$89,3,0)*VLOOKUP('Données projet'!$B$17,Paramètres!$A$1:$I$89,5,0)</f>
        <v>-2.9262992029543964E-13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147.5699668214238</v>
      </c>
      <c r="GF163" s="60">
        <f t="shared" si="158"/>
        <v>70.653739864908346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>
        <f>GU163*VLOOKUP('Données projet'!$B$18,Paramètres!$A$1:$I$89,3,0)*VLOOKUP('Données projet'!$B$18,Paramètres!$A$1:$I$89,5,0)</f>
        <v>0</v>
      </c>
      <c r="GW163" s="14" t="e">
        <f t="shared" si="188"/>
        <v>#NUM!</v>
      </c>
      <c r="GX163" s="22" t="e">
        <f t="shared" si="189"/>
        <v>#NUM!</v>
      </c>
      <c r="GY163" s="60" t="e">
        <f t="shared" si="137"/>
        <v>#NUM!</v>
      </c>
      <c r="GZ163" s="60">
        <f ca="1">AVERAGE(OFFSET($GY$3,0,0,'Données projet'!$E$18+1,1))-AVERAGE(OFFSET($H$3,0,0,'Données projet'!$E$18+1,1))</f>
        <v>136.03899433512379</v>
      </c>
      <c r="HA163" s="60">
        <f t="shared" si="160"/>
        <v>316.56646692826882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5.6890643666484415</v>
      </c>
      <c r="HH163" s="23">
        <f>EXP(-LN(2)/25)*HH162+(1-EXP(-LN(2)/25))/(LN(2)/25)*Calculateur!HC163*Calculateur!HE163*VLOOKUP('Données projet'!$B$18,Paramètres!$A$1:$I$89,3,0)*0.475*44/12</f>
        <v>0.27427062283103815</v>
      </c>
      <c r="HI163" s="23">
        <f>EXP(-LN(2)/2)*HI162+(1-EXP(-LN(2)/2))/(LN(2)/2)*HC163*HF163*VLOOKUP('Données projet'!$B$18,Paramètres!$A$1:$I$89,3,0)*0.475*44/12</f>
        <v>7.9247551459346707E-20</v>
      </c>
      <c r="HJ163" s="24">
        <f t="shared" si="190"/>
        <v>5.9633349894794794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-4.1145540308207271E-13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384.44848355636935</v>
      </c>
      <c r="T164" s="60">
        <f t="shared" si="142"/>
        <v>203.5274665601915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-8.7434273154940449E-13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303.73499739059076</v>
      </c>
      <c r="AO164" s="60">
        <f t="shared" si="144"/>
        <v>172.32171001882188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-4.5474735088646412E-13</v>
      </c>
      <c r="BE164" s="14">
        <f>BD164*VLOOKUP('Données projet'!$B$11,Paramètres!$A$1:$I$89,3,0)*VLOOKUP('Données projet'!$B$11,Paramètres!$A$1:$I$89,5,0)</f>
        <v>-3.8307916838675739E-13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352.29660374042186</v>
      </c>
      <c r="BJ164" s="60">
        <f t="shared" si="146"/>
        <v>187.26439695305618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-8.1404323282185943E-13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277.03735509061545</v>
      </c>
      <c r="CE164" s="60">
        <f t="shared" si="148"/>
        <v>158.16416492761959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-9.7986685432260874E-13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350.3652766444938</v>
      </c>
      <c r="CZ164" s="60">
        <f t="shared" si="150"/>
        <v>197.04549436738586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3.4106051316484809E-13</v>
      </c>
      <c r="DP164" s="18">
        <f>DO164*VLOOKUP('Données projet'!$B$14,Paramètres!$A$1:$I$89,3,0)*VLOOKUP('Données projet'!$B$14,Paramètres!$A$1:$I$89,5,0)</f>
        <v>2.7134774427395314E-13</v>
      </c>
      <c r="DQ164" s="14">
        <f t="shared" si="176"/>
        <v>3.6292411711343559E-12</v>
      </c>
      <c r="DR164" s="22">
        <f t="shared" si="177"/>
        <v>6.7935256943361388E-12</v>
      </c>
      <c r="DS164" s="60">
        <f t="shared" si="125"/>
        <v>293.33333333334014</v>
      </c>
      <c r="DT164" s="60">
        <f ca="1">AVERAGE(OFFSET($DS$3,0,0,'Données projet'!$E$14+1,1))-AVERAGE(OFFSET($H$3,0,0,'Données projet'!$E$14+1,1))</f>
        <v>382.01991140382955</v>
      </c>
      <c r="DU164" s="60">
        <f t="shared" si="152"/>
        <v>389.53897948144339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323.92137573760789</v>
      </c>
      <c r="EP164" s="60">
        <f t="shared" si="154"/>
        <v>389.53897948144339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2.2737367544323206E-13</v>
      </c>
      <c r="FF164" s="18">
        <f>FE164*VLOOKUP('Données projet'!$B$16,Paramètres!$A$1:$I$89,3,0)*VLOOKUP('Données projet'!$B$16,Paramètres!$A$1:$I$89,5,0)</f>
        <v>1.8089849618263545E-13</v>
      </c>
      <c r="FG164" s="14">
        <f t="shared" si="182"/>
        <v>2.536422473342444E-12</v>
      </c>
      <c r="FH164" s="22">
        <f t="shared" si="183"/>
        <v>4.7326673552561798E-12</v>
      </c>
      <c r="FI164" s="60">
        <f t="shared" si="131"/>
        <v>293.33333333333803</v>
      </c>
      <c r="FJ164" s="60">
        <f ca="1">AVERAGE(OFFSET($FI$3,0,0,'Données projet'!$E$16+1,1))-AVERAGE(OFFSET($H$3,0,0,'Données projet'!$E$16+1,1))</f>
        <v>219.61164494001008</v>
      </c>
      <c r="FK164" s="60">
        <f t="shared" si="156"/>
        <v>219.59799863414111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-6.2527760746888816E-13</v>
      </c>
      <c r="GA164" s="18">
        <f>FZ164*VLOOKUP('Données projet'!$B$17,Paramètres!$A$1:$I$89,3,0)*VLOOKUP('Données projet'!$B$17,Paramètres!$A$1:$I$89,5,0)</f>
        <v>-2.9262992029543964E-13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147.5699668214238</v>
      </c>
      <c r="GF164" s="60">
        <f t="shared" si="158"/>
        <v>70.653739864908346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>
        <f>GU164*VLOOKUP('Données projet'!$B$18,Paramètres!$A$1:$I$89,3,0)*VLOOKUP('Données projet'!$B$18,Paramètres!$A$1:$I$89,5,0)</f>
        <v>0</v>
      </c>
      <c r="GW164" s="14" t="e">
        <f t="shared" si="188"/>
        <v>#NUM!</v>
      </c>
      <c r="GX164" s="22" t="e">
        <f t="shared" si="189"/>
        <v>#NUM!</v>
      </c>
      <c r="GY164" s="60" t="e">
        <f t="shared" si="137"/>
        <v>#NUM!</v>
      </c>
      <c r="GZ164" s="60">
        <f ca="1">AVERAGE(OFFSET($GY$3,0,0,'Données projet'!$E$18+1,1))-AVERAGE(OFFSET($H$3,0,0,'Données projet'!$E$18+1,1))</f>
        <v>136.03899433512379</v>
      </c>
      <c r="HA164" s="60">
        <f t="shared" si="160"/>
        <v>316.56646692826882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5.5775052844050963</v>
      </c>
      <c r="HH164" s="23">
        <f>EXP(-LN(2)/25)*HH163+(1-EXP(-LN(2)/25))/(LN(2)/25)*Calculateur!HC164*Calculateur!HE164*VLOOKUP('Données projet'!$B$18,Paramètres!$A$1:$I$89,3,0)*0.475*44/12</f>
        <v>0.26677067822645822</v>
      </c>
      <c r="HI164" s="23">
        <f>EXP(-LN(2)/2)*HI163+(1-EXP(-LN(2)/2))/(LN(2)/2)*HC164*HF164*VLOOKUP('Données projet'!$B$18,Paramètres!$A$1:$I$89,3,0)*0.475*44/12</f>
        <v>5.6036481029333936E-20</v>
      </c>
      <c r="HJ164" s="24">
        <f t="shared" si="190"/>
        <v>5.8442759626315546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-4.1145540308207271E-13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384.44848355636935</v>
      </c>
      <c r="T165" s="60">
        <f t="shared" si="142"/>
        <v>203.5274665601915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-8.7434273154940449E-13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303.73499739059076</v>
      </c>
      <c r="AO165" s="60">
        <f t="shared" si="144"/>
        <v>172.32171001882188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-4.5474735088646412E-13</v>
      </c>
      <c r="BE165" s="14">
        <f>BD165*VLOOKUP('Données projet'!$B$11,Paramètres!$A$1:$I$89,3,0)*VLOOKUP('Données projet'!$B$11,Paramètres!$A$1:$I$89,5,0)</f>
        <v>-3.8307916838675739E-13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352.29660374042186</v>
      </c>
      <c r="BJ165" s="60">
        <f t="shared" si="146"/>
        <v>187.26439695305618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-8.1404323282185943E-13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277.03735509061545</v>
      </c>
      <c r="CE165" s="60">
        <f t="shared" si="148"/>
        <v>158.16416492761959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-9.7986685432260874E-13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350.3652766444938</v>
      </c>
      <c r="CZ165" s="60">
        <f t="shared" si="150"/>
        <v>197.04549436738586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3.4106051316484809E-13</v>
      </c>
      <c r="DP165" s="18">
        <f>DO165*VLOOKUP('Données projet'!$B$14,Paramètres!$A$1:$I$89,3,0)*VLOOKUP('Données projet'!$B$14,Paramètres!$A$1:$I$89,5,0)</f>
        <v>2.7134774427395314E-13</v>
      </c>
      <c r="DQ165" s="14">
        <f t="shared" si="176"/>
        <v>3.6292411711343559E-12</v>
      </c>
      <c r="DR165" s="22">
        <f t="shared" si="177"/>
        <v>6.7935256943361388E-12</v>
      </c>
      <c r="DS165" s="60">
        <f t="shared" si="125"/>
        <v>293.33333333334014</v>
      </c>
      <c r="DT165" s="60">
        <f ca="1">AVERAGE(OFFSET($DS$3,0,0,'Données projet'!$E$14+1,1))-AVERAGE(OFFSET($H$3,0,0,'Données projet'!$E$14+1,1))</f>
        <v>382.01991140382955</v>
      </c>
      <c r="DU165" s="60">
        <f t="shared" si="152"/>
        <v>389.53897948144339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323.92137573760789</v>
      </c>
      <c r="EP165" s="60">
        <f t="shared" si="154"/>
        <v>389.53897948144339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2.2737367544323206E-13</v>
      </c>
      <c r="FF165" s="18">
        <f>FE165*VLOOKUP('Données projet'!$B$16,Paramètres!$A$1:$I$89,3,0)*VLOOKUP('Données projet'!$B$16,Paramètres!$A$1:$I$89,5,0)</f>
        <v>1.8089849618263545E-13</v>
      </c>
      <c r="FG165" s="14">
        <f t="shared" si="182"/>
        <v>2.536422473342444E-12</v>
      </c>
      <c r="FH165" s="22">
        <f t="shared" si="183"/>
        <v>4.7326673552561798E-12</v>
      </c>
      <c r="FI165" s="60">
        <f t="shared" si="131"/>
        <v>293.33333333333803</v>
      </c>
      <c r="FJ165" s="60">
        <f ca="1">AVERAGE(OFFSET($FI$3,0,0,'Données projet'!$E$16+1,1))-AVERAGE(OFFSET($H$3,0,0,'Données projet'!$E$16+1,1))</f>
        <v>219.61164494001008</v>
      </c>
      <c r="FK165" s="60">
        <f t="shared" si="156"/>
        <v>219.59799863414111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-6.2527760746888816E-13</v>
      </c>
      <c r="GA165" s="18">
        <f>FZ165*VLOOKUP('Données projet'!$B$17,Paramètres!$A$1:$I$89,3,0)*VLOOKUP('Données projet'!$B$17,Paramètres!$A$1:$I$89,5,0)</f>
        <v>-2.9262992029543964E-13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147.5699668214238</v>
      </c>
      <c r="GF165" s="60">
        <f t="shared" si="158"/>
        <v>70.653739864908346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>
        <f>GU165*VLOOKUP('Données projet'!$B$18,Paramètres!$A$1:$I$89,3,0)*VLOOKUP('Données projet'!$B$18,Paramètres!$A$1:$I$89,5,0)</f>
        <v>0</v>
      </c>
      <c r="GW165" s="14" t="e">
        <f t="shared" si="188"/>
        <v>#NUM!</v>
      </c>
      <c r="GX165" s="22" t="e">
        <f t="shared" si="189"/>
        <v>#NUM!</v>
      </c>
      <c r="GY165" s="60" t="e">
        <f t="shared" si="137"/>
        <v>#NUM!</v>
      </c>
      <c r="GZ165" s="60">
        <f ca="1">AVERAGE(OFFSET($GY$3,0,0,'Données projet'!$E$18+1,1))-AVERAGE(OFFSET($H$3,0,0,'Données projet'!$E$18+1,1))</f>
        <v>136.03899433512379</v>
      </c>
      <c r="HA165" s="60">
        <f t="shared" si="160"/>
        <v>316.56646692826882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5.4681338077202222</v>
      </c>
      <c r="HH165" s="23">
        <f>EXP(-LN(2)/25)*HH164+(1-EXP(-LN(2)/25))/(LN(2)/25)*Calculateur!HC165*Calculateur!HE165*VLOOKUP('Données projet'!$B$18,Paramètres!$A$1:$I$89,3,0)*0.475*44/12</f>
        <v>0.25947582000149549</v>
      </c>
      <c r="HI165" s="23">
        <f>EXP(-LN(2)/2)*HI164+(1-EXP(-LN(2)/2))/(LN(2)/2)*HC165*HF165*VLOOKUP('Données projet'!$B$18,Paramètres!$A$1:$I$89,3,0)*0.475*44/12</f>
        <v>3.9623775729673353E-20</v>
      </c>
      <c r="HJ165" s="24">
        <f t="shared" si="190"/>
        <v>5.7276096277217174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-4.1145540308207271E-13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384.44848355636935</v>
      </c>
      <c r="T166" s="60">
        <f t="shared" si="142"/>
        <v>203.5274665601915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-8.7434273154940449E-13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303.73499739059076</v>
      </c>
      <c r="AO166" s="60">
        <f t="shared" si="144"/>
        <v>172.32171001882188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-4.5474735088646412E-13</v>
      </c>
      <c r="BE166" s="14">
        <f>BD166*VLOOKUP('Données projet'!$B$11,Paramètres!$A$1:$I$89,3,0)*VLOOKUP('Données projet'!$B$11,Paramètres!$A$1:$I$89,5,0)</f>
        <v>-3.8307916838675739E-13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352.29660374042186</v>
      </c>
      <c r="BJ166" s="60">
        <f t="shared" si="146"/>
        <v>187.26439695305618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-8.1404323282185943E-13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277.03735509061545</v>
      </c>
      <c r="CE166" s="60">
        <f t="shared" si="148"/>
        <v>158.16416492761959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-9.7986685432260874E-13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350.3652766444938</v>
      </c>
      <c r="CZ166" s="60">
        <f t="shared" si="150"/>
        <v>197.04549436738586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3.4106051316484809E-13</v>
      </c>
      <c r="DP166" s="18">
        <f>DO166*VLOOKUP('Données projet'!$B$14,Paramètres!$A$1:$I$89,3,0)*VLOOKUP('Données projet'!$B$14,Paramètres!$A$1:$I$89,5,0)</f>
        <v>2.7134774427395314E-13</v>
      </c>
      <c r="DQ166" s="14">
        <f t="shared" si="176"/>
        <v>3.6292411711343559E-12</v>
      </c>
      <c r="DR166" s="22">
        <f t="shared" si="177"/>
        <v>6.7935256943361388E-12</v>
      </c>
      <c r="DS166" s="60">
        <f t="shared" si="125"/>
        <v>293.33333333334014</v>
      </c>
      <c r="DT166" s="60">
        <f ca="1">AVERAGE(OFFSET($DS$3,0,0,'Données projet'!$E$14+1,1))-AVERAGE(OFFSET($H$3,0,0,'Données projet'!$E$14+1,1))</f>
        <v>382.01991140382955</v>
      </c>
      <c r="DU166" s="60">
        <f t="shared" si="152"/>
        <v>389.53897948144339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323.92137573760789</v>
      </c>
      <c r="EP166" s="60">
        <f t="shared" si="154"/>
        <v>389.53897948144339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2.2737367544323206E-13</v>
      </c>
      <c r="FF166" s="18">
        <f>FE166*VLOOKUP('Données projet'!$B$16,Paramètres!$A$1:$I$89,3,0)*VLOOKUP('Données projet'!$B$16,Paramètres!$A$1:$I$89,5,0)</f>
        <v>1.8089849618263545E-13</v>
      </c>
      <c r="FG166" s="14">
        <f t="shared" si="182"/>
        <v>2.536422473342444E-12</v>
      </c>
      <c r="FH166" s="22">
        <f t="shared" si="183"/>
        <v>4.7326673552561798E-12</v>
      </c>
      <c r="FI166" s="60">
        <f t="shared" si="131"/>
        <v>293.33333333333803</v>
      </c>
      <c r="FJ166" s="60">
        <f ca="1">AVERAGE(OFFSET($FI$3,0,0,'Données projet'!$E$16+1,1))-AVERAGE(OFFSET($H$3,0,0,'Données projet'!$E$16+1,1))</f>
        <v>219.61164494001008</v>
      </c>
      <c r="FK166" s="60">
        <f t="shared" si="156"/>
        <v>219.59799863414111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-6.2527760746888816E-13</v>
      </c>
      <c r="GA166" s="18">
        <f>FZ166*VLOOKUP('Données projet'!$B$17,Paramètres!$A$1:$I$89,3,0)*VLOOKUP('Données projet'!$B$17,Paramètres!$A$1:$I$89,5,0)</f>
        <v>-2.9262992029543964E-13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147.5699668214238</v>
      </c>
      <c r="GF166" s="60">
        <f t="shared" si="158"/>
        <v>70.653739864908346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>
        <f>GU166*VLOOKUP('Données projet'!$B$18,Paramètres!$A$1:$I$89,3,0)*VLOOKUP('Données projet'!$B$18,Paramètres!$A$1:$I$89,5,0)</f>
        <v>0</v>
      </c>
      <c r="GW166" s="14" t="e">
        <f t="shared" si="188"/>
        <v>#NUM!</v>
      </c>
      <c r="GX166" s="22" t="e">
        <f t="shared" si="189"/>
        <v>#NUM!</v>
      </c>
      <c r="GY166" s="60" t="e">
        <f t="shared" si="137"/>
        <v>#NUM!</v>
      </c>
      <c r="GZ166" s="60">
        <f ca="1">AVERAGE(OFFSET($GY$3,0,0,'Données projet'!$E$18+1,1))-AVERAGE(OFFSET($H$3,0,0,'Données projet'!$E$18+1,1))</f>
        <v>136.03899433512379</v>
      </c>
      <c r="HA166" s="60">
        <f t="shared" si="160"/>
        <v>316.56646692826882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5.3609070389831244</v>
      </c>
      <c r="HH166" s="23">
        <f>EXP(-LN(2)/25)*HH165+(1-EXP(-LN(2)/25))/(LN(2)/25)*Calculateur!HC166*Calculateur!HE166*VLOOKUP('Données projet'!$B$18,Paramètres!$A$1:$I$89,3,0)*0.475*44/12</f>
        <v>0.25238044005831428</v>
      </c>
      <c r="HI166" s="23">
        <f>EXP(-LN(2)/2)*HI165+(1-EXP(-LN(2)/2))/(LN(2)/2)*HC166*HF166*VLOOKUP('Données projet'!$B$18,Paramètres!$A$1:$I$89,3,0)*0.475*44/12</f>
        <v>2.8018240514666968E-20</v>
      </c>
      <c r="HJ166" s="24">
        <f t="shared" si="190"/>
        <v>5.6132874790414391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-4.1145540308207271E-13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384.44848355636935</v>
      </c>
      <c r="T167" s="60">
        <f t="shared" si="142"/>
        <v>203.5274665601915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-8.7434273154940449E-13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303.73499739059076</v>
      </c>
      <c r="AO167" s="60">
        <f t="shared" si="144"/>
        <v>172.32171001882188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-4.5474735088646412E-13</v>
      </c>
      <c r="BE167" s="14">
        <f>BD167*VLOOKUP('Données projet'!$B$11,Paramètres!$A$1:$I$89,3,0)*VLOOKUP('Données projet'!$B$11,Paramètres!$A$1:$I$89,5,0)</f>
        <v>-3.8307916838675739E-13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352.29660374042186</v>
      </c>
      <c r="BJ167" s="60">
        <f t="shared" si="146"/>
        <v>187.26439695305618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-8.1404323282185943E-13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277.03735509061545</v>
      </c>
      <c r="CE167" s="60">
        <f t="shared" si="148"/>
        <v>158.16416492761959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-9.7986685432260874E-13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350.3652766444938</v>
      </c>
      <c r="CZ167" s="60">
        <f t="shared" si="150"/>
        <v>197.04549436738586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3.4106051316484809E-13</v>
      </c>
      <c r="DP167" s="18">
        <f>DO167*VLOOKUP('Données projet'!$B$14,Paramètres!$A$1:$I$89,3,0)*VLOOKUP('Données projet'!$B$14,Paramètres!$A$1:$I$89,5,0)</f>
        <v>2.7134774427395314E-13</v>
      </c>
      <c r="DQ167" s="14">
        <f t="shared" si="176"/>
        <v>3.6292411711343559E-12</v>
      </c>
      <c r="DR167" s="22">
        <f t="shared" si="177"/>
        <v>6.7935256943361388E-12</v>
      </c>
      <c r="DS167" s="60">
        <f t="shared" si="125"/>
        <v>293.33333333334014</v>
      </c>
      <c r="DT167" s="60">
        <f ca="1">AVERAGE(OFFSET($DS$3,0,0,'Données projet'!$E$14+1,1))-AVERAGE(OFFSET($H$3,0,0,'Données projet'!$E$14+1,1))</f>
        <v>382.01991140382955</v>
      </c>
      <c r="DU167" s="60">
        <f t="shared" si="152"/>
        <v>389.53897948144339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323.92137573760789</v>
      </c>
      <c r="EP167" s="60">
        <f t="shared" si="154"/>
        <v>389.53897948144339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2.2737367544323206E-13</v>
      </c>
      <c r="FF167" s="18">
        <f>FE167*VLOOKUP('Données projet'!$B$16,Paramètres!$A$1:$I$89,3,0)*VLOOKUP('Données projet'!$B$16,Paramètres!$A$1:$I$89,5,0)</f>
        <v>1.8089849618263545E-13</v>
      </c>
      <c r="FG167" s="14">
        <f t="shared" si="182"/>
        <v>2.536422473342444E-12</v>
      </c>
      <c r="FH167" s="22">
        <f t="shared" si="183"/>
        <v>4.7326673552561798E-12</v>
      </c>
      <c r="FI167" s="60">
        <f t="shared" si="131"/>
        <v>293.33333333333803</v>
      </c>
      <c r="FJ167" s="60">
        <f ca="1">AVERAGE(OFFSET($FI$3,0,0,'Données projet'!$E$16+1,1))-AVERAGE(OFFSET($H$3,0,0,'Données projet'!$E$16+1,1))</f>
        <v>219.61164494001008</v>
      </c>
      <c r="FK167" s="60">
        <f t="shared" si="156"/>
        <v>219.59799863414111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-6.2527760746888816E-13</v>
      </c>
      <c r="GA167" s="18">
        <f>FZ167*VLOOKUP('Données projet'!$B$17,Paramètres!$A$1:$I$89,3,0)*VLOOKUP('Données projet'!$B$17,Paramètres!$A$1:$I$89,5,0)</f>
        <v>-2.9262992029543964E-13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147.5699668214238</v>
      </c>
      <c r="GF167" s="60">
        <f t="shared" si="158"/>
        <v>70.653739864908346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>
        <f>GU167*VLOOKUP('Données projet'!$B$18,Paramètres!$A$1:$I$89,3,0)*VLOOKUP('Données projet'!$B$18,Paramètres!$A$1:$I$89,5,0)</f>
        <v>0</v>
      </c>
      <c r="GW167" s="14" t="e">
        <f t="shared" si="188"/>
        <v>#NUM!</v>
      </c>
      <c r="GX167" s="22" t="e">
        <f t="shared" si="189"/>
        <v>#NUM!</v>
      </c>
      <c r="GY167" s="60" t="e">
        <f t="shared" si="137"/>
        <v>#NUM!</v>
      </c>
      <c r="GZ167" s="60">
        <f ca="1">AVERAGE(OFFSET($GY$3,0,0,'Données projet'!$E$18+1,1))-AVERAGE(OFFSET($H$3,0,0,'Données projet'!$E$18+1,1))</f>
        <v>136.03899433512379</v>
      </c>
      <c r="HA167" s="60">
        <f t="shared" si="160"/>
        <v>316.56646692826882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5.2557829217790903</v>
      </c>
      <c r="HH167" s="23">
        <f>EXP(-LN(2)/25)*HH166+(1-EXP(-LN(2)/25))/(LN(2)/25)*Calculateur!HC167*Calculateur!HE167*VLOOKUP('Données projet'!$B$18,Paramètres!$A$1:$I$89,3,0)*0.475*44/12</f>
        <v>0.24547908365280915</v>
      </c>
      <c r="HI167" s="23">
        <f>EXP(-LN(2)/2)*HI166+(1-EXP(-LN(2)/2))/(LN(2)/2)*HC167*HF167*VLOOKUP('Données projet'!$B$18,Paramètres!$A$1:$I$89,3,0)*0.475*44/12</f>
        <v>1.9811887864836677E-20</v>
      </c>
      <c r="HJ167" s="24">
        <f t="shared" si="190"/>
        <v>5.5012620054318999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-4.1145540308207271E-13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384.44848355636935</v>
      </c>
      <c r="T168" s="60">
        <f t="shared" si="142"/>
        <v>203.5274665601915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-8.7434273154940449E-13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303.73499739059076</v>
      </c>
      <c r="AO168" s="60">
        <f t="shared" si="144"/>
        <v>172.32171001882188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-4.5474735088646412E-13</v>
      </c>
      <c r="BE168" s="14">
        <f>BD168*VLOOKUP('Données projet'!$B$11,Paramètres!$A$1:$I$89,3,0)*VLOOKUP('Données projet'!$B$11,Paramètres!$A$1:$I$89,5,0)</f>
        <v>-3.8307916838675739E-13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352.29660374042186</v>
      </c>
      <c r="BJ168" s="60">
        <f t="shared" si="146"/>
        <v>187.26439695305618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-8.1404323282185943E-13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277.03735509061545</v>
      </c>
      <c r="CE168" s="60">
        <f t="shared" si="148"/>
        <v>158.16416492761959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-9.7986685432260874E-13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350.3652766444938</v>
      </c>
      <c r="CZ168" s="60">
        <f t="shared" si="150"/>
        <v>197.04549436738586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3.4106051316484809E-13</v>
      </c>
      <c r="DP168" s="18">
        <f>DO168*VLOOKUP('Données projet'!$B$14,Paramètres!$A$1:$I$89,3,0)*VLOOKUP('Données projet'!$B$14,Paramètres!$A$1:$I$89,5,0)</f>
        <v>2.7134774427395314E-13</v>
      </c>
      <c r="DQ168" s="14">
        <f t="shared" si="176"/>
        <v>3.6292411711343559E-12</v>
      </c>
      <c r="DR168" s="22">
        <f t="shared" si="177"/>
        <v>6.7935256943361388E-12</v>
      </c>
      <c r="DS168" s="60">
        <f t="shared" si="125"/>
        <v>293.33333333334014</v>
      </c>
      <c r="DT168" s="60">
        <f ca="1">AVERAGE(OFFSET($DS$3,0,0,'Données projet'!$E$14+1,1))-AVERAGE(OFFSET($H$3,0,0,'Données projet'!$E$14+1,1))</f>
        <v>382.01991140382955</v>
      </c>
      <c r="DU168" s="60">
        <f t="shared" si="152"/>
        <v>389.53897948144339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323.92137573760789</v>
      </c>
      <c r="EP168" s="60">
        <f t="shared" si="154"/>
        <v>389.53897948144339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2.2737367544323206E-13</v>
      </c>
      <c r="FF168" s="18">
        <f>FE168*VLOOKUP('Données projet'!$B$16,Paramètres!$A$1:$I$89,3,0)*VLOOKUP('Données projet'!$B$16,Paramètres!$A$1:$I$89,5,0)</f>
        <v>1.8089849618263545E-13</v>
      </c>
      <c r="FG168" s="14">
        <f t="shared" si="182"/>
        <v>2.536422473342444E-12</v>
      </c>
      <c r="FH168" s="22">
        <f t="shared" si="183"/>
        <v>4.7326673552561798E-12</v>
      </c>
      <c r="FI168" s="60">
        <f t="shared" si="131"/>
        <v>293.33333333333803</v>
      </c>
      <c r="FJ168" s="60">
        <f ca="1">AVERAGE(OFFSET($FI$3,0,0,'Données projet'!$E$16+1,1))-AVERAGE(OFFSET($H$3,0,0,'Données projet'!$E$16+1,1))</f>
        <v>219.61164494001008</v>
      </c>
      <c r="FK168" s="60">
        <f t="shared" si="156"/>
        <v>219.59799863414111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-6.2527760746888816E-13</v>
      </c>
      <c r="GA168" s="18">
        <f>FZ168*VLOOKUP('Données projet'!$B$17,Paramètres!$A$1:$I$89,3,0)*VLOOKUP('Données projet'!$B$17,Paramètres!$A$1:$I$89,5,0)</f>
        <v>-2.9262992029543964E-13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147.5699668214238</v>
      </c>
      <c r="GF168" s="60">
        <f t="shared" si="158"/>
        <v>70.653739864908346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>
        <f>GU168*VLOOKUP('Données projet'!$B$18,Paramètres!$A$1:$I$89,3,0)*VLOOKUP('Données projet'!$B$18,Paramètres!$A$1:$I$89,5,0)</f>
        <v>0</v>
      </c>
      <c r="GW168" s="14" t="e">
        <f t="shared" si="188"/>
        <v>#NUM!</v>
      </c>
      <c r="GX168" s="22" t="e">
        <f t="shared" si="189"/>
        <v>#NUM!</v>
      </c>
      <c r="GY168" s="60" t="e">
        <f t="shared" si="137"/>
        <v>#NUM!</v>
      </c>
      <c r="GZ168" s="60">
        <f ca="1">AVERAGE(OFFSET($GY$3,0,0,'Données projet'!$E$18+1,1))-AVERAGE(OFFSET($H$3,0,0,'Données projet'!$E$18+1,1))</f>
        <v>136.03899433512379</v>
      </c>
      <c r="HA168" s="60">
        <f t="shared" si="160"/>
        <v>316.56646692826882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5.1527202243940469</v>
      </c>
      <c r="HH168" s="23">
        <f>EXP(-LN(2)/25)*HH167+(1-EXP(-LN(2)/25))/(LN(2)/25)*Calculateur!HC168*Calculateur!HE168*VLOOKUP('Données projet'!$B$18,Paramètres!$A$1:$I$89,3,0)*0.475*44/12</f>
        <v>0.23876644520113913</v>
      </c>
      <c r="HI168" s="23">
        <f>EXP(-LN(2)/2)*HI167+(1-EXP(-LN(2)/2))/(LN(2)/2)*HC168*HF168*VLOOKUP('Données projet'!$B$18,Paramètres!$A$1:$I$89,3,0)*0.475*44/12</f>
        <v>1.4009120257333484E-20</v>
      </c>
      <c r="HJ168" s="24">
        <f t="shared" si="190"/>
        <v>5.391486669595186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-4.1145540308207271E-13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384.44848355636935</v>
      </c>
      <c r="T169" s="60">
        <f t="shared" si="142"/>
        <v>203.5274665601915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-8.7434273154940449E-13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303.73499739059076</v>
      </c>
      <c r="AO169" s="60">
        <f t="shared" si="144"/>
        <v>172.32171001882188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-4.5474735088646412E-13</v>
      </c>
      <c r="BE169" s="14">
        <f>BD169*VLOOKUP('Données projet'!$B$11,Paramètres!$A$1:$I$89,3,0)*VLOOKUP('Données projet'!$B$11,Paramètres!$A$1:$I$89,5,0)</f>
        <v>-3.8307916838675739E-13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352.29660374042186</v>
      </c>
      <c r="BJ169" s="60">
        <f t="shared" si="146"/>
        <v>187.26439695305618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-8.1404323282185943E-13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277.03735509061545</v>
      </c>
      <c r="CE169" s="60">
        <f t="shared" si="148"/>
        <v>158.16416492761959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-9.7986685432260874E-13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350.3652766444938</v>
      </c>
      <c r="CZ169" s="60">
        <f t="shared" si="150"/>
        <v>197.04549436738586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3.4106051316484809E-13</v>
      </c>
      <c r="DP169" s="18">
        <f>DO169*VLOOKUP('Données projet'!$B$14,Paramètres!$A$1:$I$89,3,0)*VLOOKUP('Données projet'!$B$14,Paramètres!$A$1:$I$89,5,0)</f>
        <v>2.7134774427395314E-13</v>
      </c>
      <c r="DQ169" s="14">
        <f t="shared" si="176"/>
        <v>3.6292411711343559E-12</v>
      </c>
      <c r="DR169" s="22">
        <f t="shared" si="177"/>
        <v>6.7935256943361388E-12</v>
      </c>
      <c r="DS169" s="60">
        <f t="shared" si="125"/>
        <v>293.33333333334014</v>
      </c>
      <c r="DT169" s="60">
        <f ca="1">AVERAGE(OFFSET($DS$3,0,0,'Données projet'!$E$14+1,1))-AVERAGE(OFFSET($H$3,0,0,'Données projet'!$E$14+1,1))</f>
        <v>382.01991140382955</v>
      </c>
      <c r="DU169" s="60">
        <f t="shared" si="152"/>
        <v>389.53897948144339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323.92137573760789</v>
      </c>
      <c r="EP169" s="60">
        <f t="shared" si="154"/>
        <v>389.53897948144339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2.2737367544323206E-13</v>
      </c>
      <c r="FF169" s="18">
        <f>FE169*VLOOKUP('Données projet'!$B$16,Paramètres!$A$1:$I$89,3,0)*VLOOKUP('Données projet'!$B$16,Paramètres!$A$1:$I$89,5,0)</f>
        <v>1.8089849618263545E-13</v>
      </c>
      <c r="FG169" s="14">
        <f t="shared" si="182"/>
        <v>2.536422473342444E-12</v>
      </c>
      <c r="FH169" s="22">
        <f t="shared" si="183"/>
        <v>4.7326673552561798E-12</v>
      </c>
      <c r="FI169" s="60">
        <f t="shared" si="131"/>
        <v>293.33333333333803</v>
      </c>
      <c r="FJ169" s="60">
        <f ca="1">AVERAGE(OFFSET($FI$3,0,0,'Données projet'!$E$16+1,1))-AVERAGE(OFFSET($H$3,0,0,'Données projet'!$E$16+1,1))</f>
        <v>219.61164494001008</v>
      </c>
      <c r="FK169" s="60">
        <f t="shared" si="156"/>
        <v>219.59799863414111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-6.2527760746888816E-13</v>
      </c>
      <c r="GA169" s="18">
        <f>FZ169*VLOOKUP('Données projet'!$B$17,Paramètres!$A$1:$I$89,3,0)*VLOOKUP('Données projet'!$B$17,Paramètres!$A$1:$I$89,5,0)</f>
        <v>-2.9262992029543964E-13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147.5699668214238</v>
      </c>
      <c r="GF169" s="60">
        <f t="shared" si="158"/>
        <v>70.653739864908346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>
        <f>GU169*VLOOKUP('Données projet'!$B$18,Paramètres!$A$1:$I$89,3,0)*VLOOKUP('Données projet'!$B$18,Paramètres!$A$1:$I$89,5,0)</f>
        <v>0</v>
      </c>
      <c r="GW169" s="14" t="e">
        <f t="shared" si="188"/>
        <v>#NUM!</v>
      </c>
      <c r="GX169" s="22" t="e">
        <f t="shared" si="189"/>
        <v>#NUM!</v>
      </c>
      <c r="GY169" s="60" t="e">
        <f t="shared" si="137"/>
        <v>#NUM!</v>
      </c>
      <c r="GZ169" s="60">
        <f ca="1">AVERAGE(OFFSET($GY$3,0,0,'Données projet'!$E$18+1,1))-AVERAGE(OFFSET($H$3,0,0,'Données projet'!$E$18+1,1))</f>
        <v>136.03899433512379</v>
      </c>
      <c r="HA169" s="60">
        <f t="shared" si="160"/>
        <v>316.56646692826882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5.0516785236426855</v>
      </c>
      <c r="HH169" s="23">
        <f>EXP(-LN(2)/25)*HH168+(1-EXP(-LN(2)/25))/(LN(2)/25)*Calculateur!HC169*Calculateur!HE169*VLOOKUP('Données projet'!$B$18,Paramètres!$A$1:$I$89,3,0)*0.475*44/12</f>
        <v>0.23223736420093233</v>
      </c>
      <c r="HI169" s="23">
        <f>EXP(-LN(2)/2)*HI168+(1-EXP(-LN(2)/2))/(LN(2)/2)*HC169*HF169*VLOOKUP('Données projet'!$B$18,Paramètres!$A$1:$I$89,3,0)*0.475*44/12</f>
        <v>9.9059439324183383E-21</v>
      </c>
      <c r="HJ169" s="24">
        <f t="shared" si="190"/>
        <v>5.2839158878436177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-4.1145540308207271E-13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384.44848355636935</v>
      </c>
      <c r="T170" s="60">
        <f t="shared" si="142"/>
        <v>203.5274665601915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-8.7434273154940449E-13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303.73499739059076</v>
      </c>
      <c r="AO170" s="60">
        <f t="shared" si="144"/>
        <v>172.32171001882188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-4.5474735088646412E-13</v>
      </c>
      <c r="BE170" s="14">
        <f>BD170*VLOOKUP('Données projet'!$B$11,Paramètres!$A$1:$I$89,3,0)*VLOOKUP('Données projet'!$B$11,Paramètres!$A$1:$I$89,5,0)</f>
        <v>-3.8307916838675739E-13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352.29660374042186</v>
      </c>
      <c r="BJ170" s="60">
        <f t="shared" si="146"/>
        <v>187.26439695305618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-8.1404323282185943E-13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277.03735509061545</v>
      </c>
      <c r="CE170" s="60">
        <f t="shared" si="148"/>
        <v>158.16416492761959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-9.7986685432260874E-13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350.3652766444938</v>
      </c>
      <c r="CZ170" s="60">
        <f t="shared" si="150"/>
        <v>197.04549436738586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3.4106051316484809E-13</v>
      </c>
      <c r="DP170" s="18">
        <f>DO170*VLOOKUP('Données projet'!$B$14,Paramètres!$A$1:$I$89,3,0)*VLOOKUP('Données projet'!$B$14,Paramètres!$A$1:$I$89,5,0)</f>
        <v>2.7134774427395314E-13</v>
      </c>
      <c r="DQ170" s="14">
        <f t="shared" si="176"/>
        <v>3.6292411711343559E-12</v>
      </c>
      <c r="DR170" s="22">
        <f t="shared" si="177"/>
        <v>6.7935256943361388E-12</v>
      </c>
      <c r="DS170" s="60">
        <f t="shared" si="125"/>
        <v>293.33333333334014</v>
      </c>
      <c r="DT170" s="60">
        <f ca="1">AVERAGE(OFFSET($DS$3,0,0,'Données projet'!$E$14+1,1))-AVERAGE(OFFSET($H$3,0,0,'Données projet'!$E$14+1,1))</f>
        <v>382.01991140382955</v>
      </c>
      <c r="DU170" s="60">
        <f t="shared" si="152"/>
        <v>389.53897948144339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323.92137573760789</v>
      </c>
      <c r="EP170" s="60">
        <f t="shared" si="154"/>
        <v>389.53897948144339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2.2737367544323206E-13</v>
      </c>
      <c r="FF170" s="18">
        <f>FE170*VLOOKUP('Données projet'!$B$16,Paramètres!$A$1:$I$89,3,0)*VLOOKUP('Données projet'!$B$16,Paramètres!$A$1:$I$89,5,0)</f>
        <v>1.8089849618263545E-13</v>
      </c>
      <c r="FG170" s="14">
        <f t="shared" si="182"/>
        <v>2.536422473342444E-12</v>
      </c>
      <c r="FH170" s="22">
        <f t="shared" si="183"/>
        <v>4.7326673552561798E-12</v>
      </c>
      <c r="FI170" s="60">
        <f t="shared" si="131"/>
        <v>293.33333333333803</v>
      </c>
      <c r="FJ170" s="60">
        <f ca="1">AVERAGE(OFFSET($FI$3,0,0,'Données projet'!$E$16+1,1))-AVERAGE(OFFSET($H$3,0,0,'Données projet'!$E$16+1,1))</f>
        <v>219.61164494001008</v>
      </c>
      <c r="FK170" s="60">
        <f t="shared" si="156"/>
        <v>219.59799863414111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-6.2527760746888816E-13</v>
      </c>
      <c r="GA170" s="18">
        <f>FZ170*VLOOKUP('Données projet'!$B$17,Paramètres!$A$1:$I$89,3,0)*VLOOKUP('Données projet'!$B$17,Paramètres!$A$1:$I$89,5,0)</f>
        <v>-2.9262992029543964E-13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147.5699668214238</v>
      </c>
      <c r="GF170" s="60">
        <f t="shared" si="158"/>
        <v>70.653739864908346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>
        <f>GU170*VLOOKUP('Données projet'!$B$18,Paramètres!$A$1:$I$89,3,0)*VLOOKUP('Données projet'!$B$18,Paramètres!$A$1:$I$89,5,0)</f>
        <v>0</v>
      </c>
      <c r="GW170" s="14" t="e">
        <f t="shared" si="188"/>
        <v>#NUM!</v>
      </c>
      <c r="GX170" s="22" t="e">
        <f t="shared" si="189"/>
        <v>#NUM!</v>
      </c>
      <c r="GY170" s="60" t="e">
        <f t="shared" si="137"/>
        <v>#NUM!</v>
      </c>
      <c r="GZ170" s="60">
        <f ca="1">AVERAGE(OFFSET($GY$3,0,0,'Données projet'!$E$18+1,1))-AVERAGE(OFFSET($H$3,0,0,'Données projet'!$E$18+1,1))</f>
        <v>136.03899433512379</v>
      </c>
      <c r="HA170" s="60">
        <f t="shared" si="160"/>
        <v>316.56646692826882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4.9526181890137071</v>
      </c>
      <c r="HH170" s="23">
        <f>EXP(-LN(2)/25)*HH169+(1-EXP(-LN(2)/25))/(LN(2)/25)*Calculateur!HC170*Calculateur!HE170*VLOOKUP('Données projet'!$B$18,Paramètres!$A$1:$I$89,3,0)*0.475*44/12</f>
        <v>0.22588682126402562</v>
      </c>
      <c r="HI170" s="23">
        <f>EXP(-LN(2)/2)*HI169+(1-EXP(-LN(2)/2))/(LN(2)/2)*HC170*HF170*VLOOKUP('Données projet'!$B$18,Paramètres!$A$1:$I$89,3,0)*0.475*44/12</f>
        <v>7.0045601286667421E-21</v>
      </c>
      <c r="HJ170" s="24">
        <f t="shared" si="190"/>
        <v>5.1785050102777328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-4.1145540308207271E-13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384.44848355636935</v>
      </c>
      <c r="T171" s="60">
        <f t="shared" si="142"/>
        <v>203.5274665601915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-8.7434273154940449E-13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303.73499739059076</v>
      </c>
      <c r="AO171" s="60">
        <f t="shared" si="144"/>
        <v>172.32171001882188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-4.5474735088646412E-13</v>
      </c>
      <c r="BE171" s="14">
        <f>BD171*VLOOKUP('Données projet'!$B$11,Paramètres!$A$1:$I$89,3,0)*VLOOKUP('Données projet'!$B$11,Paramètres!$A$1:$I$89,5,0)</f>
        <v>-3.8307916838675739E-13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352.29660374042186</v>
      </c>
      <c r="BJ171" s="60">
        <f t="shared" si="146"/>
        <v>187.26439695305618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-8.1404323282185943E-13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277.03735509061545</v>
      </c>
      <c r="CE171" s="60">
        <f t="shared" si="148"/>
        <v>158.16416492761959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-9.7986685432260874E-13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350.3652766444938</v>
      </c>
      <c r="CZ171" s="60">
        <f t="shared" si="150"/>
        <v>197.04549436738586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3.4106051316484809E-13</v>
      </c>
      <c r="DP171" s="18">
        <f>DO171*VLOOKUP('Données projet'!$B$14,Paramètres!$A$1:$I$89,3,0)*VLOOKUP('Données projet'!$B$14,Paramètres!$A$1:$I$89,5,0)</f>
        <v>2.7134774427395314E-13</v>
      </c>
      <c r="DQ171" s="14">
        <f t="shared" si="176"/>
        <v>3.6292411711343559E-12</v>
      </c>
      <c r="DR171" s="22">
        <f t="shared" si="177"/>
        <v>6.7935256943361388E-12</v>
      </c>
      <c r="DS171" s="60">
        <f t="shared" si="125"/>
        <v>293.33333333334014</v>
      </c>
      <c r="DT171" s="60">
        <f ca="1">AVERAGE(OFFSET($DS$3,0,0,'Données projet'!$E$14+1,1))-AVERAGE(OFFSET($H$3,0,0,'Données projet'!$E$14+1,1))</f>
        <v>382.01991140382955</v>
      </c>
      <c r="DU171" s="60">
        <f t="shared" si="152"/>
        <v>389.53897948144339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323.92137573760789</v>
      </c>
      <c r="EP171" s="60">
        <f t="shared" si="154"/>
        <v>389.53897948144339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2.2737367544323206E-13</v>
      </c>
      <c r="FF171" s="18">
        <f>FE171*VLOOKUP('Données projet'!$B$16,Paramètres!$A$1:$I$89,3,0)*VLOOKUP('Données projet'!$B$16,Paramètres!$A$1:$I$89,5,0)</f>
        <v>1.8089849618263545E-13</v>
      </c>
      <c r="FG171" s="14">
        <f t="shared" si="182"/>
        <v>2.536422473342444E-12</v>
      </c>
      <c r="FH171" s="22">
        <f t="shared" si="183"/>
        <v>4.7326673552561798E-12</v>
      </c>
      <c r="FI171" s="60">
        <f t="shared" si="131"/>
        <v>293.33333333333803</v>
      </c>
      <c r="FJ171" s="60">
        <f ca="1">AVERAGE(OFFSET($FI$3,0,0,'Données projet'!$E$16+1,1))-AVERAGE(OFFSET($H$3,0,0,'Données projet'!$E$16+1,1))</f>
        <v>219.61164494001008</v>
      </c>
      <c r="FK171" s="60">
        <f t="shared" si="156"/>
        <v>219.59799863414111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-6.2527760746888816E-13</v>
      </c>
      <c r="GA171" s="18">
        <f>FZ171*VLOOKUP('Données projet'!$B$17,Paramètres!$A$1:$I$89,3,0)*VLOOKUP('Données projet'!$B$17,Paramètres!$A$1:$I$89,5,0)</f>
        <v>-2.9262992029543964E-13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147.5699668214238</v>
      </c>
      <c r="GF171" s="60">
        <f t="shared" si="158"/>
        <v>70.653739864908346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>
        <f>GU171*VLOOKUP('Données projet'!$B$18,Paramètres!$A$1:$I$89,3,0)*VLOOKUP('Données projet'!$B$18,Paramètres!$A$1:$I$89,5,0)</f>
        <v>0</v>
      </c>
      <c r="GW171" s="14" t="e">
        <f t="shared" si="188"/>
        <v>#NUM!</v>
      </c>
      <c r="GX171" s="22" t="e">
        <f t="shared" si="189"/>
        <v>#NUM!</v>
      </c>
      <c r="GY171" s="60" t="e">
        <f t="shared" si="137"/>
        <v>#NUM!</v>
      </c>
      <c r="GZ171" s="60">
        <f ca="1">AVERAGE(OFFSET($GY$3,0,0,'Données projet'!$E$18+1,1))-AVERAGE(OFFSET($H$3,0,0,'Données projet'!$E$18+1,1))</f>
        <v>136.03899433512379</v>
      </c>
      <c r="HA171" s="60">
        <f t="shared" si="160"/>
        <v>316.56646692826882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4.8555003671259644</v>
      </c>
      <c r="HH171" s="23">
        <f>EXP(-LN(2)/25)*HH170+(1-EXP(-LN(2)/25))/(LN(2)/25)*Calculateur!HC171*Calculateur!HE171*VLOOKUP('Données projet'!$B$18,Paramètres!$A$1:$I$89,3,0)*0.475*44/12</f>
        <v>0.21970993425768917</v>
      </c>
      <c r="HI171" s="23">
        <f>EXP(-LN(2)/2)*HI170+(1-EXP(-LN(2)/2))/(LN(2)/2)*HC171*HF171*VLOOKUP('Données projet'!$B$18,Paramètres!$A$1:$I$89,3,0)*0.475*44/12</f>
        <v>4.9529719662091692E-21</v>
      </c>
      <c r="HJ171" s="24">
        <f t="shared" si="190"/>
        <v>5.0752103013836534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-4.1145540308207271E-13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384.44848355636935</v>
      </c>
      <c r="T172" s="60">
        <f t="shared" si="142"/>
        <v>203.5274665601915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-8.7434273154940449E-13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303.73499739059076</v>
      </c>
      <c r="AO172" s="60">
        <f t="shared" si="144"/>
        <v>172.32171001882188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-4.5474735088646412E-13</v>
      </c>
      <c r="BE172" s="14">
        <f>BD172*VLOOKUP('Données projet'!$B$11,Paramètres!$A$1:$I$89,3,0)*VLOOKUP('Données projet'!$B$11,Paramètres!$A$1:$I$89,5,0)</f>
        <v>-3.8307916838675739E-13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352.29660374042186</v>
      </c>
      <c r="BJ172" s="60">
        <f t="shared" si="146"/>
        <v>187.26439695305618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-8.1404323282185943E-13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277.03735509061545</v>
      </c>
      <c r="CE172" s="60">
        <f t="shared" si="148"/>
        <v>158.16416492761959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-9.7986685432260874E-13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350.3652766444938</v>
      </c>
      <c r="CZ172" s="60">
        <f t="shared" si="150"/>
        <v>197.04549436738586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3.4106051316484809E-13</v>
      </c>
      <c r="DP172" s="18">
        <f>DO172*VLOOKUP('Données projet'!$B$14,Paramètres!$A$1:$I$89,3,0)*VLOOKUP('Données projet'!$B$14,Paramètres!$A$1:$I$89,5,0)</f>
        <v>2.7134774427395314E-13</v>
      </c>
      <c r="DQ172" s="14">
        <f t="shared" si="176"/>
        <v>3.6292411711343559E-12</v>
      </c>
      <c r="DR172" s="22">
        <f t="shared" si="177"/>
        <v>6.7935256943361388E-12</v>
      </c>
      <c r="DS172" s="60">
        <f t="shared" si="125"/>
        <v>293.33333333334014</v>
      </c>
      <c r="DT172" s="60">
        <f ca="1">AVERAGE(OFFSET($DS$3,0,0,'Données projet'!$E$14+1,1))-AVERAGE(OFFSET($H$3,0,0,'Données projet'!$E$14+1,1))</f>
        <v>382.01991140382955</v>
      </c>
      <c r="DU172" s="60">
        <f t="shared" si="152"/>
        <v>389.53897948144339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323.92137573760789</v>
      </c>
      <c r="EP172" s="60">
        <f t="shared" si="154"/>
        <v>389.53897948144339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2.2737367544323206E-13</v>
      </c>
      <c r="FF172" s="18">
        <f>FE172*VLOOKUP('Données projet'!$B$16,Paramètres!$A$1:$I$89,3,0)*VLOOKUP('Données projet'!$B$16,Paramètres!$A$1:$I$89,5,0)</f>
        <v>1.8089849618263545E-13</v>
      </c>
      <c r="FG172" s="14">
        <f t="shared" si="182"/>
        <v>2.536422473342444E-12</v>
      </c>
      <c r="FH172" s="22">
        <f t="shared" si="183"/>
        <v>4.7326673552561798E-12</v>
      </c>
      <c r="FI172" s="60">
        <f t="shared" si="131"/>
        <v>293.33333333333803</v>
      </c>
      <c r="FJ172" s="60">
        <f ca="1">AVERAGE(OFFSET($FI$3,0,0,'Données projet'!$E$16+1,1))-AVERAGE(OFFSET($H$3,0,0,'Données projet'!$E$16+1,1))</f>
        <v>219.61164494001008</v>
      </c>
      <c r="FK172" s="60">
        <f t="shared" si="156"/>
        <v>219.59799863414111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-6.2527760746888816E-13</v>
      </c>
      <c r="GA172" s="18">
        <f>FZ172*VLOOKUP('Données projet'!$B$17,Paramètres!$A$1:$I$89,3,0)*VLOOKUP('Données projet'!$B$17,Paramètres!$A$1:$I$89,5,0)</f>
        <v>-2.9262992029543964E-13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147.5699668214238</v>
      </c>
      <c r="GF172" s="60">
        <f t="shared" si="158"/>
        <v>70.653739864908346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>
        <f>GU172*VLOOKUP('Données projet'!$B$18,Paramètres!$A$1:$I$89,3,0)*VLOOKUP('Données projet'!$B$18,Paramètres!$A$1:$I$89,5,0)</f>
        <v>0</v>
      </c>
      <c r="GW172" s="14" t="e">
        <f t="shared" si="188"/>
        <v>#NUM!</v>
      </c>
      <c r="GX172" s="22" t="e">
        <f t="shared" si="189"/>
        <v>#NUM!</v>
      </c>
      <c r="GY172" s="60" t="e">
        <f t="shared" si="137"/>
        <v>#NUM!</v>
      </c>
      <c r="GZ172" s="60">
        <f ca="1">AVERAGE(OFFSET($GY$3,0,0,'Données projet'!$E$18+1,1))-AVERAGE(OFFSET($H$3,0,0,'Données projet'!$E$18+1,1))</f>
        <v>136.03899433512379</v>
      </c>
      <c r="HA172" s="60">
        <f t="shared" si="160"/>
        <v>316.56646692826882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4.7602869664894181</v>
      </c>
      <c r="HH172" s="23">
        <f>EXP(-LN(2)/25)*HH171+(1-EXP(-LN(2)/25))/(LN(2)/25)*Calculateur!HC172*Calculateur!HE172*VLOOKUP('Données projet'!$B$18,Paramètres!$A$1:$I$89,3,0)*0.475*44/12</f>
        <v>0.21370195455136937</v>
      </c>
      <c r="HI172" s="23">
        <f>EXP(-LN(2)/2)*HI171+(1-EXP(-LN(2)/2))/(LN(2)/2)*HC172*HF172*VLOOKUP('Données projet'!$B$18,Paramètres!$A$1:$I$89,3,0)*0.475*44/12</f>
        <v>3.502280064333371E-21</v>
      </c>
      <c r="HJ172" s="24">
        <f t="shared" si="190"/>
        <v>4.973988921040787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-4.1145540308207271E-13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384.44848355636935</v>
      </c>
      <c r="T173" s="60">
        <f t="shared" si="142"/>
        <v>203.5274665601915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-8.7434273154940449E-13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303.73499739059076</v>
      </c>
      <c r="AO173" s="60">
        <f t="shared" si="144"/>
        <v>172.32171001882188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-4.5474735088646412E-13</v>
      </c>
      <c r="BE173" s="14">
        <f>BD173*VLOOKUP('Données projet'!$B$11,Paramètres!$A$1:$I$89,3,0)*VLOOKUP('Données projet'!$B$11,Paramètres!$A$1:$I$89,5,0)</f>
        <v>-3.8307916838675739E-13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352.29660374042186</v>
      </c>
      <c r="BJ173" s="60">
        <f t="shared" si="146"/>
        <v>187.26439695305618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-8.1404323282185943E-13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277.03735509061545</v>
      </c>
      <c r="CE173" s="60">
        <f t="shared" si="148"/>
        <v>158.16416492761959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-9.7986685432260874E-13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350.3652766444938</v>
      </c>
      <c r="CZ173" s="60">
        <f t="shared" si="150"/>
        <v>197.04549436738586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3.4106051316484809E-13</v>
      </c>
      <c r="DP173" s="18">
        <f>DO173*VLOOKUP('Données projet'!$B$14,Paramètres!$A$1:$I$89,3,0)*VLOOKUP('Données projet'!$B$14,Paramètres!$A$1:$I$89,5,0)</f>
        <v>2.7134774427395314E-13</v>
      </c>
      <c r="DQ173" s="14">
        <f t="shared" si="176"/>
        <v>3.6292411711343559E-12</v>
      </c>
      <c r="DR173" s="22">
        <f t="shared" si="177"/>
        <v>6.7935256943361388E-12</v>
      </c>
      <c r="DS173" s="60">
        <f t="shared" si="125"/>
        <v>293.33333333334014</v>
      </c>
      <c r="DT173" s="60">
        <f ca="1">AVERAGE(OFFSET($DS$3,0,0,'Données projet'!$E$14+1,1))-AVERAGE(OFFSET($H$3,0,0,'Données projet'!$E$14+1,1))</f>
        <v>382.01991140382955</v>
      </c>
      <c r="DU173" s="60">
        <f t="shared" si="152"/>
        <v>389.53897948144339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323.92137573760789</v>
      </c>
      <c r="EP173" s="60">
        <f t="shared" si="154"/>
        <v>389.53897948144339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2.2737367544323206E-13</v>
      </c>
      <c r="FF173" s="18">
        <f>FE173*VLOOKUP('Données projet'!$B$16,Paramètres!$A$1:$I$89,3,0)*VLOOKUP('Données projet'!$B$16,Paramètres!$A$1:$I$89,5,0)</f>
        <v>1.8089849618263545E-13</v>
      </c>
      <c r="FG173" s="14">
        <f t="shared" si="182"/>
        <v>2.536422473342444E-12</v>
      </c>
      <c r="FH173" s="22">
        <f t="shared" si="183"/>
        <v>4.7326673552561798E-12</v>
      </c>
      <c r="FI173" s="60">
        <f t="shared" si="131"/>
        <v>293.33333333333803</v>
      </c>
      <c r="FJ173" s="60">
        <f ca="1">AVERAGE(OFFSET($FI$3,0,0,'Données projet'!$E$16+1,1))-AVERAGE(OFFSET($H$3,0,0,'Données projet'!$E$16+1,1))</f>
        <v>219.61164494001008</v>
      </c>
      <c r="FK173" s="60">
        <f t="shared" si="156"/>
        <v>219.59799863414111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-6.2527760746888816E-13</v>
      </c>
      <c r="GA173" s="18">
        <f>FZ173*VLOOKUP('Données projet'!$B$17,Paramètres!$A$1:$I$89,3,0)*VLOOKUP('Données projet'!$B$17,Paramètres!$A$1:$I$89,5,0)</f>
        <v>-2.9262992029543964E-13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147.5699668214238</v>
      </c>
      <c r="GF173" s="60">
        <f t="shared" si="158"/>
        <v>70.653739864908346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>
        <f>GU173*VLOOKUP('Données projet'!$B$18,Paramètres!$A$1:$I$89,3,0)*VLOOKUP('Données projet'!$B$18,Paramètres!$A$1:$I$89,5,0)</f>
        <v>0</v>
      </c>
      <c r="GW173" s="14" t="e">
        <f t="shared" si="188"/>
        <v>#NUM!</v>
      </c>
      <c r="GX173" s="22" t="e">
        <f t="shared" si="189"/>
        <v>#NUM!</v>
      </c>
      <c r="GY173" s="60" t="e">
        <f t="shared" si="137"/>
        <v>#NUM!</v>
      </c>
      <c r="GZ173" s="60">
        <f ca="1">AVERAGE(OFFSET($GY$3,0,0,'Données projet'!$E$18+1,1))-AVERAGE(OFFSET($H$3,0,0,'Données projet'!$E$18+1,1))</f>
        <v>136.03899433512379</v>
      </c>
      <c r="HA173" s="60">
        <f t="shared" si="160"/>
        <v>316.56646692826882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4.6669406425649145</v>
      </c>
      <c r="HH173" s="23">
        <f>EXP(-LN(2)/25)*HH172+(1-EXP(-LN(2)/25))/(LN(2)/25)*Calculateur!HC173*Calculateur!HE173*VLOOKUP('Données projet'!$B$18,Paramètres!$A$1:$I$89,3,0)*0.475*44/12</f>
        <v>0.2078582633660648</v>
      </c>
      <c r="HI173" s="23">
        <f>EXP(-LN(2)/2)*HI172+(1-EXP(-LN(2)/2))/(LN(2)/2)*HC173*HF173*VLOOKUP('Données projet'!$B$18,Paramètres!$A$1:$I$89,3,0)*0.475*44/12</f>
        <v>2.4764859831045846E-21</v>
      </c>
      <c r="HJ173" s="24">
        <f t="shared" si="190"/>
        <v>4.8747989059309793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-4.1145540308207271E-13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384.44848355636935</v>
      </c>
      <c r="T174" s="60">
        <f t="shared" si="142"/>
        <v>203.5274665601915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-8.7434273154940449E-13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303.73499739059076</v>
      </c>
      <c r="AO174" s="60">
        <f t="shared" si="144"/>
        <v>172.32171001882188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-4.5474735088646412E-13</v>
      </c>
      <c r="BE174" s="14">
        <f>BD174*VLOOKUP('Données projet'!$B$11,Paramètres!$A$1:$I$89,3,0)*VLOOKUP('Données projet'!$B$11,Paramètres!$A$1:$I$89,5,0)</f>
        <v>-3.8307916838675739E-13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352.29660374042186</v>
      </c>
      <c r="BJ174" s="60">
        <f t="shared" si="146"/>
        <v>187.26439695305618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-8.1404323282185943E-13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277.03735509061545</v>
      </c>
      <c r="CE174" s="60">
        <f t="shared" si="148"/>
        <v>158.16416492761959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-9.7986685432260874E-13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350.3652766444938</v>
      </c>
      <c r="CZ174" s="60">
        <f t="shared" si="150"/>
        <v>197.04549436738586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3.4106051316484809E-13</v>
      </c>
      <c r="DP174" s="18">
        <f>DO174*VLOOKUP('Données projet'!$B$14,Paramètres!$A$1:$I$89,3,0)*VLOOKUP('Données projet'!$B$14,Paramètres!$A$1:$I$89,5,0)</f>
        <v>2.7134774427395314E-13</v>
      </c>
      <c r="DQ174" s="14">
        <f t="shared" si="176"/>
        <v>3.6292411711343559E-12</v>
      </c>
      <c r="DR174" s="22">
        <f t="shared" si="177"/>
        <v>6.7935256943361388E-12</v>
      </c>
      <c r="DS174" s="60">
        <f t="shared" si="125"/>
        <v>293.33333333334014</v>
      </c>
      <c r="DT174" s="60">
        <f ca="1">AVERAGE(OFFSET($DS$3,0,0,'Données projet'!$E$14+1,1))-AVERAGE(OFFSET($H$3,0,0,'Données projet'!$E$14+1,1))</f>
        <v>382.01991140382955</v>
      </c>
      <c r="DU174" s="60">
        <f t="shared" si="152"/>
        <v>389.53897948144339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323.92137573760789</v>
      </c>
      <c r="EP174" s="60">
        <f t="shared" si="154"/>
        <v>389.53897948144339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2.2737367544323206E-13</v>
      </c>
      <c r="FF174" s="18">
        <f>FE174*VLOOKUP('Données projet'!$B$16,Paramètres!$A$1:$I$89,3,0)*VLOOKUP('Données projet'!$B$16,Paramètres!$A$1:$I$89,5,0)</f>
        <v>1.8089849618263545E-13</v>
      </c>
      <c r="FG174" s="14">
        <f t="shared" si="182"/>
        <v>2.536422473342444E-12</v>
      </c>
      <c r="FH174" s="22">
        <f t="shared" si="183"/>
        <v>4.7326673552561798E-12</v>
      </c>
      <c r="FI174" s="60">
        <f t="shared" si="131"/>
        <v>293.33333333333803</v>
      </c>
      <c r="FJ174" s="60">
        <f ca="1">AVERAGE(OFFSET($FI$3,0,0,'Données projet'!$E$16+1,1))-AVERAGE(OFFSET($H$3,0,0,'Données projet'!$E$16+1,1))</f>
        <v>219.61164494001008</v>
      </c>
      <c r="FK174" s="60">
        <f t="shared" si="156"/>
        <v>219.59799863414111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-6.2527760746888816E-13</v>
      </c>
      <c r="GA174" s="18">
        <f>FZ174*VLOOKUP('Données projet'!$B$17,Paramètres!$A$1:$I$89,3,0)*VLOOKUP('Données projet'!$B$17,Paramètres!$A$1:$I$89,5,0)</f>
        <v>-2.9262992029543964E-13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147.5699668214238</v>
      </c>
      <c r="GF174" s="60">
        <f t="shared" si="158"/>
        <v>70.653739864908346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>
        <f>GU174*VLOOKUP('Données projet'!$B$18,Paramètres!$A$1:$I$89,3,0)*VLOOKUP('Données projet'!$B$18,Paramètres!$A$1:$I$89,5,0)</f>
        <v>0</v>
      </c>
      <c r="GW174" s="14" t="e">
        <f t="shared" si="188"/>
        <v>#NUM!</v>
      </c>
      <c r="GX174" s="22" t="e">
        <f t="shared" si="189"/>
        <v>#NUM!</v>
      </c>
      <c r="GY174" s="60" t="e">
        <f t="shared" si="137"/>
        <v>#NUM!</v>
      </c>
      <c r="GZ174" s="60">
        <f ca="1">AVERAGE(OFFSET($GY$3,0,0,'Données projet'!$E$18+1,1))-AVERAGE(OFFSET($H$3,0,0,'Données projet'!$E$18+1,1))</f>
        <v>136.03899433512379</v>
      </c>
      <c r="HA174" s="60">
        <f t="shared" si="160"/>
        <v>316.56646692826882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4.5754247831169348</v>
      </c>
      <c r="HH174" s="23">
        <f>EXP(-LN(2)/25)*HH173+(1-EXP(-LN(2)/25))/(LN(2)/25)*Calculateur!HC174*Calculateur!HE174*VLOOKUP('Données projet'!$B$18,Paramètres!$A$1:$I$89,3,0)*0.475*44/12</f>
        <v>0.20217436822352877</v>
      </c>
      <c r="HI174" s="23">
        <f>EXP(-LN(2)/2)*HI173+(1-EXP(-LN(2)/2))/(LN(2)/2)*HC174*HF174*VLOOKUP('Données projet'!$B$18,Paramètres!$A$1:$I$89,3,0)*0.475*44/12</f>
        <v>1.7511400321666855E-21</v>
      </c>
      <c r="HJ174" s="24">
        <f t="shared" si="190"/>
        <v>4.7775991513404632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-4.1145540308207271E-13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384.44848355636935</v>
      </c>
      <c r="T175" s="60">
        <f t="shared" si="142"/>
        <v>203.5274665601915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-8.7434273154940449E-13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303.73499739059076</v>
      </c>
      <c r="AO175" s="60">
        <f t="shared" si="144"/>
        <v>172.32171001882188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-4.5474735088646412E-13</v>
      </c>
      <c r="BE175" s="14">
        <f>BD175*VLOOKUP('Données projet'!$B$11,Paramètres!$A$1:$I$89,3,0)*VLOOKUP('Données projet'!$B$11,Paramètres!$A$1:$I$89,5,0)</f>
        <v>-3.8307916838675739E-13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352.29660374042186</v>
      </c>
      <c r="BJ175" s="60">
        <f t="shared" si="146"/>
        <v>187.26439695305618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-8.1404323282185943E-13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277.03735509061545</v>
      </c>
      <c r="CE175" s="60">
        <f t="shared" si="148"/>
        <v>158.16416492761959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-9.7986685432260874E-13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350.3652766444938</v>
      </c>
      <c r="CZ175" s="60">
        <f t="shared" si="150"/>
        <v>197.04549436738586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3.4106051316484809E-13</v>
      </c>
      <c r="DP175" s="18">
        <f>DO175*VLOOKUP('Données projet'!$B$14,Paramètres!$A$1:$I$89,3,0)*VLOOKUP('Données projet'!$B$14,Paramètres!$A$1:$I$89,5,0)</f>
        <v>2.7134774427395314E-13</v>
      </c>
      <c r="DQ175" s="14">
        <f t="shared" si="176"/>
        <v>3.6292411711343559E-12</v>
      </c>
      <c r="DR175" s="22">
        <f t="shared" si="177"/>
        <v>6.7935256943361388E-12</v>
      </c>
      <c r="DS175" s="60">
        <f t="shared" si="125"/>
        <v>293.33333333334014</v>
      </c>
      <c r="DT175" s="60">
        <f ca="1">AVERAGE(OFFSET($DS$3,0,0,'Données projet'!$E$14+1,1))-AVERAGE(OFFSET($H$3,0,0,'Données projet'!$E$14+1,1))</f>
        <v>382.01991140382955</v>
      </c>
      <c r="DU175" s="60">
        <f t="shared" si="152"/>
        <v>389.53897948144339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323.92137573760789</v>
      </c>
      <c r="EP175" s="60">
        <f t="shared" si="154"/>
        <v>389.53897948144339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2.2737367544323206E-13</v>
      </c>
      <c r="FF175" s="18">
        <f>FE175*VLOOKUP('Données projet'!$B$16,Paramètres!$A$1:$I$89,3,0)*VLOOKUP('Données projet'!$B$16,Paramètres!$A$1:$I$89,5,0)</f>
        <v>1.8089849618263545E-13</v>
      </c>
      <c r="FG175" s="14">
        <f t="shared" si="182"/>
        <v>2.536422473342444E-12</v>
      </c>
      <c r="FH175" s="22">
        <f t="shared" si="183"/>
        <v>4.7326673552561798E-12</v>
      </c>
      <c r="FI175" s="60">
        <f t="shared" si="131"/>
        <v>293.33333333333803</v>
      </c>
      <c r="FJ175" s="60">
        <f ca="1">AVERAGE(OFFSET($FI$3,0,0,'Données projet'!$E$16+1,1))-AVERAGE(OFFSET($H$3,0,0,'Données projet'!$E$16+1,1))</f>
        <v>219.61164494001008</v>
      </c>
      <c r="FK175" s="60">
        <f t="shared" si="156"/>
        <v>219.59799863414111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-6.2527760746888816E-13</v>
      </c>
      <c r="GA175" s="18">
        <f>FZ175*VLOOKUP('Données projet'!$B$17,Paramètres!$A$1:$I$89,3,0)*VLOOKUP('Données projet'!$B$17,Paramètres!$A$1:$I$89,5,0)</f>
        <v>-2.9262992029543964E-13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147.5699668214238</v>
      </c>
      <c r="GF175" s="60">
        <f t="shared" si="158"/>
        <v>70.653739864908346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>
        <f>GU175*VLOOKUP('Données projet'!$B$18,Paramètres!$A$1:$I$89,3,0)*VLOOKUP('Données projet'!$B$18,Paramètres!$A$1:$I$89,5,0)</f>
        <v>0</v>
      </c>
      <c r="GW175" s="14" t="e">
        <f t="shared" si="188"/>
        <v>#NUM!</v>
      </c>
      <c r="GX175" s="22" t="e">
        <f t="shared" si="189"/>
        <v>#NUM!</v>
      </c>
      <c r="GY175" s="60" t="e">
        <f t="shared" si="137"/>
        <v>#NUM!</v>
      </c>
      <c r="GZ175" s="60">
        <f ca="1">AVERAGE(OFFSET($GY$3,0,0,'Données projet'!$E$18+1,1))-AVERAGE(OFFSET($H$3,0,0,'Données projet'!$E$18+1,1))</f>
        <v>136.03899433512379</v>
      </c>
      <c r="HA175" s="60">
        <f t="shared" si="160"/>
        <v>316.56646692826882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4.4857034938535669</v>
      </c>
      <c r="HH175" s="23">
        <f>EXP(-LN(2)/25)*HH174+(1-EXP(-LN(2)/25))/(LN(2)/25)*Calculateur!HC175*Calculateur!HE175*VLOOKUP('Données projet'!$B$18,Paramètres!$A$1:$I$89,3,0)*0.475*44/12</f>
        <v>0.19664589949256842</v>
      </c>
      <c r="HI175" s="23">
        <f>EXP(-LN(2)/2)*HI174+(1-EXP(-LN(2)/2))/(LN(2)/2)*HC175*HF175*VLOOKUP('Données projet'!$B$18,Paramètres!$A$1:$I$89,3,0)*0.475*44/12</f>
        <v>1.2382429915522923E-21</v>
      </c>
      <c r="HJ175" s="24">
        <f t="shared" si="190"/>
        <v>4.6823493933461355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-4.1145540308207271E-13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384.44848355636935</v>
      </c>
      <c r="T176" s="60">
        <f t="shared" si="142"/>
        <v>203.5274665601915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-8.7434273154940449E-13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303.73499739059076</v>
      </c>
      <c r="AO176" s="60">
        <f t="shared" si="144"/>
        <v>172.32171001882188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-4.5474735088646412E-13</v>
      </c>
      <c r="BE176" s="14">
        <f>BD176*VLOOKUP('Données projet'!$B$11,Paramètres!$A$1:$I$89,3,0)*VLOOKUP('Données projet'!$B$11,Paramètres!$A$1:$I$89,5,0)</f>
        <v>-3.8307916838675739E-13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352.29660374042186</v>
      </c>
      <c r="BJ176" s="60">
        <f t="shared" si="146"/>
        <v>187.26439695305618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-8.1404323282185943E-13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277.03735509061545</v>
      </c>
      <c r="CE176" s="60">
        <f t="shared" si="148"/>
        <v>158.16416492761959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-9.7986685432260874E-13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350.3652766444938</v>
      </c>
      <c r="CZ176" s="60">
        <f t="shared" si="150"/>
        <v>197.04549436738586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3.4106051316484809E-13</v>
      </c>
      <c r="DP176" s="18">
        <f>DO176*VLOOKUP('Données projet'!$B$14,Paramètres!$A$1:$I$89,3,0)*VLOOKUP('Données projet'!$B$14,Paramètres!$A$1:$I$89,5,0)</f>
        <v>2.7134774427395314E-13</v>
      </c>
      <c r="DQ176" s="14">
        <f t="shared" si="176"/>
        <v>3.6292411711343559E-12</v>
      </c>
      <c r="DR176" s="22">
        <f t="shared" si="177"/>
        <v>6.7935256943361388E-12</v>
      </c>
      <c r="DS176" s="60">
        <f t="shared" si="125"/>
        <v>293.33333333334014</v>
      </c>
      <c r="DT176" s="60">
        <f ca="1">AVERAGE(OFFSET($DS$3,0,0,'Données projet'!$E$14+1,1))-AVERAGE(OFFSET($H$3,0,0,'Données projet'!$E$14+1,1))</f>
        <v>382.01991140382955</v>
      </c>
      <c r="DU176" s="60">
        <f t="shared" si="152"/>
        <v>389.53897948144339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323.92137573760789</v>
      </c>
      <c r="EP176" s="60">
        <f t="shared" si="154"/>
        <v>389.53897948144339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2.2737367544323206E-13</v>
      </c>
      <c r="FF176" s="18">
        <f>FE176*VLOOKUP('Données projet'!$B$16,Paramètres!$A$1:$I$89,3,0)*VLOOKUP('Données projet'!$B$16,Paramètres!$A$1:$I$89,5,0)</f>
        <v>1.8089849618263545E-13</v>
      </c>
      <c r="FG176" s="14">
        <f t="shared" si="182"/>
        <v>2.536422473342444E-12</v>
      </c>
      <c r="FH176" s="22">
        <f t="shared" si="183"/>
        <v>4.7326673552561798E-12</v>
      </c>
      <c r="FI176" s="60">
        <f t="shared" si="131"/>
        <v>293.33333333333803</v>
      </c>
      <c r="FJ176" s="60">
        <f ca="1">AVERAGE(OFFSET($FI$3,0,0,'Données projet'!$E$16+1,1))-AVERAGE(OFFSET($H$3,0,0,'Données projet'!$E$16+1,1))</f>
        <v>219.61164494001008</v>
      </c>
      <c r="FK176" s="60">
        <f t="shared" si="156"/>
        <v>219.59799863414111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-6.2527760746888816E-13</v>
      </c>
      <c r="GA176" s="18">
        <f>FZ176*VLOOKUP('Données projet'!$B$17,Paramètres!$A$1:$I$89,3,0)*VLOOKUP('Données projet'!$B$17,Paramètres!$A$1:$I$89,5,0)</f>
        <v>-2.9262992029543964E-13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147.5699668214238</v>
      </c>
      <c r="GF176" s="60">
        <f t="shared" si="158"/>
        <v>70.653739864908346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>
        <f>GU176*VLOOKUP('Données projet'!$B$18,Paramètres!$A$1:$I$89,3,0)*VLOOKUP('Données projet'!$B$18,Paramètres!$A$1:$I$89,5,0)</f>
        <v>0</v>
      </c>
      <c r="GW176" s="14" t="e">
        <f t="shared" si="188"/>
        <v>#NUM!</v>
      </c>
      <c r="GX176" s="22" t="e">
        <f t="shared" si="189"/>
        <v>#NUM!</v>
      </c>
      <c r="GY176" s="60" t="e">
        <f t="shared" si="137"/>
        <v>#NUM!</v>
      </c>
      <c r="GZ176" s="60">
        <f ca="1">AVERAGE(OFFSET($GY$3,0,0,'Données projet'!$E$18+1,1))-AVERAGE(OFFSET($H$3,0,0,'Données projet'!$E$18+1,1))</f>
        <v>136.03899433512379</v>
      </c>
      <c r="HA176" s="60">
        <f t="shared" si="160"/>
        <v>316.56646692826882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4.3977415843480712</v>
      </c>
      <c r="HH176" s="23">
        <f>EXP(-LN(2)/25)*HH175+(1-EXP(-LN(2)/25))/(LN(2)/25)*Calculateur!HC176*Calculateur!HE176*VLOOKUP('Données projet'!$B$18,Paramètres!$A$1:$I$89,3,0)*0.475*44/12</f>
        <v>0.19126860702978571</v>
      </c>
      <c r="HI176" s="23">
        <f>EXP(-LN(2)/2)*HI175+(1-EXP(-LN(2)/2))/(LN(2)/2)*HC176*HF176*VLOOKUP('Données projet'!$B$18,Paramètres!$A$1:$I$89,3,0)*0.475*44/12</f>
        <v>8.7557001608334276E-22</v>
      </c>
      <c r="HJ176" s="24">
        <f t="shared" si="190"/>
        <v>4.5890101913778567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-4.1145540308207271E-13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384.44848355636935</v>
      </c>
      <c r="T177" s="60">
        <f t="shared" si="142"/>
        <v>203.5274665601915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-8.7434273154940449E-13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303.73499739059076</v>
      </c>
      <c r="AO177" s="60">
        <f t="shared" si="144"/>
        <v>172.32171001882188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-4.5474735088646412E-13</v>
      </c>
      <c r="BE177" s="14">
        <f>BD177*VLOOKUP('Données projet'!$B$11,Paramètres!$A$1:$I$89,3,0)*VLOOKUP('Données projet'!$B$11,Paramètres!$A$1:$I$89,5,0)</f>
        <v>-3.8307916838675739E-13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352.29660374042186</v>
      </c>
      <c r="BJ177" s="60">
        <f t="shared" si="146"/>
        <v>187.26439695305618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-8.1404323282185943E-13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277.03735509061545</v>
      </c>
      <c r="CE177" s="60">
        <f t="shared" si="148"/>
        <v>158.16416492761959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-9.7986685432260874E-13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350.3652766444938</v>
      </c>
      <c r="CZ177" s="60">
        <f t="shared" si="150"/>
        <v>197.04549436738586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3.4106051316484809E-13</v>
      </c>
      <c r="DP177" s="18">
        <f>DO177*VLOOKUP('Données projet'!$B$14,Paramètres!$A$1:$I$89,3,0)*VLOOKUP('Données projet'!$B$14,Paramètres!$A$1:$I$89,5,0)</f>
        <v>2.7134774427395314E-13</v>
      </c>
      <c r="DQ177" s="14">
        <f t="shared" si="176"/>
        <v>3.6292411711343559E-12</v>
      </c>
      <c r="DR177" s="22">
        <f t="shared" si="177"/>
        <v>6.7935256943361388E-12</v>
      </c>
      <c r="DS177" s="60">
        <f t="shared" si="125"/>
        <v>293.33333333334014</v>
      </c>
      <c r="DT177" s="60">
        <f ca="1">AVERAGE(OFFSET($DS$3,0,0,'Données projet'!$E$14+1,1))-AVERAGE(OFFSET($H$3,0,0,'Données projet'!$E$14+1,1))</f>
        <v>382.01991140382955</v>
      </c>
      <c r="DU177" s="60">
        <f t="shared" si="152"/>
        <v>389.53897948144339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323.92137573760789</v>
      </c>
      <c r="EP177" s="60">
        <f t="shared" si="154"/>
        <v>389.53897948144339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2.2737367544323206E-13</v>
      </c>
      <c r="FF177" s="18">
        <f>FE177*VLOOKUP('Données projet'!$B$16,Paramètres!$A$1:$I$89,3,0)*VLOOKUP('Données projet'!$B$16,Paramètres!$A$1:$I$89,5,0)</f>
        <v>1.8089849618263545E-13</v>
      </c>
      <c r="FG177" s="14">
        <f t="shared" si="182"/>
        <v>2.536422473342444E-12</v>
      </c>
      <c r="FH177" s="22">
        <f t="shared" si="183"/>
        <v>4.7326673552561798E-12</v>
      </c>
      <c r="FI177" s="60">
        <f t="shared" si="131"/>
        <v>293.33333333333803</v>
      </c>
      <c r="FJ177" s="60">
        <f ca="1">AVERAGE(OFFSET($FI$3,0,0,'Données projet'!$E$16+1,1))-AVERAGE(OFFSET($H$3,0,0,'Données projet'!$E$16+1,1))</f>
        <v>219.61164494001008</v>
      </c>
      <c r="FK177" s="60">
        <f t="shared" si="156"/>
        <v>219.59799863414111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-6.2527760746888816E-13</v>
      </c>
      <c r="GA177" s="18">
        <f>FZ177*VLOOKUP('Données projet'!$B$17,Paramètres!$A$1:$I$89,3,0)*VLOOKUP('Données projet'!$B$17,Paramètres!$A$1:$I$89,5,0)</f>
        <v>-2.9262992029543964E-13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147.5699668214238</v>
      </c>
      <c r="GF177" s="60">
        <f t="shared" si="158"/>
        <v>70.653739864908346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>
        <f>GU177*VLOOKUP('Données projet'!$B$18,Paramètres!$A$1:$I$89,3,0)*VLOOKUP('Données projet'!$B$18,Paramètres!$A$1:$I$89,5,0)</f>
        <v>0</v>
      </c>
      <c r="GW177" s="14" t="e">
        <f t="shared" si="188"/>
        <v>#NUM!</v>
      </c>
      <c r="GX177" s="22" t="e">
        <f t="shared" si="189"/>
        <v>#NUM!</v>
      </c>
      <c r="GY177" s="60" t="e">
        <f t="shared" si="137"/>
        <v>#NUM!</v>
      </c>
      <c r="GZ177" s="60">
        <f ca="1">AVERAGE(OFFSET($GY$3,0,0,'Données projet'!$E$18+1,1))-AVERAGE(OFFSET($H$3,0,0,'Données projet'!$E$18+1,1))</f>
        <v>136.03899433512379</v>
      </c>
      <c r="HA177" s="60">
        <f t="shared" si="160"/>
        <v>316.56646692826882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4.3115045542365111</v>
      </c>
      <c r="HH177" s="23">
        <f>EXP(-LN(2)/25)*HH176+(1-EXP(-LN(2)/25))/(LN(2)/25)*Calculateur!HC177*Calculateur!HE177*VLOOKUP('Données projet'!$B$18,Paramètres!$A$1:$I$89,3,0)*0.475*44/12</f>
        <v>0.18603835691217732</v>
      </c>
      <c r="HI177" s="23">
        <f>EXP(-LN(2)/2)*HI176+(1-EXP(-LN(2)/2))/(LN(2)/2)*HC177*HF177*VLOOKUP('Données projet'!$B$18,Paramètres!$A$1:$I$89,3,0)*0.475*44/12</f>
        <v>6.1912149577614615E-22</v>
      </c>
      <c r="HJ177" s="24">
        <f t="shared" si="190"/>
        <v>4.4975429111486882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-4.1145540308207271E-13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384.44848355636935</v>
      </c>
      <c r="T178" s="60">
        <f t="shared" si="142"/>
        <v>203.5274665601915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-8.7434273154940449E-13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303.73499739059076</v>
      </c>
      <c r="AO178" s="60">
        <f t="shared" si="144"/>
        <v>172.32171001882188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-4.5474735088646412E-13</v>
      </c>
      <c r="BE178" s="14">
        <f>BD178*VLOOKUP('Données projet'!$B$11,Paramètres!$A$1:$I$89,3,0)*VLOOKUP('Données projet'!$B$11,Paramètres!$A$1:$I$89,5,0)</f>
        <v>-3.8307916838675739E-13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352.29660374042186</v>
      </c>
      <c r="BJ178" s="60">
        <f t="shared" si="146"/>
        <v>187.26439695305618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-8.1404323282185943E-13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277.03735509061545</v>
      </c>
      <c r="CE178" s="60">
        <f t="shared" si="148"/>
        <v>158.16416492761959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-9.7986685432260874E-13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350.3652766444938</v>
      </c>
      <c r="CZ178" s="60">
        <f t="shared" si="150"/>
        <v>197.04549436738586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3.4106051316484809E-13</v>
      </c>
      <c r="DP178" s="18">
        <f>DO178*VLOOKUP('Données projet'!$B$14,Paramètres!$A$1:$I$89,3,0)*VLOOKUP('Données projet'!$B$14,Paramètres!$A$1:$I$89,5,0)</f>
        <v>2.7134774427395314E-13</v>
      </c>
      <c r="DQ178" s="14">
        <f t="shared" si="176"/>
        <v>3.6292411711343559E-12</v>
      </c>
      <c r="DR178" s="22">
        <f t="shared" si="177"/>
        <v>6.7935256943361388E-12</v>
      </c>
      <c r="DS178" s="60">
        <f t="shared" si="125"/>
        <v>293.33333333334014</v>
      </c>
      <c r="DT178" s="60">
        <f ca="1">AVERAGE(OFFSET($DS$3,0,0,'Données projet'!$E$14+1,1))-AVERAGE(OFFSET($H$3,0,0,'Données projet'!$E$14+1,1))</f>
        <v>382.01991140382955</v>
      </c>
      <c r="DU178" s="60">
        <f t="shared" si="152"/>
        <v>389.53897948144339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323.92137573760789</v>
      </c>
      <c r="EP178" s="60">
        <f t="shared" si="154"/>
        <v>389.53897948144339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2.2737367544323206E-13</v>
      </c>
      <c r="FF178" s="18">
        <f>FE178*VLOOKUP('Données projet'!$B$16,Paramètres!$A$1:$I$89,3,0)*VLOOKUP('Données projet'!$B$16,Paramètres!$A$1:$I$89,5,0)</f>
        <v>1.8089849618263545E-13</v>
      </c>
      <c r="FG178" s="14">
        <f t="shared" si="182"/>
        <v>2.536422473342444E-12</v>
      </c>
      <c r="FH178" s="22">
        <f t="shared" si="183"/>
        <v>4.7326673552561798E-12</v>
      </c>
      <c r="FI178" s="60">
        <f t="shared" si="131"/>
        <v>293.33333333333803</v>
      </c>
      <c r="FJ178" s="60">
        <f ca="1">AVERAGE(OFFSET($FI$3,0,0,'Données projet'!$E$16+1,1))-AVERAGE(OFFSET($H$3,0,0,'Données projet'!$E$16+1,1))</f>
        <v>219.61164494001008</v>
      </c>
      <c r="FK178" s="60">
        <f t="shared" si="156"/>
        <v>219.59799863414111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-6.2527760746888816E-13</v>
      </c>
      <c r="GA178" s="18">
        <f>FZ178*VLOOKUP('Données projet'!$B$17,Paramètres!$A$1:$I$89,3,0)*VLOOKUP('Données projet'!$B$17,Paramètres!$A$1:$I$89,5,0)</f>
        <v>-2.9262992029543964E-13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147.5699668214238</v>
      </c>
      <c r="GF178" s="60">
        <f t="shared" si="158"/>
        <v>70.653739864908346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>
        <f>GU178*VLOOKUP('Données projet'!$B$18,Paramètres!$A$1:$I$89,3,0)*VLOOKUP('Données projet'!$B$18,Paramètres!$A$1:$I$89,5,0)</f>
        <v>0</v>
      </c>
      <c r="GW178" s="14" t="e">
        <f t="shared" si="188"/>
        <v>#NUM!</v>
      </c>
      <c r="GX178" s="22" t="e">
        <f t="shared" si="189"/>
        <v>#NUM!</v>
      </c>
      <c r="GY178" s="60" t="e">
        <f t="shared" si="137"/>
        <v>#NUM!</v>
      </c>
      <c r="GZ178" s="60">
        <f ca="1">AVERAGE(OFFSET($GY$3,0,0,'Données projet'!$E$18+1,1))-AVERAGE(OFFSET($H$3,0,0,'Données projet'!$E$18+1,1))</f>
        <v>136.03899433512379</v>
      </c>
      <c r="HA178" s="60">
        <f t="shared" si="160"/>
        <v>316.56646692826882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4.2269585796860438</v>
      </c>
      <c r="HH178" s="23">
        <f>EXP(-LN(2)/25)*HH177+(1-EXP(-LN(2)/25))/(LN(2)/25)*Calculateur!HC178*Calculateur!HE178*VLOOKUP('Données projet'!$B$18,Paramètres!$A$1:$I$89,3,0)*0.475*44/12</f>
        <v>0.18095112825908183</v>
      </c>
      <c r="HI178" s="23">
        <f>EXP(-LN(2)/2)*HI177+(1-EXP(-LN(2)/2))/(LN(2)/2)*HC178*HF178*VLOOKUP('Données projet'!$B$18,Paramètres!$A$1:$I$89,3,0)*0.475*44/12</f>
        <v>4.3778500804167138E-22</v>
      </c>
      <c r="HJ178" s="24">
        <f t="shared" si="190"/>
        <v>4.4079097079451257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-4.1145540308207271E-13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384.44848355636935</v>
      </c>
      <c r="T179" s="60">
        <f t="shared" si="142"/>
        <v>203.5274665601915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-8.7434273154940449E-13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303.73499739059076</v>
      </c>
      <c r="AO179" s="60">
        <f t="shared" si="144"/>
        <v>172.32171001882188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-4.5474735088646412E-13</v>
      </c>
      <c r="BE179" s="14">
        <f>BD179*VLOOKUP('Données projet'!$B$11,Paramètres!$A$1:$I$89,3,0)*VLOOKUP('Données projet'!$B$11,Paramètres!$A$1:$I$89,5,0)</f>
        <v>-3.8307916838675739E-13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352.29660374042186</v>
      </c>
      <c r="BJ179" s="60">
        <f t="shared" si="146"/>
        <v>187.26439695305618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-8.1404323282185943E-13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277.03735509061545</v>
      </c>
      <c r="CE179" s="60">
        <f t="shared" si="148"/>
        <v>158.16416492761959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-9.7986685432260874E-13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350.3652766444938</v>
      </c>
      <c r="CZ179" s="60">
        <f t="shared" si="150"/>
        <v>197.04549436738586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3.4106051316484809E-13</v>
      </c>
      <c r="DP179" s="18">
        <f>DO179*VLOOKUP('Données projet'!$B$14,Paramètres!$A$1:$I$89,3,0)*VLOOKUP('Données projet'!$B$14,Paramètres!$A$1:$I$89,5,0)</f>
        <v>2.7134774427395314E-13</v>
      </c>
      <c r="DQ179" s="14">
        <f t="shared" si="176"/>
        <v>3.6292411711343559E-12</v>
      </c>
      <c r="DR179" s="22">
        <f t="shared" si="177"/>
        <v>6.7935256943361388E-12</v>
      </c>
      <c r="DS179" s="60">
        <f t="shared" si="125"/>
        <v>293.33333333334014</v>
      </c>
      <c r="DT179" s="60">
        <f ca="1">AVERAGE(OFFSET($DS$3,0,0,'Données projet'!$E$14+1,1))-AVERAGE(OFFSET($H$3,0,0,'Données projet'!$E$14+1,1))</f>
        <v>382.01991140382955</v>
      </c>
      <c r="DU179" s="60">
        <f t="shared" si="152"/>
        <v>389.53897948144339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323.92137573760789</v>
      </c>
      <c r="EP179" s="60">
        <f t="shared" si="154"/>
        <v>389.53897948144339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2.2737367544323206E-13</v>
      </c>
      <c r="FF179" s="18">
        <f>FE179*VLOOKUP('Données projet'!$B$16,Paramètres!$A$1:$I$89,3,0)*VLOOKUP('Données projet'!$B$16,Paramètres!$A$1:$I$89,5,0)</f>
        <v>1.8089849618263545E-13</v>
      </c>
      <c r="FG179" s="14">
        <f t="shared" si="182"/>
        <v>2.536422473342444E-12</v>
      </c>
      <c r="FH179" s="22">
        <f t="shared" si="183"/>
        <v>4.7326673552561798E-12</v>
      </c>
      <c r="FI179" s="60">
        <f t="shared" si="131"/>
        <v>293.33333333333803</v>
      </c>
      <c r="FJ179" s="60">
        <f ca="1">AVERAGE(OFFSET($FI$3,0,0,'Données projet'!$E$16+1,1))-AVERAGE(OFFSET($H$3,0,0,'Données projet'!$E$16+1,1))</f>
        <v>219.61164494001008</v>
      </c>
      <c r="FK179" s="60">
        <f t="shared" si="156"/>
        <v>219.59799863414111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-6.2527760746888816E-13</v>
      </c>
      <c r="GA179" s="18">
        <f>FZ179*VLOOKUP('Données projet'!$B$17,Paramètres!$A$1:$I$89,3,0)*VLOOKUP('Données projet'!$B$17,Paramètres!$A$1:$I$89,5,0)</f>
        <v>-2.9262992029543964E-13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147.5699668214238</v>
      </c>
      <c r="GF179" s="60">
        <f t="shared" si="158"/>
        <v>70.653739864908346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>
        <f>GU179*VLOOKUP('Données projet'!$B$18,Paramètres!$A$1:$I$89,3,0)*VLOOKUP('Données projet'!$B$18,Paramètres!$A$1:$I$89,5,0)</f>
        <v>0</v>
      </c>
      <c r="GW179" s="14" t="e">
        <f t="shared" si="188"/>
        <v>#NUM!</v>
      </c>
      <c r="GX179" s="22" t="e">
        <f t="shared" si="189"/>
        <v>#NUM!</v>
      </c>
      <c r="GY179" s="60" t="e">
        <f t="shared" si="137"/>
        <v>#NUM!</v>
      </c>
      <c r="GZ179" s="60">
        <f ca="1">AVERAGE(OFFSET($GY$3,0,0,'Données projet'!$E$18+1,1))-AVERAGE(OFFSET($H$3,0,0,'Données projet'!$E$18+1,1))</f>
        <v>136.03899433512379</v>
      </c>
      <c r="HA179" s="60">
        <f t="shared" si="160"/>
        <v>316.56646692826882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4.1440705001285592</v>
      </c>
      <c r="HH179" s="23">
        <f>EXP(-LN(2)/25)*HH178+(1-EXP(-LN(2)/25))/(LN(2)/25)*Calculateur!HC179*Calculateur!HE179*VLOOKUP('Données projet'!$B$18,Paramètres!$A$1:$I$89,3,0)*0.475*44/12</f>
        <v>0.17600301014103098</v>
      </c>
      <c r="HI179" s="23">
        <f>EXP(-LN(2)/2)*HI178+(1-EXP(-LN(2)/2))/(LN(2)/2)*HC179*HF179*VLOOKUP('Données projet'!$B$18,Paramètres!$A$1:$I$89,3,0)*0.475*44/12</f>
        <v>3.0956074788807307E-22</v>
      </c>
      <c r="HJ179" s="24">
        <f t="shared" si="190"/>
        <v>4.32007351026959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-4.1145540308207271E-13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384.44848355636935</v>
      </c>
      <c r="T180" s="60">
        <f t="shared" si="142"/>
        <v>203.5274665601915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-8.7434273154940449E-13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303.73499739059076</v>
      </c>
      <c r="AO180" s="60">
        <f t="shared" si="144"/>
        <v>172.32171001882188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-4.5474735088646412E-13</v>
      </c>
      <c r="BE180" s="14">
        <f>BD180*VLOOKUP('Données projet'!$B$11,Paramètres!$A$1:$I$89,3,0)*VLOOKUP('Données projet'!$B$11,Paramètres!$A$1:$I$89,5,0)</f>
        <v>-3.8307916838675739E-13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352.29660374042186</v>
      </c>
      <c r="BJ180" s="60">
        <f t="shared" si="146"/>
        <v>187.26439695305618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-8.1404323282185943E-13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277.03735509061545</v>
      </c>
      <c r="CE180" s="60">
        <f t="shared" si="148"/>
        <v>158.16416492761959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-9.7986685432260874E-13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350.3652766444938</v>
      </c>
      <c r="CZ180" s="60">
        <f t="shared" si="150"/>
        <v>197.04549436738586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3.4106051316484809E-13</v>
      </c>
      <c r="DP180" s="18">
        <f>DO180*VLOOKUP('Données projet'!$B$14,Paramètres!$A$1:$I$89,3,0)*VLOOKUP('Données projet'!$B$14,Paramètres!$A$1:$I$89,5,0)</f>
        <v>2.7134774427395314E-13</v>
      </c>
      <c r="DQ180" s="14">
        <f t="shared" si="176"/>
        <v>3.6292411711343559E-12</v>
      </c>
      <c r="DR180" s="22">
        <f t="shared" si="177"/>
        <v>6.7935256943361388E-12</v>
      </c>
      <c r="DS180" s="60">
        <f t="shared" si="125"/>
        <v>293.33333333334014</v>
      </c>
      <c r="DT180" s="60">
        <f ca="1">AVERAGE(OFFSET($DS$3,0,0,'Données projet'!$E$14+1,1))-AVERAGE(OFFSET($H$3,0,0,'Données projet'!$E$14+1,1))</f>
        <v>382.01991140382955</v>
      </c>
      <c r="DU180" s="60">
        <f t="shared" si="152"/>
        <v>389.53897948144339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323.92137573760789</v>
      </c>
      <c r="EP180" s="60">
        <f t="shared" si="154"/>
        <v>389.53897948144339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2.2737367544323206E-13</v>
      </c>
      <c r="FF180" s="18">
        <f>FE180*VLOOKUP('Données projet'!$B$16,Paramètres!$A$1:$I$89,3,0)*VLOOKUP('Données projet'!$B$16,Paramètres!$A$1:$I$89,5,0)</f>
        <v>1.8089849618263545E-13</v>
      </c>
      <c r="FG180" s="14">
        <f t="shared" si="182"/>
        <v>2.536422473342444E-12</v>
      </c>
      <c r="FH180" s="22">
        <f t="shared" si="183"/>
        <v>4.7326673552561798E-12</v>
      </c>
      <c r="FI180" s="60">
        <f t="shared" si="131"/>
        <v>293.33333333333803</v>
      </c>
      <c r="FJ180" s="60">
        <f ca="1">AVERAGE(OFFSET($FI$3,0,0,'Données projet'!$E$16+1,1))-AVERAGE(OFFSET($H$3,0,0,'Données projet'!$E$16+1,1))</f>
        <v>219.61164494001008</v>
      </c>
      <c r="FK180" s="60">
        <f t="shared" si="156"/>
        <v>219.59799863414111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-6.2527760746888816E-13</v>
      </c>
      <c r="GA180" s="18">
        <f>FZ180*VLOOKUP('Données projet'!$B$17,Paramètres!$A$1:$I$89,3,0)*VLOOKUP('Données projet'!$B$17,Paramètres!$A$1:$I$89,5,0)</f>
        <v>-2.9262992029543964E-13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147.5699668214238</v>
      </c>
      <c r="GF180" s="60">
        <f t="shared" si="158"/>
        <v>70.653739864908346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>
        <f>GU180*VLOOKUP('Données projet'!$B$18,Paramètres!$A$1:$I$89,3,0)*VLOOKUP('Données projet'!$B$18,Paramètres!$A$1:$I$89,5,0)</f>
        <v>0</v>
      </c>
      <c r="GW180" s="14" t="e">
        <f t="shared" si="188"/>
        <v>#NUM!</v>
      </c>
      <c r="GX180" s="22" t="e">
        <f t="shared" si="189"/>
        <v>#NUM!</v>
      </c>
      <c r="GY180" s="60" t="e">
        <f t="shared" si="137"/>
        <v>#NUM!</v>
      </c>
      <c r="GZ180" s="60">
        <f ca="1">AVERAGE(OFFSET($GY$3,0,0,'Données projet'!$E$18+1,1))-AVERAGE(OFFSET($H$3,0,0,'Données projet'!$E$18+1,1))</f>
        <v>136.03899433512379</v>
      </c>
      <c r="HA180" s="60">
        <f t="shared" si="160"/>
        <v>316.56646692826882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4.0628078052544598</v>
      </c>
      <c r="HH180" s="23">
        <f>EXP(-LN(2)/25)*HH179+(1-EXP(-LN(2)/25))/(LN(2)/25)*Calculateur!HC180*Calculateur!HE180*VLOOKUP('Données projet'!$B$18,Paramètres!$A$1:$I$89,3,0)*0.475*44/12</f>
        <v>0.17119019857312845</v>
      </c>
      <c r="HI180" s="23">
        <f>EXP(-LN(2)/2)*HI179+(1-EXP(-LN(2)/2))/(LN(2)/2)*HC180*HF180*VLOOKUP('Données projet'!$B$18,Paramètres!$A$1:$I$89,3,0)*0.475*44/12</f>
        <v>2.1889250402083569E-22</v>
      </c>
      <c r="HJ180" s="24">
        <f t="shared" si="190"/>
        <v>4.2339980038275886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-4.1145540308207271E-13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384.44848355636935</v>
      </c>
      <c r="T181" s="60">
        <f t="shared" si="142"/>
        <v>203.5274665601915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-8.7434273154940449E-13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303.73499739059076</v>
      </c>
      <c r="AO181" s="60">
        <f t="shared" si="144"/>
        <v>172.32171001882188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-4.5474735088646412E-13</v>
      </c>
      <c r="BE181" s="14">
        <f>BD181*VLOOKUP('Données projet'!$B$11,Paramètres!$A$1:$I$89,3,0)*VLOOKUP('Données projet'!$B$11,Paramètres!$A$1:$I$89,5,0)</f>
        <v>-3.8307916838675739E-13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352.29660374042186</v>
      </c>
      <c r="BJ181" s="60">
        <f t="shared" si="146"/>
        <v>187.26439695305618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-8.1404323282185943E-13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277.03735509061545</v>
      </c>
      <c r="CE181" s="60">
        <f t="shared" si="148"/>
        <v>158.16416492761959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-9.7986685432260874E-13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350.3652766444938</v>
      </c>
      <c r="CZ181" s="60">
        <f t="shared" si="150"/>
        <v>197.04549436738586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3.4106051316484809E-13</v>
      </c>
      <c r="DP181" s="18">
        <f>DO181*VLOOKUP('Données projet'!$B$14,Paramètres!$A$1:$I$89,3,0)*VLOOKUP('Données projet'!$B$14,Paramètres!$A$1:$I$89,5,0)</f>
        <v>2.7134774427395314E-13</v>
      </c>
      <c r="DQ181" s="14">
        <f t="shared" si="176"/>
        <v>3.6292411711343559E-12</v>
      </c>
      <c r="DR181" s="22">
        <f t="shared" si="177"/>
        <v>6.7935256943361388E-12</v>
      </c>
      <c r="DS181" s="60">
        <f t="shared" si="125"/>
        <v>293.33333333334014</v>
      </c>
      <c r="DT181" s="60">
        <f ca="1">AVERAGE(OFFSET($DS$3,0,0,'Données projet'!$E$14+1,1))-AVERAGE(OFFSET($H$3,0,0,'Données projet'!$E$14+1,1))</f>
        <v>382.01991140382955</v>
      </c>
      <c r="DU181" s="60">
        <f t="shared" si="152"/>
        <v>389.53897948144339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323.92137573760789</v>
      </c>
      <c r="EP181" s="60">
        <f t="shared" si="154"/>
        <v>389.53897948144339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2.2737367544323206E-13</v>
      </c>
      <c r="FF181" s="18">
        <f>FE181*VLOOKUP('Données projet'!$B$16,Paramètres!$A$1:$I$89,3,0)*VLOOKUP('Données projet'!$B$16,Paramètres!$A$1:$I$89,5,0)</f>
        <v>1.8089849618263545E-13</v>
      </c>
      <c r="FG181" s="14">
        <f t="shared" si="182"/>
        <v>2.536422473342444E-12</v>
      </c>
      <c r="FH181" s="22">
        <f t="shared" si="183"/>
        <v>4.7326673552561798E-12</v>
      </c>
      <c r="FI181" s="60">
        <f t="shared" si="131"/>
        <v>293.33333333333803</v>
      </c>
      <c r="FJ181" s="60">
        <f ca="1">AVERAGE(OFFSET($FI$3,0,0,'Données projet'!$E$16+1,1))-AVERAGE(OFFSET($H$3,0,0,'Données projet'!$E$16+1,1))</f>
        <v>219.61164494001008</v>
      </c>
      <c r="FK181" s="60">
        <f t="shared" si="156"/>
        <v>219.59799863414111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-6.2527760746888816E-13</v>
      </c>
      <c r="GA181" s="18">
        <f>FZ181*VLOOKUP('Données projet'!$B$17,Paramètres!$A$1:$I$89,3,0)*VLOOKUP('Données projet'!$B$17,Paramètres!$A$1:$I$89,5,0)</f>
        <v>-2.9262992029543964E-13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147.5699668214238</v>
      </c>
      <c r="GF181" s="60">
        <f t="shared" si="158"/>
        <v>70.653739864908346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>
        <f>GU181*VLOOKUP('Données projet'!$B$18,Paramètres!$A$1:$I$89,3,0)*VLOOKUP('Données projet'!$B$18,Paramètres!$A$1:$I$89,5,0)</f>
        <v>0</v>
      </c>
      <c r="GW181" s="14" t="e">
        <f t="shared" si="188"/>
        <v>#NUM!</v>
      </c>
      <c r="GX181" s="22" t="e">
        <f t="shared" si="189"/>
        <v>#NUM!</v>
      </c>
      <c r="GY181" s="60" t="e">
        <f t="shared" si="137"/>
        <v>#NUM!</v>
      </c>
      <c r="GZ181" s="60">
        <f ca="1">AVERAGE(OFFSET($GY$3,0,0,'Données projet'!$E$18+1,1))-AVERAGE(OFFSET($H$3,0,0,'Données projet'!$E$18+1,1))</f>
        <v>136.03899433512379</v>
      </c>
      <c r="HA181" s="60">
        <f t="shared" si="160"/>
        <v>316.56646692826882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3.9831386222614924</v>
      </c>
      <c r="HH181" s="23">
        <f>EXP(-LN(2)/25)*HH180+(1-EXP(-LN(2)/25))/(LN(2)/25)*Calculateur!HC181*Calculateur!HE181*VLOOKUP('Données projet'!$B$18,Paramètres!$A$1:$I$89,3,0)*0.475*44/12</f>
        <v>0.16650899359064497</v>
      </c>
      <c r="HI181" s="23">
        <f>EXP(-LN(2)/2)*HI180+(1-EXP(-LN(2)/2))/(LN(2)/2)*HC181*HF181*VLOOKUP('Données projet'!$B$18,Paramètres!$A$1:$I$89,3,0)*0.475*44/12</f>
        <v>1.5478037394403654E-22</v>
      </c>
      <c r="HJ181" s="24">
        <f t="shared" si="190"/>
        <v>4.1496476158521372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-4.1145540308207271E-13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384.44848355636935</v>
      </c>
      <c r="T182" s="60">
        <f t="shared" si="142"/>
        <v>203.5274665601915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-8.7434273154940449E-13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303.73499739059076</v>
      </c>
      <c r="AO182" s="60">
        <f t="shared" si="144"/>
        <v>172.32171001882188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-4.5474735088646412E-13</v>
      </c>
      <c r="BE182" s="14">
        <f>BD182*VLOOKUP('Données projet'!$B$11,Paramètres!$A$1:$I$89,3,0)*VLOOKUP('Données projet'!$B$11,Paramètres!$A$1:$I$89,5,0)</f>
        <v>-3.8307916838675739E-13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352.29660374042186</v>
      </c>
      <c r="BJ182" s="60">
        <f t="shared" si="146"/>
        <v>187.26439695305618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-8.1404323282185943E-13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277.03735509061545</v>
      </c>
      <c r="CE182" s="60">
        <f t="shared" si="148"/>
        <v>158.16416492761959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-9.7986685432260874E-13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350.3652766444938</v>
      </c>
      <c r="CZ182" s="60">
        <f t="shared" si="150"/>
        <v>197.04549436738586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3.4106051316484809E-13</v>
      </c>
      <c r="DP182" s="18">
        <f>DO182*VLOOKUP('Données projet'!$B$14,Paramètres!$A$1:$I$89,3,0)*VLOOKUP('Données projet'!$B$14,Paramètres!$A$1:$I$89,5,0)</f>
        <v>2.7134774427395314E-13</v>
      </c>
      <c r="DQ182" s="14">
        <f t="shared" si="176"/>
        <v>3.6292411711343559E-12</v>
      </c>
      <c r="DR182" s="22">
        <f t="shared" si="177"/>
        <v>6.7935256943361388E-12</v>
      </c>
      <c r="DS182" s="60">
        <f t="shared" si="125"/>
        <v>293.33333333334014</v>
      </c>
      <c r="DT182" s="60">
        <f ca="1">AVERAGE(OFFSET($DS$3,0,0,'Données projet'!$E$14+1,1))-AVERAGE(OFFSET($H$3,0,0,'Données projet'!$E$14+1,1))</f>
        <v>382.01991140382955</v>
      </c>
      <c r="DU182" s="60">
        <f t="shared" si="152"/>
        <v>389.53897948144339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323.92137573760789</v>
      </c>
      <c r="EP182" s="60">
        <f t="shared" si="154"/>
        <v>389.53897948144339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2.2737367544323206E-13</v>
      </c>
      <c r="FF182" s="18">
        <f>FE182*VLOOKUP('Données projet'!$B$16,Paramètres!$A$1:$I$89,3,0)*VLOOKUP('Données projet'!$B$16,Paramètres!$A$1:$I$89,5,0)</f>
        <v>1.8089849618263545E-13</v>
      </c>
      <c r="FG182" s="14">
        <f t="shared" si="182"/>
        <v>2.536422473342444E-12</v>
      </c>
      <c r="FH182" s="22">
        <f t="shared" si="183"/>
        <v>4.7326673552561798E-12</v>
      </c>
      <c r="FI182" s="60">
        <f t="shared" si="131"/>
        <v>293.33333333333803</v>
      </c>
      <c r="FJ182" s="60">
        <f ca="1">AVERAGE(OFFSET($FI$3,0,0,'Données projet'!$E$16+1,1))-AVERAGE(OFFSET($H$3,0,0,'Données projet'!$E$16+1,1))</f>
        <v>219.61164494001008</v>
      </c>
      <c r="FK182" s="60">
        <f t="shared" si="156"/>
        <v>219.59799863414111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-6.2527760746888816E-13</v>
      </c>
      <c r="GA182" s="18">
        <f>FZ182*VLOOKUP('Données projet'!$B$17,Paramètres!$A$1:$I$89,3,0)*VLOOKUP('Données projet'!$B$17,Paramètres!$A$1:$I$89,5,0)</f>
        <v>-2.9262992029543964E-13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147.5699668214238</v>
      </c>
      <c r="GF182" s="60">
        <f t="shared" si="158"/>
        <v>70.653739864908346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>
        <f>GU182*VLOOKUP('Données projet'!$B$18,Paramètres!$A$1:$I$89,3,0)*VLOOKUP('Données projet'!$B$18,Paramètres!$A$1:$I$89,5,0)</f>
        <v>0</v>
      </c>
      <c r="GW182" s="14" t="e">
        <f t="shared" si="188"/>
        <v>#NUM!</v>
      </c>
      <c r="GX182" s="22" t="e">
        <f t="shared" si="189"/>
        <v>#NUM!</v>
      </c>
      <c r="GY182" s="60" t="e">
        <f t="shared" si="137"/>
        <v>#NUM!</v>
      </c>
      <c r="GZ182" s="60">
        <f ca="1">AVERAGE(OFFSET($GY$3,0,0,'Données projet'!$E$18+1,1))-AVERAGE(OFFSET($H$3,0,0,'Données projet'!$E$18+1,1))</f>
        <v>136.03899433512379</v>
      </c>
      <c r="HA182" s="60">
        <f t="shared" si="160"/>
        <v>316.56646692826882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3.9050317033536133</v>
      </c>
      <c r="HH182" s="23">
        <f>EXP(-LN(2)/25)*HH181+(1-EXP(-LN(2)/25))/(LN(2)/25)*Calculateur!HC182*Calculateur!HE182*VLOOKUP('Données projet'!$B$18,Paramètres!$A$1:$I$89,3,0)*0.475*44/12</f>
        <v>0.16195579640458138</v>
      </c>
      <c r="HI182" s="23">
        <f>EXP(-LN(2)/2)*HI181+(1-EXP(-LN(2)/2))/(LN(2)/2)*HC182*HF182*VLOOKUP('Données projet'!$B$18,Paramètres!$A$1:$I$89,3,0)*0.475*44/12</f>
        <v>1.0944625201041784E-22</v>
      </c>
      <c r="HJ182" s="24">
        <f t="shared" si="190"/>
        <v>4.066987499758195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-4.1145540308207271E-13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384.44848355636935</v>
      </c>
      <c r="T183" s="60">
        <f t="shared" si="142"/>
        <v>203.5274665601915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-8.7434273154940449E-13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303.73499739059076</v>
      </c>
      <c r="AO183" s="60">
        <f t="shared" si="144"/>
        <v>172.32171001882188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-4.5474735088646412E-13</v>
      </c>
      <c r="BE183" s="14">
        <f>BD183*VLOOKUP('Données projet'!$B$11,Paramètres!$A$1:$I$89,3,0)*VLOOKUP('Données projet'!$B$11,Paramètres!$A$1:$I$89,5,0)</f>
        <v>-3.8307916838675739E-13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352.29660374042186</v>
      </c>
      <c r="BJ183" s="60">
        <f t="shared" si="146"/>
        <v>187.26439695305618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-8.1404323282185943E-13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277.03735509061545</v>
      </c>
      <c r="CE183" s="60">
        <f t="shared" si="148"/>
        <v>158.16416492761959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-9.7986685432260874E-13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350.3652766444938</v>
      </c>
      <c r="CZ183" s="60">
        <f t="shared" si="150"/>
        <v>197.04549436738586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3.4106051316484809E-13</v>
      </c>
      <c r="DP183" s="18">
        <f>DO183*VLOOKUP('Données projet'!$B$14,Paramètres!$A$1:$I$89,3,0)*VLOOKUP('Données projet'!$B$14,Paramètres!$A$1:$I$89,5,0)</f>
        <v>2.7134774427395314E-13</v>
      </c>
      <c r="DQ183" s="14">
        <f t="shared" si="176"/>
        <v>3.6292411711343559E-12</v>
      </c>
      <c r="DR183" s="22">
        <f t="shared" si="177"/>
        <v>6.7935256943361388E-12</v>
      </c>
      <c r="DS183" s="60">
        <f t="shared" si="125"/>
        <v>293.33333333334014</v>
      </c>
      <c r="DT183" s="60">
        <f ca="1">AVERAGE(OFFSET($DS$3,0,0,'Données projet'!$E$14+1,1))-AVERAGE(OFFSET($H$3,0,0,'Données projet'!$E$14+1,1))</f>
        <v>382.01991140382955</v>
      </c>
      <c r="DU183" s="60">
        <f t="shared" si="152"/>
        <v>389.53897948144339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323.92137573760789</v>
      </c>
      <c r="EP183" s="60">
        <f t="shared" si="154"/>
        <v>389.53897948144339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2.2737367544323206E-13</v>
      </c>
      <c r="FF183" s="18">
        <f>FE183*VLOOKUP('Données projet'!$B$16,Paramètres!$A$1:$I$89,3,0)*VLOOKUP('Données projet'!$B$16,Paramètres!$A$1:$I$89,5,0)</f>
        <v>1.8089849618263545E-13</v>
      </c>
      <c r="FG183" s="14">
        <f t="shared" si="182"/>
        <v>2.536422473342444E-12</v>
      </c>
      <c r="FH183" s="22">
        <f t="shared" si="183"/>
        <v>4.7326673552561798E-12</v>
      </c>
      <c r="FI183" s="60">
        <f t="shared" si="131"/>
        <v>293.33333333333803</v>
      </c>
      <c r="FJ183" s="60">
        <f ca="1">AVERAGE(OFFSET($FI$3,0,0,'Données projet'!$E$16+1,1))-AVERAGE(OFFSET($H$3,0,0,'Données projet'!$E$16+1,1))</f>
        <v>219.61164494001008</v>
      </c>
      <c r="FK183" s="60">
        <f t="shared" si="156"/>
        <v>219.59799863414111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-6.2527760746888816E-13</v>
      </c>
      <c r="GA183" s="18">
        <f>FZ183*VLOOKUP('Données projet'!$B$17,Paramètres!$A$1:$I$89,3,0)*VLOOKUP('Données projet'!$B$17,Paramètres!$A$1:$I$89,5,0)</f>
        <v>-2.9262992029543964E-13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147.5699668214238</v>
      </c>
      <c r="GF183" s="60">
        <f t="shared" si="158"/>
        <v>70.653739864908346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>
        <f>GU183*VLOOKUP('Données projet'!$B$18,Paramètres!$A$1:$I$89,3,0)*VLOOKUP('Données projet'!$B$18,Paramètres!$A$1:$I$89,5,0)</f>
        <v>0</v>
      </c>
      <c r="GW183" s="14" t="e">
        <f t="shared" si="188"/>
        <v>#NUM!</v>
      </c>
      <c r="GX183" s="22" t="e">
        <f t="shared" si="189"/>
        <v>#NUM!</v>
      </c>
      <c r="GY183" s="60" t="e">
        <f t="shared" si="137"/>
        <v>#NUM!</v>
      </c>
      <c r="GZ183" s="60">
        <f ca="1">AVERAGE(OFFSET($GY$3,0,0,'Données projet'!$E$18+1,1))-AVERAGE(OFFSET($H$3,0,0,'Données projet'!$E$18+1,1))</f>
        <v>136.03899433512379</v>
      </c>
      <c r="HA183" s="60">
        <f t="shared" si="160"/>
        <v>316.56646692826882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3.8284564134850014</v>
      </c>
      <c r="HH183" s="23">
        <f>EXP(-LN(2)/25)*HH182+(1-EXP(-LN(2)/25))/(LN(2)/25)*Calculateur!HC183*Calculateur!HE183*VLOOKUP('Données projet'!$B$18,Paramètres!$A$1:$I$89,3,0)*0.475*44/12</f>
        <v>0.15752710663501293</v>
      </c>
      <c r="HI183" s="23">
        <f>EXP(-LN(2)/2)*HI182+(1-EXP(-LN(2)/2))/(LN(2)/2)*HC183*HF183*VLOOKUP('Données projet'!$B$18,Paramètres!$A$1:$I$89,3,0)*0.475*44/12</f>
        <v>7.7390186972018268E-23</v>
      </c>
      <c r="HJ183" s="24">
        <f t="shared" si="190"/>
        <v>3.9859835201200142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-4.1145540308207271E-13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384.44848355636935</v>
      </c>
      <c r="T184" s="60">
        <f t="shared" si="142"/>
        <v>203.5274665601915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-8.7434273154940449E-13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303.73499739059076</v>
      </c>
      <c r="AO184" s="60">
        <f t="shared" si="144"/>
        <v>172.32171001882188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-4.5474735088646412E-13</v>
      </c>
      <c r="BE184" s="14">
        <f>BD184*VLOOKUP('Données projet'!$B$11,Paramètres!$A$1:$I$89,3,0)*VLOOKUP('Données projet'!$B$11,Paramètres!$A$1:$I$89,5,0)</f>
        <v>-3.8307916838675739E-13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352.29660374042186</v>
      </c>
      <c r="BJ184" s="60">
        <f t="shared" si="146"/>
        <v>187.26439695305618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-8.1404323282185943E-13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277.03735509061545</v>
      </c>
      <c r="CE184" s="60">
        <f t="shared" si="148"/>
        <v>158.16416492761959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-9.7986685432260874E-13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350.3652766444938</v>
      </c>
      <c r="CZ184" s="60">
        <f t="shared" si="150"/>
        <v>197.04549436738586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3.4106051316484809E-13</v>
      </c>
      <c r="DP184" s="18">
        <f>DO184*VLOOKUP('Données projet'!$B$14,Paramètres!$A$1:$I$89,3,0)*VLOOKUP('Données projet'!$B$14,Paramètres!$A$1:$I$89,5,0)</f>
        <v>2.7134774427395314E-13</v>
      </c>
      <c r="DQ184" s="14">
        <f t="shared" si="176"/>
        <v>3.6292411711343559E-12</v>
      </c>
      <c r="DR184" s="22">
        <f t="shared" si="177"/>
        <v>6.7935256943361388E-12</v>
      </c>
      <c r="DS184" s="60">
        <f t="shared" si="125"/>
        <v>293.33333333334014</v>
      </c>
      <c r="DT184" s="60">
        <f ca="1">AVERAGE(OFFSET($DS$3,0,0,'Données projet'!$E$14+1,1))-AVERAGE(OFFSET($H$3,0,0,'Données projet'!$E$14+1,1))</f>
        <v>382.01991140382955</v>
      </c>
      <c r="DU184" s="60">
        <f t="shared" si="152"/>
        <v>389.53897948144339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323.92137573760789</v>
      </c>
      <c r="EP184" s="60">
        <f t="shared" si="154"/>
        <v>389.53897948144339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2.2737367544323206E-13</v>
      </c>
      <c r="FF184" s="18">
        <f>FE184*VLOOKUP('Données projet'!$B$16,Paramètres!$A$1:$I$89,3,0)*VLOOKUP('Données projet'!$B$16,Paramètres!$A$1:$I$89,5,0)</f>
        <v>1.8089849618263545E-13</v>
      </c>
      <c r="FG184" s="14">
        <f t="shared" si="182"/>
        <v>2.536422473342444E-12</v>
      </c>
      <c r="FH184" s="22">
        <f t="shared" si="183"/>
        <v>4.7326673552561798E-12</v>
      </c>
      <c r="FI184" s="60">
        <f t="shared" si="131"/>
        <v>293.33333333333803</v>
      </c>
      <c r="FJ184" s="60">
        <f ca="1">AVERAGE(OFFSET($FI$3,0,0,'Données projet'!$E$16+1,1))-AVERAGE(OFFSET($H$3,0,0,'Données projet'!$E$16+1,1))</f>
        <v>219.61164494001008</v>
      </c>
      <c r="FK184" s="60">
        <f t="shared" si="156"/>
        <v>219.59799863414111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-6.2527760746888816E-13</v>
      </c>
      <c r="GA184" s="18">
        <f>FZ184*VLOOKUP('Données projet'!$B$17,Paramètres!$A$1:$I$89,3,0)*VLOOKUP('Données projet'!$B$17,Paramètres!$A$1:$I$89,5,0)</f>
        <v>-2.9262992029543964E-13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147.5699668214238</v>
      </c>
      <c r="GF184" s="60">
        <f t="shared" si="158"/>
        <v>70.653739864908346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>
        <f>GU184*VLOOKUP('Données projet'!$B$18,Paramètres!$A$1:$I$89,3,0)*VLOOKUP('Données projet'!$B$18,Paramètres!$A$1:$I$89,5,0)</f>
        <v>0</v>
      </c>
      <c r="GW184" s="14" t="e">
        <f t="shared" si="188"/>
        <v>#NUM!</v>
      </c>
      <c r="GX184" s="22" t="e">
        <f t="shared" si="189"/>
        <v>#NUM!</v>
      </c>
      <c r="GY184" s="60" t="e">
        <f t="shared" si="137"/>
        <v>#NUM!</v>
      </c>
      <c r="GZ184" s="60">
        <f ca="1">AVERAGE(OFFSET($GY$3,0,0,'Données projet'!$E$18+1,1))-AVERAGE(OFFSET($H$3,0,0,'Données projet'!$E$18+1,1))</f>
        <v>136.03899433512379</v>
      </c>
      <c r="HA184" s="60">
        <f t="shared" si="160"/>
        <v>316.56646692826882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3.753382718344398</v>
      </c>
      <c r="HH184" s="23">
        <f>EXP(-LN(2)/25)*HH183+(1-EXP(-LN(2)/25))/(LN(2)/25)*Calculateur!HC184*Calculateur!HE184*VLOOKUP('Données projet'!$B$18,Paramètres!$A$1:$I$89,3,0)*0.475*44/12</f>
        <v>0.15321951962008801</v>
      </c>
      <c r="HI184" s="23">
        <f>EXP(-LN(2)/2)*HI183+(1-EXP(-LN(2)/2))/(LN(2)/2)*HC184*HF184*VLOOKUP('Données projet'!$B$18,Paramètres!$A$1:$I$89,3,0)*0.475*44/12</f>
        <v>5.4723126005208922E-23</v>
      </c>
      <c r="HJ184" s="24">
        <f t="shared" si="190"/>
        <v>3.9066022379644858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-4.1145540308207271E-13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384.44848355636935</v>
      </c>
      <c r="T185" s="60">
        <f t="shared" si="142"/>
        <v>203.5274665601915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-8.7434273154940449E-13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303.73499739059076</v>
      </c>
      <c r="AO185" s="60">
        <f t="shared" si="144"/>
        <v>172.32171001882188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-4.5474735088646412E-13</v>
      </c>
      <c r="BE185" s="14">
        <f>BD185*VLOOKUP('Données projet'!$B$11,Paramètres!$A$1:$I$89,3,0)*VLOOKUP('Données projet'!$B$11,Paramètres!$A$1:$I$89,5,0)</f>
        <v>-3.8307916838675739E-13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352.29660374042186</v>
      </c>
      <c r="BJ185" s="60">
        <f t="shared" si="146"/>
        <v>187.26439695305618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-8.1404323282185943E-13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277.03735509061545</v>
      </c>
      <c r="CE185" s="60">
        <f t="shared" si="148"/>
        <v>158.16416492761959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-9.7986685432260874E-13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350.3652766444938</v>
      </c>
      <c r="CZ185" s="60">
        <f t="shared" si="150"/>
        <v>197.04549436738586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3.4106051316484809E-13</v>
      </c>
      <c r="DP185" s="18">
        <f>DO185*VLOOKUP('Données projet'!$B$14,Paramètres!$A$1:$I$89,3,0)*VLOOKUP('Données projet'!$B$14,Paramètres!$A$1:$I$89,5,0)</f>
        <v>2.7134774427395314E-13</v>
      </c>
      <c r="DQ185" s="14">
        <f t="shared" si="176"/>
        <v>3.6292411711343559E-12</v>
      </c>
      <c r="DR185" s="22">
        <f t="shared" si="177"/>
        <v>6.7935256943361388E-12</v>
      </c>
      <c r="DS185" s="60">
        <f t="shared" si="125"/>
        <v>293.33333333334014</v>
      </c>
      <c r="DT185" s="60">
        <f ca="1">AVERAGE(OFFSET($DS$3,0,0,'Données projet'!$E$14+1,1))-AVERAGE(OFFSET($H$3,0,0,'Données projet'!$E$14+1,1))</f>
        <v>382.01991140382955</v>
      </c>
      <c r="DU185" s="60">
        <f t="shared" si="152"/>
        <v>389.53897948144339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323.92137573760789</v>
      </c>
      <c r="EP185" s="60">
        <f t="shared" si="154"/>
        <v>389.53897948144339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2.2737367544323206E-13</v>
      </c>
      <c r="FF185" s="18">
        <f>FE185*VLOOKUP('Données projet'!$B$16,Paramètres!$A$1:$I$89,3,0)*VLOOKUP('Données projet'!$B$16,Paramètres!$A$1:$I$89,5,0)</f>
        <v>1.8089849618263545E-13</v>
      </c>
      <c r="FG185" s="14">
        <f t="shared" si="182"/>
        <v>2.536422473342444E-12</v>
      </c>
      <c r="FH185" s="22">
        <f t="shared" si="183"/>
        <v>4.7326673552561798E-12</v>
      </c>
      <c r="FI185" s="60">
        <f t="shared" si="131"/>
        <v>293.33333333333803</v>
      </c>
      <c r="FJ185" s="60">
        <f ca="1">AVERAGE(OFFSET($FI$3,0,0,'Données projet'!$E$16+1,1))-AVERAGE(OFFSET($H$3,0,0,'Données projet'!$E$16+1,1))</f>
        <v>219.61164494001008</v>
      </c>
      <c r="FK185" s="60">
        <f t="shared" si="156"/>
        <v>219.59799863414111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-6.2527760746888816E-13</v>
      </c>
      <c r="GA185" s="18">
        <f>FZ185*VLOOKUP('Données projet'!$B$17,Paramètres!$A$1:$I$89,3,0)*VLOOKUP('Données projet'!$B$17,Paramètres!$A$1:$I$89,5,0)</f>
        <v>-2.9262992029543964E-13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147.5699668214238</v>
      </c>
      <c r="GF185" s="60">
        <f t="shared" si="158"/>
        <v>70.653739864908346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>
        <f>GU185*VLOOKUP('Données projet'!$B$18,Paramètres!$A$1:$I$89,3,0)*VLOOKUP('Données projet'!$B$18,Paramètres!$A$1:$I$89,5,0)</f>
        <v>0</v>
      </c>
      <c r="GW185" s="14" t="e">
        <f t="shared" si="188"/>
        <v>#NUM!</v>
      </c>
      <c r="GX185" s="22" t="e">
        <f t="shared" si="189"/>
        <v>#NUM!</v>
      </c>
      <c r="GY185" s="60" t="e">
        <f t="shared" si="137"/>
        <v>#NUM!</v>
      </c>
      <c r="GZ185" s="60">
        <f ca="1">AVERAGE(OFFSET($GY$3,0,0,'Données projet'!$E$18+1,1))-AVERAGE(OFFSET($H$3,0,0,'Données projet'!$E$18+1,1))</f>
        <v>136.03899433512379</v>
      </c>
      <c r="HA185" s="60">
        <f t="shared" si="160"/>
        <v>316.56646692826882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3.6797811725750691</v>
      </c>
      <c r="HH185" s="23">
        <f>EXP(-LN(2)/25)*HH184+(1-EXP(-LN(2)/25))/(LN(2)/25)*Calculateur!HC185*Calculateur!HE185*VLOOKUP('Données projet'!$B$18,Paramètres!$A$1:$I$89,3,0)*0.475*44/12</f>
        <v>0.14902972379861235</v>
      </c>
      <c r="HI185" s="23">
        <f>EXP(-LN(2)/2)*HI184+(1-EXP(-LN(2)/2))/(LN(2)/2)*HC185*HF185*VLOOKUP('Données projet'!$B$18,Paramètres!$A$1:$I$89,3,0)*0.475*44/12</f>
        <v>3.8695093486009134E-23</v>
      </c>
      <c r="HJ185" s="24">
        <f t="shared" si="190"/>
        <v>3.8288108963736813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-4.1145540308207271E-13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384.44848355636935</v>
      </c>
      <c r="T186" s="60">
        <f t="shared" si="142"/>
        <v>203.5274665601915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-8.7434273154940449E-13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303.73499739059076</v>
      </c>
      <c r="AO186" s="60">
        <f t="shared" si="144"/>
        <v>172.32171001882188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-4.5474735088646412E-13</v>
      </c>
      <c r="BE186" s="14">
        <f>BD186*VLOOKUP('Données projet'!$B$11,Paramètres!$A$1:$I$89,3,0)*VLOOKUP('Données projet'!$B$11,Paramètres!$A$1:$I$89,5,0)</f>
        <v>-3.8307916838675739E-13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352.29660374042186</v>
      </c>
      <c r="BJ186" s="60">
        <f t="shared" si="146"/>
        <v>187.26439695305618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-8.1404323282185943E-13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277.03735509061545</v>
      </c>
      <c r="CE186" s="60">
        <f t="shared" si="148"/>
        <v>158.16416492761959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-9.7986685432260874E-13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350.3652766444938</v>
      </c>
      <c r="CZ186" s="60">
        <f t="shared" si="150"/>
        <v>197.04549436738586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3.4106051316484809E-13</v>
      </c>
      <c r="DP186" s="18">
        <f>DO186*VLOOKUP('Données projet'!$B$14,Paramètres!$A$1:$I$89,3,0)*VLOOKUP('Données projet'!$B$14,Paramètres!$A$1:$I$89,5,0)</f>
        <v>2.7134774427395314E-13</v>
      </c>
      <c r="DQ186" s="14">
        <f t="shared" si="176"/>
        <v>3.6292411711343559E-12</v>
      </c>
      <c r="DR186" s="22">
        <f t="shared" si="177"/>
        <v>6.7935256943361388E-12</v>
      </c>
      <c r="DS186" s="60">
        <f t="shared" si="125"/>
        <v>293.33333333334014</v>
      </c>
      <c r="DT186" s="60">
        <f ca="1">AVERAGE(OFFSET($DS$3,0,0,'Données projet'!$E$14+1,1))-AVERAGE(OFFSET($H$3,0,0,'Données projet'!$E$14+1,1))</f>
        <v>382.01991140382955</v>
      </c>
      <c r="DU186" s="60">
        <f t="shared" si="152"/>
        <v>389.53897948144339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323.92137573760789</v>
      </c>
      <c r="EP186" s="60">
        <f t="shared" si="154"/>
        <v>389.53897948144339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2.2737367544323206E-13</v>
      </c>
      <c r="FF186" s="18">
        <f>FE186*VLOOKUP('Données projet'!$B$16,Paramètres!$A$1:$I$89,3,0)*VLOOKUP('Données projet'!$B$16,Paramètres!$A$1:$I$89,5,0)</f>
        <v>1.8089849618263545E-13</v>
      </c>
      <c r="FG186" s="14">
        <f t="shared" si="182"/>
        <v>2.536422473342444E-12</v>
      </c>
      <c r="FH186" s="22">
        <f t="shared" si="183"/>
        <v>4.7326673552561798E-12</v>
      </c>
      <c r="FI186" s="60">
        <f t="shared" si="131"/>
        <v>293.33333333333803</v>
      </c>
      <c r="FJ186" s="60">
        <f ca="1">AVERAGE(OFFSET($FI$3,0,0,'Données projet'!$E$16+1,1))-AVERAGE(OFFSET($H$3,0,0,'Données projet'!$E$16+1,1))</f>
        <v>219.61164494001008</v>
      </c>
      <c r="FK186" s="60">
        <f t="shared" si="156"/>
        <v>219.59799863414111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-6.2527760746888816E-13</v>
      </c>
      <c r="GA186" s="18">
        <f>FZ186*VLOOKUP('Données projet'!$B$17,Paramètres!$A$1:$I$89,3,0)*VLOOKUP('Données projet'!$B$17,Paramètres!$A$1:$I$89,5,0)</f>
        <v>-2.9262992029543964E-13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147.5699668214238</v>
      </c>
      <c r="GF186" s="60">
        <f t="shared" si="158"/>
        <v>70.653739864908346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>
        <f>GU186*VLOOKUP('Données projet'!$B$18,Paramètres!$A$1:$I$89,3,0)*VLOOKUP('Données projet'!$B$18,Paramètres!$A$1:$I$89,5,0)</f>
        <v>0</v>
      </c>
      <c r="GW186" s="14" t="e">
        <f t="shared" si="188"/>
        <v>#NUM!</v>
      </c>
      <c r="GX186" s="22" t="e">
        <f t="shared" si="189"/>
        <v>#NUM!</v>
      </c>
      <c r="GY186" s="60" t="e">
        <f t="shared" si="137"/>
        <v>#NUM!</v>
      </c>
      <c r="GZ186" s="60">
        <f ca="1">AVERAGE(OFFSET($GY$3,0,0,'Données projet'!$E$18+1,1))-AVERAGE(OFFSET($H$3,0,0,'Données projet'!$E$18+1,1))</f>
        <v>136.03899433512379</v>
      </c>
      <c r="HA186" s="60">
        <f t="shared" si="160"/>
        <v>316.56646692826882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3.6076229082257667</v>
      </c>
      <c r="HH186" s="23">
        <f>EXP(-LN(2)/25)*HH185+(1-EXP(-LN(2)/25))/(LN(2)/25)*Calculateur!HC186*Calculateur!HE186*VLOOKUP('Données projet'!$B$18,Paramètres!$A$1:$I$89,3,0)*0.475*44/12</f>
        <v>0.14495449816420672</v>
      </c>
      <c r="HI186" s="23">
        <f>EXP(-LN(2)/2)*HI185+(1-EXP(-LN(2)/2))/(LN(2)/2)*HC186*HF186*VLOOKUP('Données projet'!$B$18,Paramètres!$A$1:$I$89,3,0)*0.475*44/12</f>
        <v>2.7361563002604461E-23</v>
      </c>
      <c r="HJ186" s="24">
        <f t="shared" si="190"/>
        <v>3.7525774063899733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-4.1145540308207271E-13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384.44848355636935</v>
      </c>
      <c r="T187" s="60">
        <f t="shared" si="142"/>
        <v>203.5274665601915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-8.7434273154940449E-13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303.73499739059076</v>
      </c>
      <c r="AO187" s="60">
        <f t="shared" si="144"/>
        <v>172.32171001882188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-4.5474735088646412E-13</v>
      </c>
      <c r="BE187" s="14">
        <f>BD187*VLOOKUP('Données projet'!$B$11,Paramètres!$A$1:$I$89,3,0)*VLOOKUP('Données projet'!$B$11,Paramètres!$A$1:$I$89,5,0)</f>
        <v>-3.8307916838675739E-13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352.29660374042186</v>
      </c>
      <c r="BJ187" s="60">
        <f t="shared" si="146"/>
        <v>187.26439695305618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-8.1404323282185943E-13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277.03735509061545</v>
      </c>
      <c r="CE187" s="60">
        <f t="shared" si="148"/>
        <v>158.16416492761959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-9.7986685432260874E-13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350.3652766444938</v>
      </c>
      <c r="CZ187" s="60">
        <f t="shared" si="150"/>
        <v>197.04549436738586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3.4106051316484809E-13</v>
      </c>
      <c r="DP187" s="18">
        <f>DO187*VLOOKUP('Données projet'!$B$14,Paramètres!$A$1:$I$89,3,0)*VLOOKUP('Données projet'!$B$14,Paramètres!$A$1:$I$89,5,0)</f>
        <v>2.7134774427395314E-13</v>
      </c>
      <c r="DQ187" s="14">
        <f t="shared" si="176"/>
        <v>3.6292411711343559E-12</v>
      </c>
      <c r="DR187" s="22">
        <f t="shared" si="177"/>
        <v>6.7935256943361388E-12</v>
      </c>
      <c r="DS187" s="60">
        <f t="shared" si="125"/>
        <v>293.33333333334014</v>
      </c>
      <c r="DT187" s="60">
        <f ca="1">AVERAGE(OFFSET($DS$3,0,0,'Données projet'!$E$14+1,1))-AVERAGE(OFFSET($H$3,0,0,'Données projet'!$E$14+1,1))</f>
        <v>382.01991140382955</v>
      </c>
      <c r="DU187" s="60">
        <f t="shared" si="152"/>
        <v>389.53897948144339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323.92137573760789</v>
      </c>
      <c r="EP187" s="60">
        <f t="shared" si="154"/>
        <v>389.53897948144339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2.2737367544323206E-13</v>
      </c>
      <c r="FF187" s="18">
        <f>FE187*VLOOKUP('Données projet'!$B$16,Paramètres!$A$1:$I$89,3,0)*VLOOKUP('Données projet'!$B$16,Paramètres!$A$1:$I$89,5,0)</f>
        <v>1.8089849618263545E-13</v>
      </c>
      <c r="FG187" s="14">
        <f t="shared" si="182"/>
        <v>2.536422473342444E-12</v>
      </c>
      <c r="FH187" s="22">
        <f t="shared" si="183"/>
        <v>4.7326673552561798E-12</v>
      </c>
      <c r="FI187" s="60">
        <f t="shared" si="131"/>
        <v>293.33333333333803</v>
      </c>
      <c r="FJ187" s="60">
        <f ca="1">AVERAGE(OFFSET($FI$3,0,0,'Données projet'!$E$16+1,1))-AVERAGE(OFFSET($H$3,0,0,'Données projet'!$E$16+1,1))</f>
        <v>219.61164494001008</v>
      </c>
      <c r="FK187" s="60">
        <f t="shared" si="156"/>
        <v>219.59799863414111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-6.2527760746888816E-13</v>
      </c>
      <c r="GA187" s="18">
        <f>FZ187*VLOOKUP('Données projet'!$B$17,Paramètres!$A$1:$I$89,3,0)*VLOOKUP('Données projet'!$B$17,Paramètres!$A$1:$I$89,5,0)</f>
        <v>-2.9262992029543964E-13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147.5699668214238</v>
      </c>
      <c r="GF187" s="60">
        <f t="shared" si="158"/>
        <v>70.653739864908346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>
        <f>GU187*VLOOKUP('Données projet'!$B$18,Paramètres!$A$1:$I$89,3,0)*VLOOKUP('Données projet'!$B$18,Paramètres!$A$1:$I$89,5,0)</f>
        <v>0</v>
      </c>
      <c r="GW187" s="14" t="e">
        <f t="shared" si="188"/>
        <v>#NUM!</v>
      </c>
      <c r="GX187" s="22" t="e">
        <f t="shared" si="189"/>
        <v>#NUM!</v>
      </c>
      <c r="GY187" s="60" t="e">
        <f t="shared" si="137"/>
        <v>#NUM!</v>
      </c>
      <c r="GZ187" s="60">
        <f ca="1">AVERAGE(OFFSET($GY$3,0,0,'Données projet'!$E$18+1,1))-AVERAGE(OFFSET($H$3,0,0,'Données projet'!$E$18+1,1))</f>
        <v>136.03899433512379</v>
      </c>
      <c r="HA187" s="60">
        <f t="shared" si="160"/>
        <v>316.56646692826882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3.5368796234281588</v>
      </c>
      <c r="HH187" s="23">
        <f>EXP(-LN(2)/25)*HH186+(1-EXP(-LN(2)/25))/(LN(2)/25)*Calculateur!HC187*Calculateur!HE187*VLOOKUP('Données projet'!$B$18,Paramètres!$A$1:$I$89,3,0)*0.475*44/12</f>
        <v>0.14099070978908074</v>
      </c>
      <c r="HI187" s="23">
        <f>EXP(-LN(2)/2)*HI186+(1-EXP(-LN(2)/2))/(LN(2)/2)*HC187*HF187*VLOOKUP('Données projet'!$B$18,Paramètres!$A$1:$I$89,3,0)*0.475*44/12</f>
        <v>1.9347546743004567E-23</v>
      </c>
      <c r="HJ187" s="24">
        <f t="shared" si="190"/>
        <v>3.6778703332172396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-4.1145540308207271E-13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384.44848355636935</v>
      </c>
      <c r="T188" s="60">
        <f t="shared" si="142"/>
        <v>203.5274665601915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-8.7434273154940449E-13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303.73499739059076</v>
      </c>
      <c r="AO188" s="60">
        <f t="shared" si="144"/>
        <v>172.32171001882188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-4.5474735088646412E-13</v>
      </c>
      <c r="BE188" s="14">
        <f>BD188*VLOOKUP('Données projet'!$B$11,Paramètres!$A$1:$I$89,3,0)*VLOOKUP('Données projet'!$B$11,Paramètres!$A$1:$I$89,5,0)</f>
        <v>-3.8307916838675739E-13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352.29660374042186</v>
      </c>
      <c r="BJ188" s="60">
        <f t="shared" si="146"/>
        <v>187.26439695305618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-8.1404323282185943E-13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277.03735509061545</v>
      </c>
      <c r="CE188" s="60">
        <f t="shared" si="148"/>
        <v>158.16416492761959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-9.7986685432260874E-13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350.3652766444938</v>
      </c>
      <c r="CZ188" s="60">
        <f t="shared" si="150"/>
        <v>197.04549436738586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3.4106051316484809E-13</v>
      </c>
      <c r="DP188" s="18">
        <f>DO188*VLOOKUP('Données projet'!$B$14,Paramètres!$A$1:$I$89,3,0)*VLOOKUP('Données projet'!$B$14,Paramètres!$A$1:$I$89,5,0)</f>
        <v>2.7134774427395314E-13</v>
      </c>
      <c r="DQ188" s="14">
        <f t="shared" si="176"/>
        <v>3.6292411711343559E-12</v>
      </c>
      <c r="DR188" s="22">
        <f t="shared" si="177"/>
        <v>6.7935256943361388E-12</v>
      </c>
      <c r="DS188" s="60">
        <f t="shared" si="125"/>
        <v>293.33333333334014</v>
      </c>
      <c r="DT188" s="60">
        <f ca="1">AVERAGE(OFFSET($DS$3,0,0,'Données projet'!$E$14+1,1))-AVERAGE(OFFSET($H$3,0,0,'Données projet'!$E$14+1,1))</f>
        <v>382.01991140382955</v>
      </c>
      <c r="DU188" s="60">
        <f t="shared" si="152"/>
        <v>389.53897948144339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323.92137573760789</v>
      </c>
      <c r="EP188" s="60">
        <f t="shared" si="154"/>
        <v>389.53897948144339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2.2737367544323206E-13</v>
      </c>
      <c r="FF188" s="18">
        <f>FE188*VLOOKUP('Données projet'!$B$16,Paramètres!$A$1:$I$89,3,0)*VLOOKUP('Données projet'!$B$16,Paramètres!$A$1:$I$89,5,0)</f>
        <v>1.8089849618263545E-13</v>
      </c>
      <c r="FG188" s="14">
        <f t="shared" si="182"/>
        <v>2.536422473342444E-12</v>
      </c>
      <c r="FH188" s="22">
        <f t="shared" si="183"/>
        <v>4.7326673552561798E-12</v>
      </c>
      <c r="FI188" s="60">
        <f t="shared" si="131"/>
        <v>293.33333333333803</v>
      </c>
      <c r="FJ188" s="60">
        <f ca="1">AVERAGE(OFFSET($FI$3,0,0,'Données projet'!$E$16+1,1))-AVERAGE(OFFSET($H$3,0,0,'Données projet'!$E$16+1,1))</f>
        <v>219.61164494001008</v>
      </c>
      <c r="FK188" s="60">
        <f t="shared" si="156"/>
        <v>219.59799863414111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-6.2527760746888816E-13</v>
      </c>
      <c r="GA188" s="18">
        <f>FZ188*VLOOKUP('Données projet'!$B$17,Paramètres!$A$1:$I$89,3,0)*VLOOKUP('Données projet'!$B$17,Paramètres!$A$1:$I$89,5,0)</f>
        <v>-2.9262992029543964E-13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147.5699668214238</v>
      </c>
      <c r="GF188" s="60">
        <f t="shared" si="158"/>
        <v>70.653739864908346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>
        <f>GU188*VLOOKUP('Données projet'!$B$18,Paramètres!$A$1:$I$89,3,0)*VLOOKUP('Données projet'!$B$18,Paramètres!$A$1:$I$89,5,0)</f>
        <v>0</v>
      </c>
      <c r="GW188" s="14" t="e">
        <f t="shared" si="188"/>
        <v>#NUM!</v>
      </c>
      <c r="GX188" s="22" t="e">
        <f t="shared" si="189"/>
        <v>#NUM!</v>
      </c>
      <c r="GY188" s="60" t="e">
        <f t="shared" si="137"/>
        <v>#NUM!</v>
      </c>
      <c r="GZ188" s="60">
        <f ca="1">AVERAGE(OFFSET($GY$3,0,0,'Données projet'!$E$18+1,1))-AVERAGE(OFFSET($H$3,0,0,'Données projet'!$E$18+1,1))</f>
        <v>136.03899433512379</v>
      </c>
      <c r="HA188" s="60">
        <f t="shared" si="160"/>
        <v>316.56646692826882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3.4675235712962889</v>
      </c>
      <c r="HH188" s="23">
        <f>EXP(-LN(2)/25)*HH187+(1-EXP(-LN(2)/25))/(LN(2)/25)*Calculateur!HC188*Calculateur!HE188*VLOOKUP('Données projet'!$B$18,Paramètres!$A$1:$I$89,3,0)*0.475*44/12</f>
        <v>0.13713531141551913</v>
      </c>
      <c r="HI188" s="23">
        <f>EXP(-LN(2)/2)*HI187+(1-EXP(-LN(2)/2))/(LN(2)/2)*HC188*HF188*VLOOKUP('Données projet'!$B$18,Paramètres!$A$1:$I$89,3,0)*0.475*44/12</f>
        <v>1.3680781501302231E-23</v>
      </c>
      <c r="HJ188" s="24">
        <f t="shared" si="190"/>
        <v>3.6046588827118078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-4.1145540308207271E-13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384.44848355636935</v>
      </c>
      <c r="T189" s="60">
        <f t="shared" si="142"/>
        <v>203.5274665601915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-8.7434273154940449E-13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303.73499739059076</v>
      </c>
      <c r="AO189" s="60">
        <f t="shared" si="144"/>
        <v>172.32171001882188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-4.5474735088646412E-13</v>
      </c>
      <c r="BE189" s="14">
        <f>BD189*VLOOKUP('Données projet'!$B$11,Paramètres!$A$1:$I$89,3,0)*VLOOKUP('Données projet'!$B$11,Paramètres!$A$1:$I$89,5,0)</f>
        <v>-3.8307916838675739E-13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352.29660374042186</v>
      </c>
      <c r="BJ189" s="60">
        <f t="shared" si="146"/>
        <v>187.26439695305618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-8.1404323282185943E-13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277.03735509061545</v>
      </c>
      <c r="CE189" s="60">
        <f t="shared" si="148"/>
        <v>158.16416492761959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-9.7986685432260874E-13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350.3652766444938</v>
      </c>
      <c r="CZ189" s="60">
        <f t="shared" si="150"/>
        <v>197.04549436738586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3.4106051316484809E-13</v>
      </c>
      <c r="DP189" s="18">
        <f>DO189*VLOOKUP('Données projet'!$B$14,Paramètres!$A$1:$I$89,3,0)*VLOOKUP('Données projet'!$B$14,Paramètres!$A$1:$I$89,5,0)</f>
        <v>2.7134774427395314E-13</v>
      </c>
      <c r="DQ189" s="14">
        <f t="shared" si="176"/>
        <v>3.6292411711343559E-12</v>
      </c>
      <c r="DR189" s="22">
        <f t="shared" si="177"/>
        <v>6.7935256943361388E-12</v>
      </c>
      <c r="DS189" s="60">
        <f t="shared" si="125"/>
        <v>293.33333333334014</v>
      </c>
      <c r="DT189" s="60">
        <f ca="1">AVERAGE(OFFSET($DS$3,0,0,'Données projet'!$E$14+1,1))-AVERAGE(OFFSET($H$3,0,0,'Données projet'!$E$14+1,1))</f>
        <v>382.01991140382955</v>
      </c>
      <c r="DU189" s="60">
        <f t="shared" si="152"/>
        <v>389.53897948144339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323.92137573760789</v>
      </c>
      <c r="EP189" s="60">
        <f t="shared" si="154"/>
        <v>389.53897948144339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2.2737367544323206E-13</v>
      </c>
      <c r="FF189" s="18">
        <f>FE189*VLOOKUP('Données projet'!$B$16,Paramètres!$A$1:$I$89,3,0)*VLOOKUP('Données projet'!$B$16,Paramètres!$A$1:$I$89,5,0)</f>
        <v>1.8089849618263545E-13</v>
      </c>
      <c r="FG189" s="14">
        <f t="shared" si="182"/>
        <v>2.536422473342444E-12</v>
      </c>
      <c r="FH189" s="22">
        <f t="shared" si="183"/>
        <v>4.7326673552561798E-12</v>
      </c>
      <c r="FI189" s="60">
        <f t="shared" si="131"/>
        <v>293.33333333333803</v>
      </c>
      <c r="FJ189" s="60">
        <f ca="1">AVERAGE(OFFSET($FI$3,0,0,'Données projet'!$E$16+1,1))-AVERAGE(OFFSET($H$3,0,0,'Données projet'!$E$16+1,1))</f>
        <v>219.61164494001008</v>
      </c>
      <c r="FK189" s="60">
        <f t="shared" si="156"/>
        <v>219.59799863414111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-6.2527760746888816E-13</v>
      </c>
      <c r="GA189" s="18">
        <f>FZ189*VLOOKUP('Données projet'!$B$17,Paramètres!$A$1:$I$89,3,0)*VLOOKUP('Données projet'!$B$17,Paramètres!$A$1:$I$89,5,0)</f>
        <v>-2.9262992029543964E-13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147.5699668214238</v>
      </c>
      <c r="GF189" s="60">
        <f t="shared" si="158"/>
        <v>70.653739864908346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>
        <f>GU189*VLOOKUP('Données projet'!$B$18,Paramètres!$A$1:$I$89,3,0)*VLOOKUP('Données projet'!$B$18,Paramètres!$A$1:$I$89,5,0)</f>
        <v>0</v>
      </c>
      <c r="GW189" s="14" t="e">
        <f t="shared" si="188"/>
        <v>#NUM!</v>
      </c>
      <c r="GX189" s="22" t="e">
        <f t="shared" si="189"/>
        <v>#NUM!</v>
      </c>
      <c r="GY189" s="60" t="e">
        <f t="shared" si="137"/>
        <v>#NUM!</v>
      </c>
      <c r="GZ189" s="60">
        <f ca="1">AVERAGE(OFFSET($GY$3,0,0,'Données projet'!$E$18+1,1))-AVERAGE(OFFSET($H$3,0,0,'Données projet'!$E$18+1,1))</f>
        <v>136.03899433512379</v>
      </c>
      <c r="HA189" s="60">
        <f t="shared" si="160"/>
        <v>316.56646692826882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3.39952754904371</v>
      </c>
      <c r="HH189" s="23">
        <f>EXP(-LN(2)/25)*HH188+(1-EXP(-LN(2)/25))/(LN(2)/25)*Calculateur!HC189*Calculateur!HE189*VLOOKUP('Données projet'!$B$18,Paramètres!$A$1:$I$89,3,0)*0.475*44/12</f>
        <v>0.13338533911322917</v>
      </c>
      <c r="HI189" s="23">
        <f>EXP(-LN(2)/2)*HI188+(1-EXP(-LN(2)/2))/(LN(2)/2)*HC189*HF189*VLOOKUP('Données projet'!$B$18,Paramètres!$A$1:$I$89,3,0)*0.475*44/12</f>
        <v>9.6737733715022835E-24</v>
      </c>
      <c r="HJ189" s="24">
        <f t="shared" si="190"/>
        <v>3.5329128881569392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-4.1145540308207271E-13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384.44848355636935</v>
      </c>
      <c r="T190" s="60">
        <f t="shared" si="142"/>
        <v>203.5274665601915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-8.7434273154940449E-13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303.73499739059076</v>
      </c>
      <c r="AO190" s="60">
        <f t="shared" si="144"/>
        <v>172.32171001882188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-4.5474735088646412E-13</v>
      </c>
      <c r="BE190" s="14">
        <f>BD190*VLOOKUP('Données projet'!$B$11,Paramètres!$A$1:$I$89,3,0)*VLOOKUP('Données projet'!$B$11,Paramètres!$A$1:$I$89,5,0)</f>
        <v>-3.8307916838675739E-13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352.29660374042186</v>
      </c>
      <c r="BJ190" s="60">
        <f t="shared" si="146"/>
        <v>187.26439695305618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-8.1404323282185943E-13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277.03735509061545</v>
      </c>
      <c r="CE190" s="60">
        <f t="shared" si="148"/>
        <v>158.16416492761959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-9.7986685432260874E-13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350.3652766444938</v>
      </c>
      <c r="CZ190" s="60">
        <f t="shared" si="150"/>
        <v>197.04549436738586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3.4106051316484809E-13</v>
      </c>
      <c r="DP190" s="18">
        <f>DO190*VLOOKUP('Données projet'!$B$14,Paramètres!$A$1:$I$89,3,0)*VLOOKUP('Données projet'!$B$14,Paramètres!$A$1:$I$89,5,0)</f>
        <v>2.7134774427395314E-13</v>
      </c>
      <c r="DQ190" s="14">
        <f t="shared" si="176"/>
        <v>3.6292411711343559E-12</v>
      </c>
      <c r="DR190" s="22">
        <f t="shared" si="177"/>
        <v>6.7935256943361388E-12</v>
      </c>
      <c r="DS190" s="60">
        <f t="shared" si="125"/>
        <v>293.33333333334014</v>
      </c>
      <c r="DT190" s="60">
        <f ca="1">AVERAGE(OFFSET($DS$3,0,0,'Données projet'!$E$14+1,1))-AVERAGE(OFFSET($H$3,0,0,'Données projet'!$E$14+1,1))</f>
        <v>382.01991140382955</v>
      </c>
      <c r="DU190" s="60">
        <f t="shared" si="152"/>
        <v>389.53897948144339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323.92137573760789</v>
      </c>
      <c r="EP190" s="60">
        <f t="shared" si="154"/>
        <v>389.53897948144339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2.2737367544323206E-13</v>
      </c>
      <c r="FF190" s="18">
        <f>FE190*VLOOKUP('Données projet'!$B$16,Paramètres!$A$1:$I$89,3,0)*VLOOKUP('Données projet'!$B$16,Paramètres!$A$1:$I$89,5,0)</f>
        <v>1.8089849618263545E-13</v>
      </c>
      <c r="FG190" s="14">
        <f t="shared" si="182"/>
        <v>2.536422473342444E-12</v>
      </c>
      <c r="FH190" s="22">
        <f t="shared" si="183"/>
        <v>4.7326673552561798E-12</v>
      </c>
      <c r="FI190" s="60">
        <f t="shared" si="131"/>
        <v>293.33333333333803</v>
      </c>
      <c r="FJ190" s="60">
        <f ca="1">AVERAGE(OFFSET($FI$3,0,0,'Données projet'!$E$16+1,1))-AVERAGE(OFFSET($H$3,0,0,'Données projet'!$E$16+1,1))</f>
        <v>219.61164494001008</v>
      </c>
      <c r="FK190" s="60">
        <f t="shared" si="156"/>
        <v>219.59799863414111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-6.2527760746888816E-13</v>
      </c>
      <c r="GA190" s="18">
        <f>FZ190*VLOOKUP('Données projet'!$B$17,Paramètres!$A$1:$I$89,3,0)*VLOOKUP('Données projet'!$B$17,Paramètres!$A$1:$I$89,5,0)</f>
        <v>-2.9262992029543964E-13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147.5699668214238</v>
      </c>
      <c r="GF190" s="60">
        <f t="shared" si="158"/>
        <v>70.653739864908346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>
        <f>GU190*VLOOKUP('Données projet'!$B$18,Paramètres!$A$1:$I$89,3,0)*VLOOKUP('Données projet'!$B$18,Paramètres!$A$1:$I$89,5,0)</f>
        <v>0</v>
      </c>
      <c r="GW190" s="14" t="e">
        <f t="shared" si="188"/>
        <v>#NUM!</v>
      </c>
      <c r="GX190" s="22" t="e">
        <f t="shared" si="189"/>
        <v>#NUM!</v>
      </c>
      <c r="GY190" s="60" t="e">
        <f t="shared" si="137"/>
        <v>#NUM!</v>
      </c>
      <c r="GZ190" s="60">
        <f ca="1">AVERAGE(OFFSET($GY$3,0,0,'Données projet'!$E$18+1,1))-AVERAGE(OFFSET($H$3,0,0,'Données projet'!$E$18+1,1))</f>
        <v>136.03899433512379</v>
      </c>
      <c r="HA190" s="60">
        <f t="shared" si="160"/>
        <v>316.56646692826882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3.3328648873140261</v>
      </c>
      <c r="HH190" s="23">
        <f>EXP(-LN(2)/25)*HH189+(1-EXP(-LN(2)/25))/(LN(2)/25)*Calculateur!HC190*Calculateur!HE190*VLOOKUP('Données projet'!$B$18,Paramètres!$A$1:$I$89,3,0)*0.475*44/12</f>
        <v>0.12973791000074777</v>
      </c>
      <c r="HI190" s="23">
        <f>EXP(-LN(2)/2)*HI189+(1-EXP(-LN(2)/2))/(LN(2)/2)*HC190*HF190*VLOOKUP('Données projet'!$B$18,Paramètres!$A$1:$I$89,3,0)*0.475*44/12</f>
        <v>6.8403907506511153E-24</v>
      </c>
      <c r="HJ190" s="24">
        <f t="shared" si="190"/>
        <v>3.4626027973147737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-4.1145540308207271E-13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384.44848355636935</v>
      </c>
      <c r="T191" s="60">
        <f t="shared" si="142"/>
        <v>203.5274665601915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-8.7434273154940449E-13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303.73499739059076</v>
      </c>
      <c r="AO191" s="60">
        <f t="shared" si="144"/>
        <v>172.32171001882188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-4.5474735088646412E-13</v>
      </c>
      <c r="BE191" s="14">
        <f>BD191*VLOOKUP('Données projet'!$B$11,Paramètres!$A$1:$I$89,3,0)*VLOOKUP('Données projet'!$B$11,Paramètres!$A$1:$I$89,5,0)</f>
        <v>-3.8307916838675739E-13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352.29660374042186</v>
      </c>
      <c r="BJ191" s="60">
        <f t="shared" si="146"/>
        <v>187.26439695305618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-8.1404323282185943E-13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277.03735509061545</v>
      </c>
      <c r="CE191" s="60">
        <f t="shared" si="148"/>
        <v>158.16416492761959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-9.7986685432260874E-13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350.3652766444938</v>
      </c>
      <c r="CZ191" s="60">
        <f t="shared" si="150"/>
        <v>197.04549436738586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3.4106051316484809E-13</v>
      </c>
      <c r="DP191" s="18">
        <f>DO191*VLOOKUP('Données projet'!$B$14,Paramètres!$A$1:$I$89,3,0)*VLOOKUP('Données projet'!$B$14,Paramètres!$A$1:$I$89,5,0)</f>
        <v>2.7134774427395314E-13</v>
      </c>
      <c r="DQ191" s="14">
        <f t="shared" si="176"/>
        <v>3.6292411711343559E-12</v>
      </c>
      <c r="DR191" s="22">
        <f t="shared" si="177"/>
        <v>6.7935256943361388E-12</v>
      </c>
      <c r="DS191" s="60">
        <f t="shared" si="125"/>
        <v>293.33333333334014</v>
      </c>
      <c r="DT191" s="60">
        <f ca="1">AVERAGE(OFFSET($DS$3,0,0,'Données projet'!$E$14+1,1))-AVERAGE(OFFSET($H$3,0,0,'Données projet'!$E$14+1,1))</f>
        <v>382.01991140382955</v>
      </c>
      <c r="DU191" s="60">
        <f t="shared" si="152"/>
        <v>389.53897948144339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323.92137573760789</v>
      </c>
      <c r="EP191" s="60">
        <f t="shared" si="154"/>
        <v>389.53897948144339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2.2737367544323206E-13</v>
      </c>
      <c r="FF191" s="18">
        <f>FE191*VLOOKUP('Données projet'!$B$16,Paramètres!$A$1:$I$89,3,0)*VLOOKUP('Données projet'!$B$16,Paramètres!$A$1:$I$89,5,0)</f>
        <v>1.8089849618263545E-13</v>
      </c>
      <c r="FG191" s="14">
        <f t="shared" si="182"/>
        <v>2.536422473342444E-12</v>
      </c>
      <c r="FH191" s="22">
        <f t="shared" si="183"/>
        <v>4.7326673552561798E-12</v>
      </c>
      <c r="FI191" s="60">
        <f t="shared" si="131"/>
        <v>293.33333333333803</v>
      </c>
      <c r="FJ191" s="60">
        <f ca="1">AVERAGE(OFFSET($FI$3,0,0,'Données projet'!$E$16+1,1))-AVERAGE(OFFSET($H$3,0,0,'Données projet'!$E$16+1,1))</f>
        <v>219.61164494001008</v>
      </c>
      <c r="FK191" s="60">
        <f t="shared" si="156"/>
        <v>219.59799863414111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-6.2527760746888816E-13</v>
      </c>
      <c r="GA191" s="18">
        <f>FZ191*VLOOKUP('Données projet'!$B$17,Paramètres!$A$1:$I$89,3,0)*VLOOKUP('Données projet'!$B$17,Paramètres!$A$1:$I$89,5,0)</f>
        <v>-2.9262992029543964E-13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147.5699668214238</v>
      </c>
      <c r="GF191" s="60">
        <f t="shared" si="158"/>
        <v>70.653739864908346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>
        <f>GU191*VLOOKUP('Données projet'!$B$18,Paramètres!$A$1:$I$89,3,0)*VLOOKUP('Données projet'!$B$18,Paramètres!$A$1:$I$89,5,0)</f>
        <v>0</v>
      </c>
      <c r="GW191" s="14" t="e">
        <f t="shared" si="188"/>
        <v>#NUM!</v>
      </c>
      <c r="GX191" s="22" t="e">
        <f t="shared" si="189"/>
        <v>#NUM!</v>
      </c>
      <c r="GY191" s="60" t="e">
        <f t="shared" si="137"/>
        <v>#NUM!</v>
      </c>
      <c r="GZ191" s="60">
        <f ca="1">AVERAGE(OFFSET($GY$3,0,0,'Données projet'!$E$18+1,1))-AVERAGE(OFFSET($H$3,0,0,'Données projet'!$E$18+1,1))</f>
        <v>136.03899433512379</v>
      </c>
      <c r="HA191" s="60">
        <f t="shared" si="160"/>
        <v>316.56646692826882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3.2675094397206523</v>
      </c>
      <c r="HH191" s="23">
        <f>EXP(-LN(2)/25)*HH190+(1-EXP(-LN(2)/25))/(LN(2)/25)*Calculateur!HC191*Calculateur!HE191*VLOOKUP('Données projet'!$B$18,Paramètres!$A$1:$I$89,3,0)*0.475*44/12</f>
        <v>0.12619022002915717</v>
      </c>
      <c r="HI191" s="23">
        <f>EXP(-LN(2)/2)*HI190+(1-EXP(-LN(2)/2))/(LN(2)/2)*HC191*HF191*VLOOKUP('Données projet'!$B$18,Paramètres!$A$1:$I$89,3,0)*0.475*44/12</f>
        <v>4.8368866857511418E-24</v>
      </c>
      <c r="HJ191" s="24">
        <f t="shared" si="190"/>
        <v>3.3936996597498097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-4.1145540308207271E-13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384.44848355636935</v>
      </c>
      <c r="T192" s="60">
        <f t="shared" si="142"/>
        <v>203.5274665601915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-8.7434273154940449E-13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303.73499739059076</v>
      </c>
      <c r="AO192" s="60">
        <f t="shared" si="144"/>
        <v>172.32171001882188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-4.5474735088646412E-13</v>
      </c>
      <c r="BE192" s="14">
        <f>BD192*VLOOKUP('Données projet'!$B$11,Paramètres!$A$1:$I$89,3,0)*VLOOKUP('Données projet'!$B$11,Paramètres!$A$1:$I$89,5,0)</f>
        <v>-3.8307916838675739E-13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352.29660374042186</v>
      </c>
      <c r="BJ192" s="60">
        <f t="shared" si="146"/>
        <v>187.26439695305618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-8.1404323282185943E-13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277.03735509061545</v>
      </c>
      <c r="CE192" s="60">
        <f t="shared" si="148"/>
        <v>158.16416492761959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-9.7986685432260874E-13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350.3652766444938</v>
      </c>
      <c r="CZ192" s="60">
        <f t="shared" si="150"/>
        <v>197.04549436738586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3.4106051316484809E-13</v>
      </c>
      <c r="DP192" s="18">
        <f>DO192*VLOOKUP('Données projet'!$B$14,Paramètres!$A$1:$I$89,3,0)*VLOOKUP('Données projet'!$B$14,Paramètres!$A$1:$I$89,5,0)</f>
        <v>2.7134774427395314E-13</v>
      </c>
      <c r="DQ192" s="14">
        <f t="shared" si="176"/>
        <v>3.6292411711343559E-12</v>
      </c>
      <c r="DR192" s="22">
        <f t="shared" si="177"/>
        <v>6.7935256943361388E-12</v>
      </c>
      <c r="DS192" s="60">
        <f t="shared" si="125"/>
        <v>293.33333333334014</v>
      </c>
      <c r="DT192" s="60">
        <f ca="1">AVERAGE(OFFSET($DS$3,0,0,'Données projet'!$E$14+1,1))-AVERAGE(OFFSET($H$3,0,0,'Données projet'!$E$14+1,1))</f>
        <v>382.01991140382955</v>
      </c>
      <c r="DU192" s="60">
        <f t="shared" si="152"/>
        <v>389.53897948144339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323.92137573760789</v>
      </c>
      <c r="EP192" s="60">
        <f t="shared" si="154"/>
        <v>389.53897948144339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2.2737367544323206E-13</v>
      </c>
      <c r="FF192" s="18">
        <f>FE192*VLOOKUP('Données projet'!$B$16,Paramètres!$A$1:$I$89,3,0)*VLOOKUP('Données projet'!$B$16,Paramètres!$A$1:$I$89,5,0)</f>
        <v>1.8089849618263545E-13</v>
      </c>
      <c r="FG192" s="14">
        <f t="shared" si="182"/>
        <v>2.536422473342444E-12</v>
      </c>
      <c r="FH192" s="22">
        <f t="shared" si="183"/>
        <v>4.7326673552561798E-12</v>
      </c>
      <c r="FI192" s="60">
        <f t="shared" si="131"/>
        <v>293.33333333333803</v>
      </c>
      <c r="FJ192" s="60">
        <f ca="1">AVERAGE(OFFSET($FI$3,0,0,'Données projet'!$E$16+1,1))-AVERAGE(OFFSET($H$3,0,0,'Données projet'!$E$16+1,1))</f>
        <v>219.61164494001008</v>
      </c>
      <c r="FK192" s="60">
        <f t="shared" si="156"/>
        <v>219.59799863414111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-6.2527760746888816E-13</v>
      </c>
      <c r="GA192" s="18">
        <f>FZ192*VLOOKUP('Données projet'!$B$17,Paramètres!$A$1:$I$89,3,0)*VLOOKUP('Données projet'!$B$17,Paramètres!$A$1:$I$89,5,0)</f>
        <v>-2.9262992029543964E-13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147.5699668214238</v>
      </c>
      <c r="GF192" s="60">
        <f t="shared" si="158"/>
        <v>70.653739864908346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>
        <f>GU192*VLOOKUP('Données projet'!$B$18,Paramètres!$A$1:$I$89,3,0)*VLOOKUP('Données projet'!$B$18,Paramètres!$A$1:$I$89,5,0)</f>
        <v>0</v>
      </c>
      <c r="GW192" s="14" t="e">
        <f t="shared" si="188"/>
        <v>#NUM!</v>
      </c>
      <c r="GX192" s="22" t="e">
        <f t="shared" si="189"/>
        <v>#NUM!</v>
      </c>
      <c r="GY192" s="60" t="e">
        <f t="shared" si="137"/>
        <v>#NUM!</v>
      </c>
      <c r="GZ192" s="60">
        <f ca="1">AVERAGE(OFFSET($GY$3,0,0,'Données projet'!$E$18+1,1))-AVERAGE(OFFSET($H$3,0,0,'Données projet'!$E$18+1,1))</f>
        <v>136.03899433512379</v>
      </c>
      <c r="HA192" s="60">
        <f t="shared" si="160"/>
        <v>316.56646692826882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3.2034355725916979</v>
      </c>
      <c r="HH192" s="23">
        <f>EXP(-LN(2)/25)*HH191+(1-EXP(-LN(2)/25))/(LN(2)/25)*Calculateur!HC192*Calculateur!HE192*VLOOKUP('Données projet'!$B$18,Paramètres!$A$1:$I$89,3,0)*0.475*44/12</f>
        <v>0.12273954182640461</v>
      </c>
      <c r="HI192" s="23">
        <f>EXP(-LN(2)/2)*HI191+(1-EXP(-LN(2)/2))/(LN(2)/2)*HC192*HF192*VLOOKUP('Données projet'!$B$18,Paramètres!$A$1:$I$89,3,0)*0.475*44/12</f>
        <v>3.4201953753255576E-24</v>
      </c>
      <c r="HJ192" s="24">
        <f t="shared" si="190"/>
        <v>3.3261751144181027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-4.1145540308207271E-13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384.44848355636935</v>
      </c>
      <c r="T193" s="60">
        <f t="shared" si="142"/>
        <v>203.5274665601915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-8.7434273154940449E-13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303.73499739059076</v>
      </c>
      <c r="AO193" s="60">
        <f t="shared" si="144"/>
        <v>172.32171001882188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-4.5474735088646412E-13</v>
      </c>
      <c r="BE193" s="14">
        <f>BD193*VLOOKUP('Données projet'!$B$11,Paramètres!$A$1:$I$89,3,0)*VLOOKUP('Données projet'!$B$11,Paramètres!$A$1:$I$89,5,0)</f>
        <v>-3.8307916838675739E-13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352.29660374042186</v>
      </c>
      <c r="BJ193" s="60">
        <f t="shared" si="146"/>
        <v>187.26439695305618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-8.1404323282185943E-13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277.03735509061545</v>
      </c>
      <c r="CE193" s="60">
        <f t="shared" si="148"/>
        <v>158.16416492761959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-9.7986685432260874E-13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350.3652766444938</v>
      </c>
      <c r="CZ193" s="60">
        <f t="shared" si="150"/>
        <v>197.04549436738586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3.4106051316484809E-13</v>
      </c>
      <c r="DP193" s="18">
        <f>DO193*VLOOKUP('Données projet'!$B$14,Paramètres!$A$1:$I$89,3,0)*VLOOKUP('Données projet'!$B$14,Paramètres!$A$1:$I$89,5,0)</f>
        <v>2.7134774427395314E-13</v>
      </c>
      <c r="DQ193" s="14">
        <f t="shared" si="176"/>
        <v>3.6292411711343559E-12</v>
      </c>
      <c r="DR193" s="22">
        <f t="shared" si="177"/>
        <v>6.7935256943361388E-12</v>
      </c>
      <c r="DS193" s="60">
        <f t="shared" si="125"/>
        <v>293.33333333334014</v>
      </c>
      <c r="DT193" s="60">
        <f ca="1">AVERAGE(OFFSET($DS$3,0,0,'Données projet'!$E$14+1,1))-AVERAGE(OFFSET($H$3,0,0,'Données projet'!$E$14+1,1))</f>
        <v>382.01991140382955</v>
      </c>
      <c r="DU193" s="60">
        <f t="shared" si="152"/>
        <v>389.53897948144339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323.92137573760789</v>
      </c>
      <c r="EP193" s="60">
        <f t="shared" si="154"/>
        <v>389.53897948144339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2.2737367544323206E-13</v>
      </c>
      <c r="FF193" s="18">
        <f>FE193*VLOOKUP('Données projet'!$B$16,Paramètres!$A$1:$I$89,3,0)*VLOOKUP('Données projet'!$B$16,Paramètres!$A$1:$I$89,5,0)</f>
        <v>1.8089849618263545E-13</v>
      </c>
      <c r="FG193" s="14">
        <f t="shared" si="182"/>
        <v>2.536422473342444E-12</v>
      </c>
      <c r="FH193" s="22">
        <f t="shared" si="183"/>
        <v>4.7326673552561798E-12</v>
      </c>
      <c r="FI193" s="60">
        <f t="shared" si="131"/>
        <v>293.33333333333803</v>
      </c>
      <c r="FJ193" s="60">
        <f ca="1">AVERAGE(OFFSET($FI$3,0,0,'Données projet'!$E$16+1,1))-AVERAGE(OFFSET($H$3,0,0,'Données projet'!$E$16+1,1))</f>
        <v>219.61164494001008</v>
      </c>
      <c r="FK193" s="60">
        <f t="shared" si="156"/>
        <v>219.59799863414111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-6.2527760746888816E-13</v>
      </c>
      <c r="GA193" s="18">
        <f>FZ193*VLOOKUP('Données projet'!$B$17,Paramètres!$A$1:$I$89,3,0)*VLOOKUP('Données projet'!$B$17,Paramètres!$A$1:$I$89,5,0)</f>
        <v>-2.9262992029543964E-13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147.5699668214238</v>
      </c>
      <c r="GF193" s="60">
        <f t="shared" si="158"/>
        <v>70.653739864908346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>
        <f>GU193*VLOOKUP('Données projet'!$B$18,Paramètres!$A$1:$I$89,3,0)*VLOOKUP('Données projet'!$B$18,Paramètres!$A$1:$I$89,5,0)</f>
        <v>0</v>
      </c>
      <c r="GW193" s="14" t="e">
        <f t="shared" si="188"/>
        <v>#NUM!</v>
      </c>
      <c r="GX193" s="22" t="e">
        <f t="shared" si="189"/>
        <v>#NUM!</v>
      </c>
      <c r="GY193" s="60" t="e">
        <f t="shared" si="137"/>
        <v>#NUM!</v>
      </c>
      <c r="GZ193" s="60">
        <f ca="1">AVERAGE(OFFSET($GY$3,0,0,'Données projet'!$E$18+1,1))-AVERAGE(OFFSET($H$3,0,0,'Données projet'!$E$18+1,1))</f>
        <v>136.03899433512379</v>
      </c>
      <c r="HA193" s="60">
        <f t="shared" si="160"/>
        <v>316.56646692826882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3.1406181549159422</v>
      </c>
      <c r="HH193" s="23">
        <f>EXP(-LN(2)/25)*HH192+(1-EXP(-LN(2)/25))/(LN(2)/25)*Calculateur!HC193*Calculateur!HE193*VLOOKUP('Données projet'!$B$18,Paramètres!$A$1:$I$89,3,0)*0.475*44/12</f>
        <v>0.11938322260056959</v>
      </c>
      <c r="HI193" s="23">
        <f>EXP(-LN(2)/2)*HI192+(1-EXP(-LN(2)/2))/(LN(2)/2)*HC193*HF193*VLOOKUP('Données projet'!$B$18,Paramètres!$A$1:$I$89,3,0)*0.475*44/12</f>
        <v>2.4184433428755709E-24</v>
      </c>
      <c r="HJ193" s="24">
        <f t="shared" si="190"/>
        <v>3.2600013775165118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-4.1145540308207271E-13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384.44848355636935</v>
      </c>
      <c r="T194" s="60">
        <f t="shared" si="142"/>
        <v>203.5274665601915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-8.7434273154940449E-13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303.73499739059076</v>
      </c>
      <c r="AO194" s="60">
        <f t="shared" si="144"/>
        <v>172.32171001882188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-4.5474735088646412E-13</v>
      </c>
      <c r="BE194" s="14">
        <f>BD194*VLOOKUP('Données projet'!$B$11,Paramètres!$A$1:$I$89,3,0)*VLOOKUP('Données projet'!$B$11,Paramètres!$A$1:$I$89,5,0)</f>
        <v>-3.8307916838675739E-13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352.29660374042186</v>
      </c>
      <c r="BJ194" s="60">
        <f t="shared" si="146"/>
        <v>187.26439695305618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-8.1404323282185943E-13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277.03735509061545</v>
      </c>
      <c r="CE194" s="60">
        <f t="shared" si="148"/>
        <v>158.16416492761959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-9.7986685432260874E-13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350.3652766444938</v>
      </c>
      <c r="CZ194" s="60">
        <f t="shared" si="150"/>
        <v>197.04549436738586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3.4106051316484809E-13</v>
      </c>
      <c r="DP194" s="18">
        <f>DO194*VLOOKUP('Données projet'!$B$14,Paramètres!$A$1:$I$89,3,0)*VLOOKUP('Données projet'!$B$14,Paramètres!$A$1:$I$89,5,0)</f>
        <v>2.7134774427395314E-13</v>
      </c>
      <c r="DQ194" s="14">
        <f t="shared" si="176"/>
        <v>3.6292411711343559E-12</v>
      </c>
      <c r="DR194" s="22">
        <f t="shared" si="177"/>
        <v>6.7935256943361388E-12</v>
      </c>
      <c r="DS194" s="60">
        <f t="shared" si="125"/>
        <v>293.33333333334014</v>
      </c>
      <c r="DT194" s="60">
        <f ca="1">AVERAGE(OFFSET($DS$3,0,0,'Données projet'!$E$14+1,1))-AVERAGE(OFFSET($H$3,0,0,'Données projet'!$E$14+1,1))</f>
        <v>382.01991140382955</v>
      </c>
      <c r="DU194" s="60">
        <f t="shared" si="152"/>
        <v>389.53897948144339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323.92137573760789</v>
      </c>
      <c r="EP194" s="60">
        <f t="shared" si="154"/>
        <v>389.53897948144339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2.2737367544323206E-13</v>
      </c>
      <c r="FF194" s="18">
        <f>FE194*VLOOKUP('Données projet'!$B$16,Paramètres!$A$1:$I$89,3,0)*VLOOKUP('Données projet'!$B$16,Paramètres!$A$1:$I$89,5,0)</f>
        <v>1.8089849618263545E-13</v>
      </c>
      <c r="FG194" s="14">
        <f t="shared" si="182"/>
        <v>2.536422473342444E-12</v>
      </c>
      <c r="FH194" s="22">
        <f t="shared" si="183"/>
        <v>4.7326673552561798E-12</v>
      </c>
      <c r="FI194" s="60">
        <f t="shared" si="131"/>
        <v>293.33333333333803</v>
      </c>
      <c r="FJ194" s="60">
        <f ca="1">AVERAGE(OFFSET($FI$3,0,0,'Données projet'!$E$16+1,1))-AVERAGE(OFFSET($H$3,0,0,'Données projet'!$E$16+1,1))</f>
        <v>219.61164494001008</v>
      </c>
      <c r="FK194" s="60">
        <f t="shared" si="156"/>
        <v>219.59799863414111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-6.2527760746888816E-13</v>
      </c>
      <c r="GA194" s="18">
        <f>FZ194*VLOOKUP('Données projet'!$B$17,Paramètres!$A$1:$I$89,3,0)*VLOOKUP('Données projet'!$B$17,Paramètres!$A$1:$I$89,5,0)</f>
        <v>-2.9262992029543964E-13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147.5699668214238</v>
      </c>
      <c r="GF194" s="60">
        <f t="shared" si="158"/>
        <v>70.653739864908346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>
        <f>GU194*VLOOKUP('Données projet'!$B$18,Paramètres!$A$1:$I$89,3,0)*VLOOKUP('Données projet'!$B$18,Paramètres!$A$1:$I$89,5,0)</f>
        <v>0</v>
      </c>
      <c r="GW194" s="14" t="e">
        <f t="shared" si="188"/>
        <v>#NUM!</v>
      </c>
      <c r="GX194" s="22" t="e">
        <f t="shared" si="189"/>
        <v>#NUM!</v>
      </c>
      <c r="GY194" s="60" t="e">
        <f t="shared" si="137"/>
        <v>#NUM!</v>
      </c>
      <c r="GZ194" s="60">
        <f ca="1">AVERAGE(OFFSET($GY$3,0,0,'Données projet'!$E$18+1,1))-AVERAGE(OFFSET($H$3,0,0,'Données projet'!$E$18+1,1))</f>
        <v>136.03899433512379</v>
      </c>
      <c r="HA194" s="60">
        <f t="shared" si="160"/>
        <v>316.56646692826882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3.0790325484859666</v>
      </c>
      <c r="HH194" s="23">
        <f>EXP(-LN(2)/25)*HH193+(1-EXP(-LN(2)/25))/(LN(2)/25)*Calculateur!HC194*Calculateur!HE194*VLOOKUP('Données projet'!$B$18,Paramètres!$A$1:$I$89,3,0)*0.475*44/12</f>
        <v>0.11611868210046619</v>
      </c>
      <c r="HI194" s="23">
        <f>EXP(-LN(2)/2)*HI193+(1-EXP(-LN(2)/2))/(LN(2)/2)*HC194*HF194*VLOOKUP('Données projet'!$B$18,Paramètres!$A$1:$I$89,3,0)*0.475*44/12</f>
        <v>1.7100976876627788E-24</v>
      </c>
      <c r="HJ194" s="24">
        <f t="shared" si="190"/>
        <v>3.1951512305864327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-4.1145540308207271E-13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384.44848355636935</v>
      </c>
      <c r="T195" s="60">
        <f t="shared" si="142"/>
        <v>203.5274665601915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-8.7434273154940449E-13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303.73499739059076</v>
      </c>
      <c r="AO195" s="60">
        <f t="shared" si="144"/>
        <v>172.32171001882188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-4.5474735088646412E-13</v>
      </c>
      <c r="BE195" s="14">
        <f>BD195*VLOOKUP('Données projet'!$B$11,Paramètres!$A$1:$I$89,3,0)*VLOOKUP('Données projet'!$B$11,Paramètres!$A$1:$I$89,5,0)</f>
        <v>-3.8307916838675739E-13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352.29660374042186</v>
      </c>
      <c r="BJ195" s="60">
        <f t="shared" si="146"/>
        <v>187.26439695305618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-8.1404323282185943E-13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277.03735509061545</v>
      </c>
      <c r="CE195" s="60">
        <f t="shared" si="148"/>
        <v>158.16416492761959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-9.7986685432260874E-13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350.3652766444938</v>
      </c>
      <c r="CZ195" s="60">
        <f t="shared" si="150"/>
        <v>197.04549436738586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3.4106051316484809E-13</v>
      </c>
      <c r="DP195" s="18">
        <f>DO195*VLOOKUP('Données projet'!$B$14,Paramètres!$A$1:$I$89,3,0)*VLOOKUP('Données projet'!$B$14,Paramètres!$A$1:$I$89,5,0)</f>
        <v>2.7134774427395314E-13</v>
      </c>
      <c r="DQ195" s="14">
        <f t="shared" si="176"/>
        <v>3.6292411711343559E-12</v>
      </c>
      <c r="DR195" s="22">
        <f t="shared" si="177"/>
        <v>6.7935256943361388E-12</v>
      </c>
      <c r="DS195" s="60">
        <f t="shared" si="125"/>
        <v>293.33333333334014</v>
      </c>
      <c r="DT195" s="60">
        <f ca="1">AVERAGE(OFFSET($DS$3,0,0,'Données projet'!$E$14+1,1))-AVERAGE(OFFSET($H$3,0,0,'Données projet'!$E$14+1,1))</f>
        <v>382.01991140382955</v>
      </c>
      <c r="DU195" s="60">
        <f t="shared" si="152"/>
        <v>389.53897948144339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323.92137573760789</v>
      </c>
      <c r="EP195" s="60">
        <f t="shared" si="154"/>
        <v>389.53897948144339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2.2737367544323206E-13</v>
      </c>
      <c r="FF195" s="18">
        <f>FE195*VLOOKUP('Données projet'!$B$16,Paramètres!$A$1:$I$89,3,0)*VLOOKUP('Données projet'!$B$16,Paramètres!$A$1:$I$89,5,0)</f>
        <v>1.8089849618263545E-13</v>
      </c>
      <c r="FG195" s="14">
        <f t="shared" si="182"/>
        <v>2.536422473342444E-12</v>
      </c>
      <c r="FH195" s="22">
        <f t="shared" si="183"/>
        <v>4.7326673552561798E-12</v>
      </c>
      <c r="FI195" s="60">
        <f t="shared" si="131"/>
        <v>293.33333333333803</v>
      </c>
      <c r="FJ195" s="60">
        <f ca="1">AVERAGE(OFFSET($FI$3,0,0,'Données projet'!$E$16+1,1))-AVERAGE(OFFSET($H$3,0,0,'Données projet'!$E$16+1,1))</f>
        <v>219.61164494001008</v>
      </c>
      <c r="FK195" s="60">
        <f t="shared" si="156"/>
        <v>219.59799863414111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-6.2527760746888816E-13</v>
      </c>
      <c r="GA195" s="18">
        <f>FZ195*VLOOKUP('Données projet'!$B$17,Paramètres!$A$1:$I$89,3,0)*VLOOKUP('Données projet'!$B$17,Paramètres!$A$1:$I$89,5,0)</f>
        <v>-2.9262992029543964E-13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147.5699668214238</v>
      </c>
      <c r="GF195" s="60">
        <f t="shared" si="158"/>
        <v>70.653739864908346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>
        <f>GU195*VLOOKUP('Données projet'!$B$18,Paramètres!$A$1:$I$89,3,0)*VLOOKUP('Données projet'!$B$18,Paramètres!$A$1:$I$89,5,0)</f>
        <v>0</v>
      </c>
      <c r="GW195" s="14" t="e">
        <f t="shared" si="188"/>
        <v>#NUM!</v>
      </c>
      <c r="GX195" s="22" t="e">
        <f t="shared" si="189"/>
        <v>#NUM!</v>
      </c>
      <c r="GY195" s="60" t="e">
        <f t="shared" si="137"/>
        <v>#NUM!</v>
      </c>
      <c r="GZ195" s="60">
        <f ca="1">AVERAGE(OFFSET($GY$3,0,0,'Données projet'!$E$18+1,1))-AVERAGE(OFFSET($H$3,0,0,'Données projet'!$E$18+1,1))</f>
        <v>136.03899433512379</v>
      </c>
      <c r="HA195" s="60">
        <f t="shared" si="160"/>
        <v>316.56646692826882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3.0186545982345718</v>
      </c>
      <c r="HH195" s="23">
        <f>EXP(-LN(2)/25)*HH194+(1-EXP(-LN(2)/25))/(LN(2)/25)*Calculateur!HC195*Calculateur!HE195*VLOOKUP('Données projet'!$B$18,Paramètres!$A$1:$I$89,3,0)*0.475*44/12</f>
        <v>0.11294341063201284</v>
      </c>
      <c r="HI195" s="23">
        <f>EXP(-LN(2)/2)*HI194+(1-EXP(-LN(2)/2))/(LN(2)/2)*HC195*HF195*VLOOKUP('Données projet'!$B$18,Paramètres!$A$1:$I$89,3,0)*0.475*44/12</f>
        <v>1.2092216714377854E-24</v>
      </c>
      <c r="HJ195" s="24">
        <f t="shared" si="190"/>
        <v>3.1315980088665847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-4.1145540308207271E-13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384.44848355636935</v>
      </c>
      <c r="T196" s="60">
        <f t="shared" si="142"/>
        <v>203.5274665601915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-8.7434273154940449E-13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303.73499739059076</v>
      </c>
      <c r="AO196" s="60">
        <f t="shared" si="144"/>
        <v>172.32171001882188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-4.5474735088646412E-13</v>
      </c>
      <c r="BE196" s="14">
        <f>BD196*VLOOKUP('Données projet'!$B$11,Paramètres!$A$1:$I$89,3,0)*VLOOKUP('Données projet'!$B$11,Paramètres!$A$1:$I$89,5,0)</f>
        <v>-3.8307916838675739E-13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352.29660374042186</v>
      </c>
      <c r="BJ196" s="60">
        <f t="shared" si="146"/>
        <v>187.26439695305618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-8.1404323282185943E-13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277.03735509061545</v>
      </c>
      <c r="CE196" s="60">
        <f t="shared" si="148"/>
        <v>158.16416492761959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-9.7986685432260874E-13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350.3652766444938</v>
      </c>
      <c r="CZ196" s="60">
        <f t="shared" si="150"/>
        <v>197.04549436738586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3.4106051316484809E-13</v>
      </c>
      <c r="DP196" s="18">
        <f>DO196*VLOOKUP('Données projet'!$B$14,Paramètres!$A$1:$I$89,3,0)*VLOOKUP('Données projet'!$B$14,Paramètres!$A$1:$I$89,5,0)</f>
        <v>2.7134774427395314E-13</v>
      </c>
      <c r="DQ196" s="14">
        <f t="shared" si="176"/>
        <v>3.6292411711343559E-12</v>
      </c>
      <c r="DR196" s="22">
        <f t="shared" si="177"/>
        <v>6.7935256943361388E-12</v>
      </c>
      <c r="DS196" s="60">
        <f t="shared" ref="DS196:DS203" si="197">DR196+(DJ196+DK196)*44/12</f>
        <v>293.33333333334014</v>
      </c>
      <c r="DT196" s="60">
        <f ca="1">AVERAGE(OFFSET($DS$3,0,0,'Données projet'!$E$14+1,1))-AVERAGE(OFFSET($H$3,0,0,'Données projet'!$E$14+1,1))</f>
        <v>382.01991140382955</v>
      </c>
      <c r="DU196" s="60">
        <f t="shared" si="152"/>
        <v>389.53897948144339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323.92137573760789</v>
      </c>
      <c r="EP196" s="60">
        <f t="shared" si="154"/>
        <v>389.53897948144339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2.2737367544323206E-13</v>
      </c>
      <c r="FF196" s="18">
        <f>FE196*VLOOKUP('Données projet'!$B$16,Paramètres!$A$1:$I$89,3,0)*VLOOKUP('Données projet'!$B$16,Paramètres!$A$1:$I$89,5,0)</f>
        <v>1.8089849618263545E-13</v>
      </c>
      <c r="FG196" s="14">
        <f t="shared" si="182"/>
        <v>2.536422473342444E-12</v>
      </c>
      <c r="FH196" s="22">
        <f t="shared" si="183"/>
        <v>4.7326673552561798E-12</v>
      </c>
      <c r="FI196" s="60">
        <f t="shared" ref="FI196:FI203" si="199">FH196+(EZ196+FA196)*44/12</f>
        <v>293.33333333333803</v>
      </c>
      <c r="FJ196" s="60">
        <f ca="1">AVERAGE(OFFSET($FI$3,0,0,'Données projet'!$E$16+1,1))-AVERAGE(OFFSET($H$3,0,0,'Données projet'!$E$16+1,1))</f>
        <v>219.61164494001008</v>
      </c>
      <c r="FK196" s="60">
        <f t="shared" si="156"/>
        <v>219.59799863414111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-6.2527760746888816E-13</v>
      </c>
      <c r="GA196" s="18">
        <f>FZ196*VLOOKUP('Données projet'!$B$17,Paramètres!$A$1:$I$89,3,0)*VLOOKUP('Données projet'!$B$17,Paramètres!$A$1:$I$89,5,0)</f>
        <v>-2.9262992029543964E-13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147.5699668214238</v>
      </c>
      <c r="GF196" s="60">
        <f t="shared" si="158"/>
        <v>70.653739864908346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>
        <f>GU196*VLOOKUP('Données projet'!$B$18,Paramètres!$A$1:$I$89,3,0)*VLOOKUP('Données projet'!$B$18,Paramètres!$A$1:$I$89,5,0)</f>
        <v>0</v>
      </c>
      <c r="GW196" s="14" t="e">
        <f t="shared" si="188"/>
        <v>#NUM!</v>
      </c>
      <c r="GX196" s="22" t="e">
        <f t="shared" si="189"/>
        <v>#NUM!</v>
      </c>
      <c r="GY196" s="60" t="e">
        <f t="shared" ref="GY196:GY203" si="201">GX196+(GP196+GQ196)*44/12</f>
        <v>#NUM!</v>
      </c>
      <c r="GZ196" s="60">
        <f ca="1">AVERAGE(OFFSET($GY$3,0,0,'Données projet'!$E$18+1,1))-AVERAGE(OFFSET($H$3,0,0,'Données projet'!$E$18+1,1))</f>
        <v>136.03899433512379</v>
      </c>
      <c r="HA196" s="60">
        <f t="shared" si="160"/>
        <v>316.56646692826882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2.9594606227606937</v>
      </c>
      <c r="HH196" s="23">
        <f>EXP(-LN(2)/25)*HH195+(1-EXP(-LN(2)/25))/(LN(2)/25)*Calculateur!HC196*Calculateur!HE196*VLOOKUP('Données projet'!$B$18,Paramètres!$A$1:$I$89,3,0)*0.475*44/12</f>
        <v>0.10985496712884461</v>
      </c>
      <c r="HI196" s="23">
        <f>EXP(-LN(2)/2)*HI195+(1-EXP(-LN(2)/2))/(LN(2)/2)*HC196*HF196*VLOOKUP('Données projet'!$B$18,Paramètres!$A$1:$I$89,3,0)*0.475*44/12</f>
        <v>8.5504884383138941E-25</v>
      </c>
      <c r="HJ196" s="24">
        <f t="shared" si="190"/>
        <v>3.0693155898895381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-4.1145540308207271E-13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384.44848355636935</v>
      </c>
      <c r="T197" s="60">
        <f t="shared" ref="T197:T203" si="204">$T$3</f>
        <v>203.5274665601915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-8.7434273154940449E-13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303.73499739059076</v>
      </c>
      <c r="AO197" s="60">
        <f t="shared" ref="AO197:AO203" si="205">$AO$3</f>
        <v>172.32171001882188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-4.5474735088646412E-13</v>
      </c>
      <c r="BE197" s="14">
        <f>BD197*VLOOKUP('Données projet'!$B$11,Paramètres!$A$1:$I$89,3,0)*VLOOKUP('Données projet'!$B$11,Paramètres!$A$1:$I$89,5,0)</f>
        <v>-3.8307916838675739E-13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352.29660374042186</v>
      </c>
      <c r="BJ197" s="60">
        <f t="shared" ref="BJ197:BJ203" si="206">$BJ$3</f>
        <v>187.26439695305618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-8.1404323282185943E-13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277.03735509061545</v>
      </c>
      <c r="CE197" s="60">
        <f t="shared" ref="CE197:CE203" si="207">$CE$3</f>
        <v>158.16416492761959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-9.7986685432260874E-13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350.3652766444938</v>
      </c>
      <c r="CZ197" s="60">
        <f t="shared" ref="CZ197:CZ203" si="208">$CZ$3</f>
        <v>197.04549436738586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3.4106051316484809E-13</v>
      </c>
      <c r="DP197" s="18">
        <f>DO197*VLOOKUP('Données projet'!$B$14,Paramètres!$A$1:$I$89,3,0)*VLOOKUP('Données projet'!$B$14,Paramètres!$A$1:$I$89,5,0)</f>
        <v>2.7134774427395314E-13</v>
      </c>
      <c r="DQ197" s="14">
        <f t="shared" si="176"/>
        <v>3.6292411711343559E-12</v>
      </c>
      <c r="DR197" s="22">
        <f t="shared" si="177"/>
        <v>6.7935256943361388E-12</v>
      </c>
      <c r="DS197" s="60">
        <f t="shared" si="197"/>
        <v>293.33333333334014</v>
      </c>
      <c r="DT197" s="60">
        <f ca="1">AVERAGE(OFFSET($DS$3,0,0,'Données projet'!$E$14+1,1))-AVERAGE(OFFSET($H$3,0,0,'Données projet'!$E$14+1,1))</f>
        <v>382.01991140382955</v>
      </c>
      <c r="DU197" s="60">
        <f t="shared" ref="DU197:DU203" si="209">$DU$3</f>
        <v>389.53897948144339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323.92137573760789</v>
      </c>
      <c r="EP197" s="60">
        <f t="shared" ref="EP197:EP203" si="210">$EP$3</f>
        <v>389.53897948144339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2.2737367544323206E-13</v>
      </c>
      <c r="FF197" s="18">
        <f>FE197*VLOOKUP('Données projet'!$B$16,Paramètres!$A$1:$I$89,3,0)*VLOOKUP('Données projet'!$B$16,Paramètres!$A$1:$I$89,5,0)</f>
        <v>1.8089849618263545E-13</v>
      </c>
      <c r="FG197" s="14">
        <f t="shared" si="182"/>
        <v>2.536422473342444E-12</v>
      </c>
      <c r="FH197" s="22">
        <f t="shared" si="183"/>
        <v>4.7326673552561798E-12</v>
      </c>
      <c r="FI197" s="60">
        <f t="shared" si="199"/>
        <v>293.33333333333803</v>
      </c>
      <c r="FJ197" s="60">
        <f ca="1">AVERAGE(OFFSET($FI$3,0,0,'Données projet'!$E$16+1,1))-AVERAGE(OFFSET($H$3,0,0,'Données projet'!$E$16+1,1))</f>
        <v>219.61164494001008</v>
      </c>
      <c r="FK197" s="60">
        <f t="shared" ref="FK197:FK203" si="211">$FK$3</f>
        <v>219.59799863414111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-6.2527760746888816E-13</v>
      </c>
      <c r="GA197" s="18">
        <f>FZ197*VLOOKUP('Données projet'!$B$17,Paramètres!$A$1:$I$89,3,0)*VLOOKUP('Données projet'!$B$17,Paramètres!$A$1:$I$89,5,0)</f>
        <v>-2.9262992029543964E-13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147.5699668214238</v>
      </c>
      <c r="GF197" s="60">
        <f t="shared" ref="GF197:GF203" si="212">$GF$3</f>
        <v>70.653739864908346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>
        <f>GU197*VLOOKUP('Données projet'!$B$18,Paramètres!$A$1:$I$89,3,0)*VLOOKUP('Données projet'!$B$18,Paramètres!$A$1:$I$89,5,0)</f>
        <v>0</v>
      </c>
      <c r="GW197" s="14" t="e">
        <f t="shared" si="188"/>
        <v>#NUM!</v>
      </c>
      <c r="GX197" s="22" t="e">
        <f t="shared" si="189"/>
        <v>#NUM!</v>
      </c>
      <c r="GY197" s="60" t="e">
        <f t="shared" si="201"/>
        <v>#NUM!</v>
      </c>
      <c r="GZ197" s="60">
        <f ca="1">AVERAGE(OFFSET($GY$3,0,0,'Données projet'!$E$18+1,1))-AVERAGE(OFFSET($H$3,0,0,'Données projet'!$E$18+1,1))</f>
        <v>136.03899433512379</v>
      </c>
      <c r="HA197" s="60">
        <f t="shared" ref="HA197:HA203" si="213">$HA$3</f>
        <v>316.56646692826882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2.9014274050410984</v>
      </c>
      <c r="HH197" s="23">
        <f>EXP(-LN(2)/25)*HH196+(1-EXP(-LN(2)/25))/(LN(2)/25)*Calculateur!HC197*Calculateur!HE197*VLOOKUP('Données projet'!$B$18,Paramètres!$A$1:$I$89,3,0)*0.475*44/12</f>
        <v>0.10685097727568471</v>
      </c>
      <c r="HI197" s="23">
        <f>EXP(-LN(2)/2)*HI196+(1-EXP(-LN(2)/2))/(LN(2)/2)*HC197*HF197*VLOOKUP('Données projet'!$B$18,Paramètres!$A$1:$I$89,3,0)*0.475*44/12</f>
        <v>6.0461083571889272E-25</v>
      </c>
      <c r="HJ197" s="24">
        <f t="shared" si="190"/>
        <v>3.0082783823167834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-4.1145540308207271E-13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384.44848355636935</v>
      </c>
      <c r="T198" s="60">
        <f t="shared" si="204"/>
        <v>203.5274665601915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-8.7434273154940449E-13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303.73499739059076</v>
      </c>
      <c r="AO198" s="60">
        <f t="shared" si="205"/>
        <v>172.32171001882188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-4.5474735088646412E-13</v>
      </c>
      <c r="BE198" s="14">
        <f>BD198*VLOOKUP('Données projet'!$B$11,Paramètres!$A$1:$I$89,3,0)*VLOOKUP('Données projet'!$B$11,Paramètres!$A$1:$I$89,5,0)</f>
        <v>-3.8307916838675739E-13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352.29660374042186</v>
      </c>
      <c r="BJ198" s="60">
        <f t="shared" si="206"/>
        <v>187.26439695305618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-8.1404323282185943E-13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277.03735509061545</v>
      </c>
      <c r="CE198" s="60">
        <f t="shared" si="207"/>
        <v>158.16416492761959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-9.7986685432260874E-13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350.3652766444938</v>
      </c>
      <c r="CZ198" s="60">
        <f t="shared" si="208"/>
        <v>197.04549436738586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3.4106051316484809E-13</v>
      </c>
      <c r="DP198" s="18">
        <f>DO198*VLOOKUP('Données projet'!$B$14,Paramètres!$A$1:$I$89,3,0)*VLOOKUP('Données projet'!$B$14,Paramètres!$A$1:$I$89,5,0)</f>
        <v>2.7134774427395314E-13</v>
      </c>
      <c r="DQ198" s="14">
        <f t="shared" si="176"/>
        <v>3.6292411711343559E-12</v>
      </c>
      <c r="DR198" s="22">
        <f t="shared" si="177"/>
        <v>6.7935256943361388E-12</v>
      </c>
      <c r="DS198" s="60">
        <f t="shared" si="197"/>
        <v>293.33333333334014</v>
      </c>
      <c r="DT198" s="60">
        <f ca="1">AVERAGE(OFFSET($DS$3,0,0,'Données projet'!$E$14+1,1))-AVERAGE(OFFSET($H$3,0,0,'Données projet'!$E$14+1,1))</f>
        <v>382.01991140382955</v>
      </c>
      <c r="DU198" s="60">
        <f t="shared" si="209"/>
        <v>389.53897948144339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323.92137573760789</v>
      </c>
      <c r="EP198" s="60">
        <f t="shared" si="210"/>
        <v>389.53897948144339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2.2737367544323206E-13</v>
      </c>
      <c r="FF198" s="18">
        <f>FE198*VLOOKUP('Données projet'!$B$16,Paramètres!$A$1:$I$89,3,0)*VLOOKUP('Données projet'!$B$16,Paramètres!$A$1:$I$89,5,0)</f>
        <v>1.8089849618263545E-13</v>
      </c>
      <c r="FG198" s="14">
        <f t="shared" si="182"/>
        <v>2.536422473342444E-12</v>
      </c>
      <c r="FH198" s="22">
        <f t="shared" si="183"/>
        <v>4.7326673552561798E-12</v>
      </c>
      <c r="FI198" s="60">
        <f t="shared" si="199"/>
        <v>293.33333333333803</v>
      </c>
      <c r="FJ198" s="60">
        <f ca="1">AVERAGE(OFFSET($FI$3,0,0,'Données projet'!$E$16+1,1))-AVERAGE(OFFSET($H$3,0,0,'Données projet'!$E$16+1,1))</f>
        <v>219.61164494001008</v>
      </c>
      <c r="FK198" s="60">
        <f t="shared" si="211"/>
        <v>219.59799863414111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-6.2527760746888816E-13</v>
      </c>
      <c r="GA198" s="18">
        <f>FZ198*VLOOKUP('Données projet'!$B$17,Paramètres!$A$1:$I$89,3,0)*VLOOKUP('Données projet'!$B$17,Paramètres!$A$1:$I$89,5,0)</f>
        <v>-2.9262992029543964E-13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147.5699668214238</v>
      </c>
      <c r="GF198" s="60">
        <f t="shared" si="212"/>
        <v>70.653739864908346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>
        <f>GU198*VLOOKUP('Données projet'!$B$18,Paramètres!$A$1:$I$89,3,0)*VLOOKUP('Données projet'!$B$18,Paramètres!$A$1:$I$89,5,0)</f>
        <v>0</v>
      </c>
      <c r="GW198" s="14" t="e">
        <f t="shared" si="188"/>
        <v>#NUM!</v>
      </c>
      <c r="GX198" s="22" t="e">
        <f t="shared" si="189"/>
        <v>#NUM!</v>
      </c>
      <c r="GY198" s="60" t="e">
        <f t="shared" si="201"/>
        <v>#NUM!</v>
      </c>
      <c r="GZ198" s="60">
        <f ca="1">AVERAGE(OFFSET($GY$3,0,0,'Données projet'!$E$18+1,1))-AVERAGE(OFFSET($H$3,0,0,'Données projet'!$E$18+1,1))</f>
        <v>136.03899433512379</v>
      </c>
      <c r="HA198" s="60">
        <f t="shared" si="213"/>
        <v>316.56646692826882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2.8445321833242168</v>
      </c>
      <c r="HH198" s="23">
        <f>EXP(-LN(2)/25)*HH197+(1-EXP(-LN(2)/25))/(LN(2)/25)*Calculateur!HC198*Calculateur!HE198*VLOOKUP('Données projet'!$B$18,Paramètres!$A$1:$I$89,3,0)*0.475*44/12</f>
        <v>0.10392913168303243</v>
      </c>
      <c r="HI198" s="23">
        <f>EXP(-LN(2)/2)*HI197+(1-EXP(-LN(2)/2))/(LN(2)/2)*HC198*HF198*VLOOKUP('Données projet'!$B$18,Paramètres!$A$1:$I$89,3,0)*0.475*44/12</f>
        <v>4.2752442191569471E-25</v>
      </c>
      <c r="HJ198" s="24">
        <f t="shared" si="190"/>
        <v>2.9484613150072492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-4.1145540308207271E-13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384.44848355636935</v>
      </c>
      <c r="T199" s="60">
        <f t="shared" si="204"/>
        <v>203.5274665601915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-8.7434273154940449E-13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303.73499739059076</v>
      </c>
      <c r="AO199" s="60">
        <f t="shared" si="205"/>
        <v>172.32171001882188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-4.5474735088646412E-13</v>
      </c>
      <c r="BE199" s="14">
        <f>BD199*VLOOKUP('Données projet'!$B$11,Paramètres!$A$1:$I$89,3,0)*VLOOKUP('Données projet'!$B$11,Paramètres!$A$1:$I$89,5,0)</f>
        <v>-3.8307916838675739E-13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352.29660374042186</v>
      </c>
      <c r="BJ199" s="60">
        <f t="shared" si="206"/>
        <v>187.26439695305618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-8.1404323282185943E-13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277.03735509061545</v>
      </c>
      <c r="CE199" s="60">
        <f t="shared" si="207"/>
        <v>158.16416492761959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-9.7986685432260874E-13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350.3652766444938</v>
      </c>
      <c r="CZ199" s="60">
        <f t="shared" si="208"/>
        <v>197.04549436738586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3.4106051316484809E-13</v>
      </c>
      <c r="DP199" s="18">
        <f>DO199*VLOOKUP('Données projet'!$B$14,Paramètres!$A$1:$I$89,3,0)*VLOOKUP('Données projet'!$B$14,Paramètres!$A$1:$I$89,5,0)</f>
        <v>2.7134774427395314E-13</v>
      </c>
      <c r="DQ199" s="14">
        <f t="shared" si="176"/>
        <v>3.6292411711343559E-12</v>
      </c>
      <c r="DR199" s="22">
        <f t="shared" si="177"/>
        <v>6.7935256943361388E-12</v>
      </c>
      <c r="DS199" s="60">
        <f t="shared" si="197"/>
        <v>293.33333333334014</v>
      </c>
      <c r="DT199" s="60">
        <f ca="1">AVERAGE(OFFSET($DS$3,0,0,'Données projet'!$E$14+1,1))-AVERAGE(OFFSET($H$3,0,0,'Données projet'!$E$14+1,1))</f>
        <v>382.01991140382955</v>
      </c>
      <c r="DU199" s="60">
        <f t="shared" si="209"/>
        <v>389.53897948144339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323.92137573760789</v>
      </c>
      <c r="EP199" s="60">
        <f t="shared" si="210"/>
        <v>389.53897948144339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2.2737367544323206E-13</v>
      </c>
      <c r="FF199" s="18">
        <f>FE199*VLOOKUP('Données projet'!$B$16,Paramètres!$A$1:$I$89,3,0)*VLOOKUP('Données projet'!$B$16,Paramètres!$A$1:$I$89,5,0)</f>
        <v>1.8089849618263545E-13</v>
      </c>
      <c r="FG199" s="14">
        <f t="shared" si="182"/>
        <v>2.536422473342444E-12</v>
      </c>
      <c r="FH199" s="22">
        <f t="shared" si="183"/>
        <v>4.7326673552561798E-12</v>
      </c>
      <c r="FI199" s="60">
        <f t="shared" si="199"/>
        <v>293.33333333333803</v>
      </c>
      <c r="FJ199" s="60">
        <f ca="1">AVERAGE(OFFSET($FI$3,0,0,'Données projet'!$E$16+1,1))-AVERAGE(OFFSET($H$3,0,0,'Données projet'!$E$16+1,1))</f>
        <v>219.61164494001008</v>
      </c>
      <c r="FK199" s="60">
        <f t="shared" si="211"/>
        <v>219.59799863414111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-6.2527760746888816E-13</v>
      </c>
      <c r="GA199" s="18">
        <f>FZ199*VLOOKUP('Données projet'!$B$17,Paramètres!$A$1:$I$89,3,0)*VLOOKUP('Données projet'!$B$17,Paramètres!$A$1:$I$89,5,0)</f>
        <v>-2.9262992029543964E-13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147.5699668214238</v>
      </c>
      <c r="GF199" s="60">
        <f t="shared" si="212"/>
        <v>70.653739864908346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>
        <f>GU199*VLOOKUP('Données projet'!$B$18,Paramètres!$A$1:$I$89,3,0)*VLOOKUP('Données projet'!$B$18,Paramètres!$A$1:$I$89,5,0)</f>
        <v>0</v>
      </c>
      <c r="GW199" s="14" t="e">
        <f t="shared" si="188"/>
        <v>#NUM!</v>
      </c>
      <c r="GX199" s="22" t="e">
        <f t="shared" si="189"/>
        <v>#NUM!</v>
      </c>
      <c r="GY199" s="60" t="e">
        <f t="shared" si="201"/>
        <v>#NUM!</v>
      </c>
      <c r="GZ199" s="60">
        <f ca="1">AVERAGE(OFFSET($GY$3,0,0,'Données projet'!$E$18+1,1))-AVERAGE(OFFSET($H$3,0,0,'Données projet'!$E$18+1,1))</f>
        <v>136.03899433512379</v>
      </c>
      <c r="HA199" s="60">
        <f t="shared" si="213"/>
        <v>316.56646692826882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2.7887526422025442</v>
      </c>
      <c r="HH199" s="23">
        <f>EXP(-LN(2)/25)*HH198+(1-EXP(-LN(2)/25))/(LN(2)/25)*Calculateur!HC199*Calculateur!HE199*VLOOKUP('Données projet'!$B$18,Paramètres!$A$1:$I$89,3,0)*0.475*44/12</f>
        <v>0.1010871841117644</v>
      </c>
      <c r="HI199" s="23">
        <f>EXP(-LN(2)/2)*HI198+(1-EXP(-LN(2)/2))/(LN(2)/2)*HC199*HF199*VLOOKUP('Données projet'!$B$18,Paramètres!$A$1:$I$89,3,0)*0.475*44/12</f>
        <v>3.0230541785944636E-25</v>
      </c>
      <c r="HJ199" s="24">
        <f t="shared" si="190"/>
        <v>2.8898398263143084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-4.1145540308207271E-13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384.44848355636935</v>
      </c>
      <c r="T200" s="60">
        <f t="shared" si="204"/>
        <v>203.5274665601915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-8.7434273154940449E-13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303.73499739059076</v>
      </c>
      <c r="AO200" s="60">
        <f t="shared" si="205"/>
        <v>172.32171001882188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-4.5474735088646412E-13</v>
      </c>
      <c r="BE200" s="14">
        <f>BD200*VLOOKUP('Données projet'!$B$11,Paramètres!$A$1:$I$89,3,0)*VLOOKUP('Données projet'!$B$11,Paramètres!$A$1:$I$89,5,0)</f>
        <v>-3.8307916838675739E-13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352.29660374042186</v>
      </c>
      <c r="BJ200" s="60">
        <f t="shared" si="206"/>
        <v>187.26439695305618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-8.1404323282185943E-13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277.03735509061545</v>
      </c>
      <c r="CE200" s="60">
        <f t="shared" si="207"/>
        <v>158.16416492761959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-9.7986685432260874E-13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350.3652766444938</v>
      </c>
      <c r="CZ200" s="60">
        <f t="shared" si="208"/>
        <v>197.04549436738586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3.4106051316484809E-13</v>
      </c>
      <c r="DP200" s="18">
        <f>DO200*VLOOKUP('Données projet'!$B$14,Paramètres!$A$1:$I$89,3,0)*VLOOKUP('Données projet'!$B$14,Paramètres!$A$1:$I$89,5,0)</f>
        <v>2.7134774427395314E-13</v>
      </c>
      <c r="DQ200" s="14">
        <f t="shared" si="176"/>
        <v>3.6292411711343559E-12</v>
      </c>
      <c r="DR200" s="22">
        <f t="shared" si="177"/>
        <v>6.7935256943361388E-12</v>
      </c>
      <c r="DS200" s="60">
        <f t="shared" si="197"/>
        <v>293.33333333334014</v>
      </c>
      <c r="DT200" s="60">
        <f ca="1">AVERAGE(OFFSET($DS$3,0,0,'Données projet'!$E$14+1,1))-AVERAGE(OFFSET($H$3,0,0,'Données projet'!$E$14+1,1))</f>
        <v>382.01991140382955</v>
      </c>
      <c r="DU200" s="60">
        <f t="shared" si="209"/>
        <v>389.53897948144339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323.92137573760789</v>
      </c>
      <c r="EP200" s="60">
        <f t="shared" si="210"/>
        <v>389.53897948144339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2.2737367544323206E-13</v>
      </c>
      <c r="FF200" s="18">
        <f>FE200*VLOOKUP('Données projet'!$B$16,Paramètres!$A$1:$I$89,3,0)*VLOOKUP('Données projet'!$B$16,Paramètres!$A$1:$I$89,5,0)</f>
        <v>1.8089849618263545E-13</v>
      </c>
      <c r="FG200" s="14">
        <f t="shared" si="182"/>
        <v>2.536422473342444E-12</v>
      </c>
      <c r="FH200" s="22">
        <f t="shared" si="183"/>
        <v>4.7326673552561798E-12</v>
      </c>
      <c r="FI200" s="60">
        <f t="shared" si="199"/>
        <v>293.33333333333803</v>
      </c>
      <c r="FJ200" s="60">
        <f ca="1">AVERAGE(OFFSET($FI$3,0,0,'Données projet'!$E$16+1,1))-AVERAGE(OFFSET($H$3,0,0,'Données projet'!$E$16+1,1))</f>
        <v>219.61164494001008</v>
      </c>
      <c r="FK200" s="60">
        <f t="shared" si="211"/>
        <v>219.59799863414111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-6.2527760746888816E-13</v>
      </c>
      <c r="GA200" s="18">
        <f>FZ200*VLOOKUP('Données projet'!$B$17,Paramètres!$A$1:$I$89,3,0)*VLOOKUP('Données projet'!$B$17,Paramètres!$A$1:$I$89,5,0)</f>
        <v>-2.9262992029543964E-13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147.5699668214238</v>
      </c>
      <c r="GF200" s="60">
        <f t="shared" si="212"/>
        <v>70.653739864908346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>
        <f>GU200*VLOOKUP('Données projet'!$B$18,Paramètres!$A$1:$I$89,3,0)*VLOOKUP('Données projet'!$B$18,Paramètres!$A$1:$I$89,5,0)</f>
        <v>0</v>
      </c>
      <c r="GW200" s="14" t="e">
        <f t="shared" si="188"/>
        <v>#NUM!</v>
      </c>
      <c r="GX200" s="22" t="e">
        <f t="shared" si="189"/>
        <v>#NUM!</v>
      </c>
      <c r="GY200" s="60" t="e">
        <f t="shared" si="201"/>
        <v>#NUM!</v>
      </c>
      <c r="GZ200" s="60">
        <f ca="1">AVERAGE(OFFSET($GY$3,0,0,'Données projet'!$E$18+1,1))-AVERAGE(OFFSET($H$3,0,0,'Données projet'!$E$18+1,1))</f>
        <v>136.03899433512379</v>
      </c>
      <c r="HA200" s="60">
        <f t="shared" si="213"/>
        <v>316.56646692826882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2.7340669038601071</v>
      </c>
      <c r="HH200" s="23">
        <f>EXP(-LN(2)/25)*HH199+(1-EXP(-LN(2)/25))/(LN(2)/25)*Calculateur!HC200*Calculateur!HE200*VLOOKUP('Données projet'!$B$18,Paramètres!$A$1:$I$89,3,0)*0.475*44/12</f>
        <v>9.8322949746284222E-2</v>
      </c>
      <c r="HI200" s="23">
        <f>EXP(-LN(2)/2)*HI199+(1-EXP(-LN(2)/2))/(LN(2)/2)*HC200*HF200*VLOOKUP('Données projet'!$B$18,Paramètres!$A$1:$I$89,3,0)*0.475*44/12</f>
        <v>2.1376221095784735E-25</v>
      </c>
      <c r="HJ200" s="24">
        <f t="shared" si="190"/>
        <v>2.8323898536063914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-4.1145540308207271E-13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384.44848355636935</v>
      </c>
      <c r="T201" s="60">
        <f t="shared" si="204"/>
        <v>203.5274665601915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-8.7434273154940449E-13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303.73499739059076</v>
      </c>
      <c r="AO201" s="60">
        <f t="shared" si="205"/>
        <v>172.32171001882188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-4.5474735088646412E-13</v>
      </c>
      <c r="BE201" s="14">
        <f>BD201*VLOOKUP('Données projet'!$B$11,Paramètres!$A$1:$I$89,3,0)*VLOOKUP('Données projet'!$B$11,Paramètres!$A$1:$I$89,5,0)</f>
        <v>-3.8307916838675739E-13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352.29660374042186</v>
      </c>
      <c r="BJ201" s="60">
        <f t="shared" si="206"/>
        <v>187.26439695305618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-8.1404323282185943E-13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277.03735509061545</v>
      </c>
      <c r="CE201" s="60">
        <f t="shared" si="207"/>
        <v>158.16416492761959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-9.7986685432260874E-13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350.3652766444938</v>
      </c>
      <c r="CZ201" s="60">
        <f t="shared" si="208"/>
        <v>197.04549436738586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3.4106051316484809E-13</v>
      </c>
      <c r="DP201" s="18">
        <f>DO201*VLOOKUP('Données projet'!$B$14,Paramètres!$A$1:$I$89,3,0)*VLOOKUP('Données projet'!$B$14,Paramètres!$A$1:$I$89,5,0)</f>
        <v>2.7134774427395314E-13</v>
      </c>
      <c r="DQ201" s="14">
        <f t="shared" si="176"/>
        <v>3.6292411711343559E-12</v>
      </c>
      <c r="DR201" s="22">
        <f t="shared" si="177"/>
        <v>6.7935256943361388E-12</v>
      </c>
      <c r="DS201" s="60">
        <f t="shared" si="197"/>
        <v>293.33333333334014</v>
      </c>
      <c r="DT201" s="60">
        <f ca="1">AVERAGE(OFFSET($DS$3,0,0,'Données projet'!$E$14+1,1))-AVERAGE(OFFSET($H$3,0,0,'Données projet'!$E$14+1,1))</f>
        <v>382.01991140382955</v>
      </c>
      <c r="DU201" s="60">
        <f t="shared" si="209"/>
        <v>389.53897948144339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323.92137573760789</v>
      </c>
      <c r="EP201" s="60">
        <f t="shared" si="210"/>
        <v>389.53897948144339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2.2737367544323206E-13</v>
      </c>
      <c r="FF201" s="18">
        <f>FE201*VLOOKUP('Données projet'!$B$16,Paramètres!$A$1:$I$89,3,0)*VLOOKUP('Données projet'!$B$16,Paramètres!$A$1:$I$89,5,0)</f>
        <v>1.8089849618263545E-13</v>
      </c>
      <c r="FG201" s="14">
        <f t="shared" si="182"/>
        <v>2.536422473342444E-12</v>
      </c>
      <c r="FH201" s="22">
        <f t="shared" si="183"/>
        <v>4.7326673552561798E-12</v>
      </c>
      <c r="FI201" s="60">
        <f t="shared" si="199"/>
        <v>293.33333333333803</v>
      </c>
      <c r="FJ201" s="60">
        <f ca="1">AVERAGE(OFFSET($FI$3,0,0,'Données projet'!$E$16+1,1))-AVERAGE(OFFSET($H$3,0,0,'Données projet'!$E$16+1,1))</f>
        <v>219.61164494001008</v>
      </c>
      <c r="FK201" s="60">
        <f t="shared" si="211"/>
        <v>219.59799863414111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-6.2527760746888816E-13</v>
      </c>
      <c r="GA201" s="18">
        <f>FZ201*VLOOKUP('Données projet'!$B$17,Paramètres!$A$1:$I$89,3,0)*VLOOKUP('Données projet'!$B$17,Paramètres!$A$1:$I$89,5,0)</f>
        <v>-2.9262992029543964E-13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147.5699668214238</v>
      </c>
      <c r="GF201" s="60">
        <f t="shared" si="212"/>
        <v>70.653739864908346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>
        <f>GU201*VLOOKUP('Données projet'!$B$18,Paramètres!$A$1:$I$89,3,0)*VLOOKUP('Données projet'!$B$18,Paramètres!$A$1:$I$89,5,0)</f>
        <v>0</v>
      </c>
      <c r="GW201" s="14" t="e">
        <f t="shared" si="188"/>
        <v>#NUM!</v>
      </c>
      <c r="GX201" s="22" t="e">
        <f t="shared" si="189"/>
        <v>#NUM!</v>
      </c>
      <c r="GY201" s="60" t="e">
        <f t="shared" si="201"/>
        <v>#NUM!</v>
      </c>
      <c r="GZ201" s="60">
        <f ca="1">AVERAGE(OFFSET($GY$3,0,0,'Données projet'!$E$18+1,1))-AVERAGE(OFFSET($H$3,0,0,'Données projet'!$E$18+1,1))</f>
        <v>136.03899433512379</v>
      </c>
      <c r="HA201" s="60">
        <f t="shared" si="213"/>
        <v>316.56646692826882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2.6804535194915582</v>
      </c>
      <c r="HH201" s="23">
        <f>EXP(-LN(2)/25)*HH200+(1-EXP(-LN(2)/25))/(LN(2)/25)*Calculateur!HC201*Calculateur!HE201*VLOOKUP('Données projet'!$B$18,Paramètres!$A$1:$I$89,3,0)*0.475*44/12</f>
        <v>9.5634303514892868E-2</v>
      </c>
      <c r="HI201" s="23">
        <f>EXP(-LN(2)/2)*HI200+(1-EXP(-LN(2)/2))/(LN(2)/2)*HC201*HF201*VLOOKUP('Données projet'!$B$18,Paramètres!$A$1:$I$89,3,0)*0.475*44/12</f>
        <v>1.5115270892972318E-25</v>
      </c>
      <c r="HJ201" s="24">
        <f t="shared" si="190"/>
        <v>2.776087823006451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-4.1145540308207271E-13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384.44848355636935</v>
      </c>
      <c r="T202" s="60">
        <f t="shared" si="204"/>
        <v>203.5274665601915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-8.7434273154940449E-13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303.73499739059076</v>
      </c>
      <c r="AO202" s="60">
        <f t="shared" si="205"/>
        <v>172.32171001882188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-4.5474735088646412E-13</v>
      </c>
      <c r="BE202" s="14">
        <f>BD202*VLOOKUP('Données projet'!$B$11,Paramètres!$A$1:$I$89,3,0)*VLOOKUP('Données projet'!$B$11,Paramètres!$A$1:$I$89,5,0)</f>
        <v>-3.8307916838675739E-13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352.29660374042186</v>
      </c>
      <c r="BJ202" s="60">
        <f t="shared" si="206"/>
        <v>187.26439695305618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-8.1404323282185943E-13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277.03735509061545</v>
      </c>
      <c r="CE202" s="60">
        <f t="shared" si="207"/>
        <v>158.16416492761959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-9.7986685432260874E-13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350.3652766444938</v>
      </c>
      <c r="CZ202" s="60">
        <f t="shared" si="208"/>
        <v>197.04549436738586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3.4106051316484809E-13</v>
      </c>
      <c r="DP202" s="18">
        <f>DO202*VLOOKUP('Données projet'!$B$14,Paramètres!$A$1:$I$89,3,0)*VLOOKUP('Données projet'!$B$14,Paramètres!$A$1:$I$89,5,0)</f>
        <v>2.7134774427395314E-13</v>
      </c>
      <c r="DQ202" s="14">
        <f t="shared" si="176"/>
        <v>3.6292411711343559E-12</v>
      </c>
      <c r="DR202" s="22">
        <f t="shared" si="177"/>
        <v>6.7935256943361388E-12</v>
      </c>
      <c r="DS202" s="60">
        <f t="shared" si="197"/>
        <v>293.33333333334014</v>
      </c>
      <c r="DT202" s="60">
        <f ca="1">AVERAGE(OFFSET($DS$3,0,0,'Données projet'!$E$14+1,1))-AVERAGE(OFFSET($H$3,0,0,'Données projet'!$E$14+1,1))</f>
        <v>382.01991140382955</v>
      </c>
      <c r="DU202" s="60">
        <f t="shared" si="209"/>
        <v>389.53897948144339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323.92137573760789</v>
      </c>
      <c r="EP202" s="60">
        <f t="shared" si="210"/>
        <v>389.53897948144339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2.2737367544323206E-13</v>
      </c>
      <c r="FF202" s="18">
        <f>FE202*VLOOKUP('Données projet'!$B$16,Paramètres!$A$1:$I$89,3,0)*VLOOKUP('Données projet'!$B$16,Paramètres!$A$1:$I$89,5,0)</f>
        <v>1.8089849618263545E-13</v>
      </c>
      <c r="FG202" s="14">
        <f t="shared" si="182"/>
        <v>2.536422473342444E-12</v>
      </c>
      <c r="FH202" s="22">
        <f t="shared" si="183"/>
        <v>4.7326673552561798E-12</v>
      </c>
      <c r="FI202" s="60">
        <f t="shared" si="199"/>
        <v>293.33333333333803</v>
      </c>
      <c r="FJ202" s="60">
        <f ca="1">AVERAGE(OFFSET($FI$3,0,0,'Données projet'!$E$16+1,1))-AVERAGE(OFFSET($H$3,0,0,'Données projet'!$E$16+1,1))</f>
        <v>219.61164494001008</v>
      </c>
      <c r="FK202" s="60">
        <f t="shared" si="211"/>
        <v>219.59799863414111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-6.2527760746888816E-13</v>
      </c>
      <c r="GA202" s="18">
        <f>FZ202*VLOOKUP('Données projet'!$B$17,Paramètres!$A$1:$I$89,3,0)*VLOOKUP('Données projet'!$B$17,Paramètres!$A$1:$I$89,5,0)</f>
        <v>-2.9262992029543964E-13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147.5699668214238</v>
      </c>
      <c r="GF202" s="60">
        <f t="shared" si="212"/>
        <v>70.653739864908346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>
        <f>GU202*VLOOKUP('Données projet'!$B$18,Paramètres!$A$1:$I$89,3,0)*VLOOKUP('Données projet'!$B$18,Paramètres!$A$1:$I$89,5,0)</f>
        <v>0</v>
      </c>
      <c r="GW202" s="14" t="e">
        <f t="shared" si="188"/>
        <v>#NUM!</v>
      </c>
      <c r="GX202" s="22" t="e">
        <f t="shared" si="189"/>
        <v>#NUM!</v>
      </c>
      <c r="GY202" s="60" t="e">
        <f t="shared" si="201"/>
        <v>#NUM!</v>
      </c>
      <c r="GZ202" s="60">
        <f ca="1">AVERAGE(OFFSET($GY$3,0,0,'Données projet'!$E$18+1,1))-AVERAGE(OFFSET($H$3,0,0,'Données projet'!$E$18+1,1))</f>
        <v>136.03899433512379</v>
      </c>
      <c r="HA202" s="60">
        <f t="shared" si="213"/>
        <v>316.56646692826882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2.6278914608895412</v>
      </c>
      <c r="HH202" s="23">
        <f>EXP(-LN(2)/25)*HH201+(1-EXP(-LN(2)/25))/(LN(2)/25)*Calculateur!HC202*Calculateur!HE202*VLOOKUP('Données projet'!$B$18,Paramètres!$A$1:$I$89,3,0)*0.475*44/12</f>
        <v>9.3019178456088675E-2</v>
      </c>
      <c r="HI202" s="23">
        <f>EXP(-LN(2)/2)*HI201+(1-EXP(-LN(2)/2))/(LN(2)/2)*HC202*HF202*VLOOKUP('Données projet'!$B$18,Paramètres!$A$1:$I$89,3,0)*0.475*44/12</f>
        <v>1.0688110547892368E-25</v>
      </c>
      <c r="HJ202" s="24">
        <f t="shared" si="190"/>
        <v>2.7209106393456297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-4.1145540308207271E-13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384.44848355636935</v>
      </c>
      <c r="T203" s="60">
        <f t="shared" si="204"/>
        <v>203.5274665601915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-8.7434273154940449E-13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303.73499739059076</v>
      </c>
      <c r="AO203" s="60">
        <f t="shared" si="205"/>
        <v>172.32171001882188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-4.5474735088646412E-13</v>
      </c>
      <c r="BE203" s="14">
        <f>BD203*VLOOKUP('Données projet'!$B$11,Paramètres!$A$1:$I$89,3,0)*VLOOKUP('Données projet'!$B$11,Paramètres!$A$1:$I$89,5,0)</f>
        <v>-3.8307916838675739E-13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352.29660374042186</v>
      </c>
      <c r="BJ203" s="60">
        <f t="shared" si="206"/>
        <v>187.26439695305618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-8.1404323282185943E-13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277.03735509061545</v>
      </c>
      <c r="CE203" s="60">
        <f t="shared" si="207"/>
        <v>158.16416492761959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-9.7986685432260874E-13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350.3652766444938</v>
      </c>
      <c r="CZ203" s="60">
        <f t="shared" si="208"/>
        <v>197.04549436738586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3.4106051316484809E-13</v>
      </c>
      <c r="DP203" s="18">
        <f>DO203*VLOOKUP('Données projet'!$B$14,Paramètres!$A$1:$I$89,3,0)*VLOOKUP('Données projet'!$B$14,Paramètres!$A$1:$I$89,5,0)</f>
        <v>2.7134774427395314E-13</v>
      </c>
      <c r="DQ203" s="14">
        <f t="shared" si="176"/>
        <v>3.6292411711343559E-12</v>
      </c>
      <c r="DR203" s="22">
        <f t="shared" si="177"/>
        <v>6.7935256943361388E-12</v>
      </c>
      <c r="DS203" s="60">
        <f t="shared" si="197"/>
        <v>293.33333333334014</v>
      </c>
      <c r="DT203" s="60">
        <f ca="1">AVERAGE(OFFSET($DS$3,0,0,'Données projet'!$E$14+1,1))-AVERAGE(OFFSET($H$3,0,0,'Données projet'!$E$14+1,1))</f>
        <v>382.01991140382955</v>
      </c>
      <c r="DU203" s="60">
        <f t="shared" si="209"/>
        <v>389.53897948144339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323.92137573760789</v>
      </c>
      <c r="EP203" s="60">
        <f t="shared" si="210"/>
        <v>389.53897948144339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2.2737367544323206E-13</v>
      </c>
      <c r="FF203" s="18">
        <f>FE203*VLOOKUP('Données projet'!$B$16,Paramètres!$A$1:$I$89,3,0)*VLOOKUP('Données projet'!$B$16,Paramètres!$A$1:$I$89,5,0)</f>
        <v>1.8089849618263545E-13</v>
      </c>
      <c r="FG203" s="14">
        <f t="shared" si="182"/>
        <v>2.536422473342444E-12</v>
      </c>
      <c r="FH203" s="22">
        <f t="shared" si="183"/>
        <v>4.7326673552561798E-12</v>
      </c>
      <c r="FI203" s="60">
        <f t="shared" si="199"/>
        <v>293.33333333333803</v>
      </c>
      <c r="FJ203" s="60">
        <f ca="1">AVERAGE(OFFSET($FI$3,0,0,'Données projet'!$E$16+1,1))-AVERAGE(OFFSET($H$3,0,0,'Données projet'!$E$16+1,1))</f>
        <v>219.61164494001008</v>
      </c>
      <c r="FK203" s="60">
        <f t="shared" si="211"/>
        <v>219.59799863414111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-6.2527760746888816E-13</v>
      </c>
      <c r="GA203" s="18">
        <f>FZ203*VLOOKUP('Données projet'!$B$17,Paramètres!$A$1:$I$89,3,0)*VLOOKUP('Données projet'!$B$17,Paramètres!$A$1:$I$89,5,0)</f>
        <v>-2.9262992029543964E-13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147.5699668214238</v>
      </c>
      <c r="GF203" s="60">
        <f t="shared" si="212"/>
        <v>70.653739864908346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>
        <f>GU203*VLOOKUP('Données projet'!$B$18,Paramètres!$A$1:$I$89,3,0)*VLOOKUP('Données projet'!$B$18,Paramètres!$A$1:$I$89,5,0)</f>
        <v>0</v>
      </c>
      <c r="GW203" s="14" t="e">
        <f t="shared" si="188"/>
        <v>#NUM!</v>
      </c>
      <c r="GX203" s="22" t="e">
        <f t="shared" si="189"/>
        <v>#NUM!</v>
      </c>
      <c r="GY203" s="60" t="e">
        <f t="shared" si="201"/>
        <v>#NUM!</v>
      </c>
      <c r="GZ203" s="60">
        <f ca="1">AVERAGE(OFFSET($GY$3,0,0,'Données projet'!$E$18+1,1))-AVERAGE(OFFSET($H$3,0,0,'Données projet'!$E$18+1,1))</f>
        <v>136.03899433512379</v>
      </c>
      <c r="HA203" s="60">
        <f t="shared" si="213"/>
        <v>316.56646692826882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2.5763601121970194</v>
      </c>
      <c r="HH203" s="23">
        <f>EXP(-LN(2)/25)*HH202+(1-EXP(-LN(2)/25))/(LN(2)/25)*Calculateur!HC203*Calculateur!HE203*VLOOKUP('Données projet'!$B$18,Paramètres!$A$1:$I$89,3,0)*0.475*44/12</f>
        <v>9.0475564129540928E-2</v>
      </c>
      <c r="HI203" s="23">
        <f>EXP(-LN(2)/2)*HI202+(1-EXP(-LN(2)/2))/(LN(2)/2)*HC203*HF203*VLOOKUP('Données projet'!$B$18,Paramètres!$A$1:$I$89,3,0)*0.475*44/12</f>
        <v>7.557635446486159E-26</v>
      </c>
      <c r="HJ203" s="24">
        <f t="shared" si="190"/>
        <v>2.6668356763265604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1.2392705892426346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1.2392705892426346</v>
      </c>
      <c r="BV205" s="85">
        <f>EXP(LN('Données projet'!B114)/'Données projet'!A114)</f>
        <v>1.2054868146447177</v>
      </c>
      <c r="CQ205" s="85">
        <f>EXP(LN('Données projet'!B140)/'Données projet'!A140)</f>
        <v>1.2054868146447177</v>
      </c>
      <c r="DL205" s="85">
        <f>EXP(LN('Données projet'!B166)/'Données projet'!A166)</f>
        <v>1.3423796509621049</v>
      </c>
      <c r="EG205" s="85">
        <f>EXP(LN('Données projet'!B192)/'Données projet'!A192)</f>
        <v>1.2709816152101407</v>
      </c>
      <c r="FB205" s="85">
        <f>EXP(LN('Données projet'!B218)/'Données projet'!A218)</f>
        <v>1.2721747796233518</v>
      </c>
      <c r="FW205" s="85">
        <f>EXP(LN('Données projet'!B244)/'Données projet'!A244)</f>
        <v>1.167092777711815</v>
      </c>
      <c r="GR205" s="85">
        <f>EXP(LN('Données projet'!B270)/'Données projet'!A270)</f>
        <v>1.4105027052245922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14" sqref="C12:C14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2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3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2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4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4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3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2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3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1" t="s">
        <v>321</v>
      </c>
      <c r="B87" s="282" t="s">
        <v>322</v>
      </c>
      <c r="C87" s="283">
        <v>0.41</v>
      </c>
      <c r="D87" s="283" t="s">
        <v>323</v>
      </c>
      <c r="E87" s="283">
        <v>1.56</v>
      </c>
      <c r="F87" s="284" t="s">
        <v>274</v>
      </c>
      <c r="G87" s="285">
        <v>0.43</v>
      </c>
      <c r="H87" s="283" t="s">
        <v>278</v>
      </c>
      <c r="I87" s="286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85" zoomScaleNormal="85" workbookViewId="0">
      <selection activeCell="A52" sqref="A5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3" t="s">
        <v>271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Chêne sessile</v>
      </c>
      <c r="B6" s="151">
        <f>'Données projet'!D9</f>
        <v>0.80000000000000016</v>
      </c>
      <c r="C6" s="152">
        <f ca="1">IF(OR('Données projet'!B9="",'Données projet'!C9="",'Données projet'!C9=0%),0,Calculateur!S3)</f>
        <v>384.44848355636935</v>
      </c>
      <c r="D6" s="152">
        <f>IF(OR('Données projet'!B9="",'Données projet'!C9="",'Données projet'!C9=0%),0,Calculateur!T3)</f>
        <v>203.5274665601915</v>
      </c>
      <c r="E6" s="152">
        <f ca="1">MIN(C6,D6)</f>
        <v>203.5274665601915</v>
      </c>
      <c r="F6" s="152">
        <f ca="1">E6*B6</f>
        <v>162.82197324815323</v>
      </c>
      <c r="G6" s="152">
        <f ca="1">F6*(100%-'Données projet'!$C$24)*(100%-'Données projet'!$C$25)*(100%-'Données projet'!$C$26)*(100%-'Données projet'!$C$27)</f>
        <v>146.53977592333791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6.8000000000000016</v>
      </c>
      <c r="K6" s="156">
        <f>J6*(100%-'Données projet'!$C$24)*(100%-'Données projet'!$C$25)*(100%-'Données projet'!$C$26)*(100%-'Données projet'!$C$27)</f>
        <v>6.1200000000000019</v>
      </c>
      <c r="L6" s="157">
        <f ca="1">G6+I6+K6</f>
        <v>152.65977592333792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Chêne sessile</v>
      </c>
      <c r="B7" s="159">
        <f>'Données projet'!D10</f>
        <v>0.66549999999999998</v>
      </c>
      <c r="C7" s="152">
        <f ca="1">IF(OR('Données projet'!B10="",'Données projet'!C10="",'Données projet'!C10=0%),0,Calculateur!AN3)</f>
        <v>303.73499739059076</v>
      </c>
      <c r="D7" s="152">
        <f>IF(OR('Données projet'!B10="",'Données projet'!C10="",'Données projet'!C10=0%),0,Calculateur!AO3)</f>
        <v>172.32171001882188</v>
      </c>
      <c r="E7" s="152">
        <f t="shared" ref="E7:E15" ca="1" si="0">MIN(C7,D7)</f>
        <v>172.32171001882188</v>
      </c>
      <c r="F7" s="152">
        <f t="shared" ref="F7:F15" ca="1" si="1">E7*B7</f>
        <v>114.68009801752595</v>
      </c>
      <c r="G7" s="152">
        <f ca="1">F7*(100%-'Données projet'!$C$24)*(100%-'Données projet'!$C$25)*(100%-'Données projet'!$C$26)*(100%-'Données projet'!$C$27)</f>
        <v>103.21208821577336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4.8248749999999996</v>
      </c>
      <c r="K7" s="156">
        <f>J7*(100%-'Données projet'!$C$24)*(100%-'Données projet'!$C$25)*(100%-'Données projet'!$C$26)*(100%-'Données projet'!$C$27)</f>
        <v>4.3423875000000001</v>
      </c>
      <c r="L7" s="157">
        <f t="shared" ref="L7:L15" ca="1" si="2">G7+I7+K7</f>
        <v>107.55447571577336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Chêne pédonculé</v>
      </c>
      <c r="B8" s="159">
        <f>'Données projet'!D11</f>
        <v>1.21</v>
      </c>
      <c r="C8" s="152">
        <f ca="1">IF(OR('Données projet'!B11="",'Données projet'!C11="",'Données projet'!C11=0%),0,Calculateur!BI3)</f>
        <v>352.29660374042186</v>
      </c>
      <c r="D8" s="152">
        <f>IF(OR('Données projet'!B11="",'Données projet'!C11="",'Données projet'!C11=0%),0,Calculateur!BJ3)</f>
        <v>187.26439695305618</v>
      </c>
      <c r="E8" s="152">
        <f t="shared" ca="1" si="0"/>
        <v>187.26439695305618</v>
      </c>
      <c r="F8" s="152">
        <f t="shared" ca="1" si="1"/>
        <v>226.58992031319798</v>
      </c>
      <c r="G8" s="152">
        <f ca="1">F8*(100%-'Données projet'!$C$24)*(100%-'Données projet'!$C$25)*(100%-'Données projet'!$C$26)*(100%-'Données projet'!$C$27)</f>
        <v>203.93092828187818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10.285</v>
      </c>
      <c r="K8" s="156">
        <f>J8*(100%-'Données projet'!$C$24)*(100%-'Données projet'!$C$25)*(100%-'Données projet'!$C$26)*(100%-'Données projet'!$C$27)</f>
        <v>9.2565000000000008</v>
      </c>
      <c r="L8" s="157">
        <f t="shared" ca="1" si="2"/>
        <v>213.18742828187817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Chêne pédonculé</v>
      </c>
      <c r="B9" s="159">
        <f>'Données projet'!D12</f>
        <v>0.22</v>
      </c>
      <c r="C9" s="152">
        <f ca="1">IF(OR('Données projet'!B12="",'Données projet'!C12="",'Données projet'!C12=0%),0,Calculateur!CD3)</f>
        <v>277.03735509061545</v>
      </c>
      <c r="D9" s="152">
        <f>IF(OR('Données projet'!B12="",'Données projet'!C12="",'Données projet'!C12=0%),0,Calculateur!CE3)</f>
        <v>158.16416492761959</v>
      </c>
      <c r="E9" s="152">
        <f t="shared" ca="1" si="0"/>
        <v>158.16416492761959</v>
      </c>
      <c r="F9" s="152">
        <f t="shared" ca="1" si="1"/>
        <v>34.796116284076312</v>
      </c>
      <c r="G9" s="152">
        <f ca="1">F9*(100%-'Données projet'!$C$24)*(100%-'Données projet'!$C$25)*(100%-'Données projet'!$C$26)*(100%-'Données projet'!$C$27)</f>
        <v>31.31650465566868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1.595</v>
      </c>
      <c r="K9" s="156">
        <f>J9*(100%-'Données projet'!$C$24)*(100%-'Données projet'!$C$25)*(100%-'Données projet'!$C$26)*(100%-'Données projet'!$C$27)</f>
        <v>1.4355</v>
      </c>
      <c r="L9" s="157">
        <f t="shared" ca="1" si="2"/>
        <v>32.752004655668678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Chêne pubescent</v>
      </c>
      <c r="B10" s="159">
        <f>'Données projet'!D13</f>
        <v>0.22550000000000001</v>
      </c>
      <c r="C10" s="152">
        <f ca="1">IF(OR('Données projet'!B13="",'Données projet'!C13="",'Données projet'!C13=0%),0,Calculateur!CY3)</f>
        <v>350.3652766444938</v>
      </c>
      <c r="D10" s="152">
        <f>IF(OR('Données projet'!B13="",'Données projet'!C13="",'Données projet'!C13=0%),0,Calculateur!CZ3)</f>
        <v>197.04549436738586</v>
      </c>
      <c r="E10" s="152">
        <f t="shared" ca="1" si="0"/>
        <v>197.04549436738586</v>
      </c>
      <c r="F10" s="152">
        <f t="shared" ca="1" si="1"/>
        <v>44.433758979845514</v>
      </c>
      <c r="G10" s="152">
        <f ca="1">F10*(100%-'Données projet'!$C$24)*(100%-'Données projet'!$C$25)*(100%-'Données projet'!$C$26)*(100%-'Données projet'!$C$27)</f>
        <v>39.990383081860962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1.6348750000000001</v>
      </c>
      <c r="K10" s="156">
        <f>J10*(100%-'Données projet'!$C$24)*(100%-'Données projet'!$C$25)*(100%-'Données projet'!$C$26)*(100%-'Données projet'!$C$27)</f>
        <v>1.4713875000000001</v>
      </c>
      <c r="L10" s="157">
        <f t="shared" ca="1" si="2"/>
        <v>41.461770581860961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>Erable sycomore</v>
      </c>
      <c r="B11" s="159">
        <f>'Données projet'!D14</f>
        <v>0.59</v>
      </c>
      <c r="C11" s="152">
        <f ca="1">IF(OR('Données projet'!B14="",'Données projet'!C14="",'Données projet'!C14=0%),0,Calculateur!DT3)</f>
        <v>382.01991140382955</v>
      </c>
      <c r="D11" s="152">
        <f>IF(OR('Données projet'!B14="",'Données projet'!C14="",'Données projet'!C14=0%),0,Calculateur!DU3)</f>
        <v>389.53897948144339</v>
      </c>
      <c r="E11" s="152">
        <f t="shared" ca="1" si="0"/>
        <v>382.01991140382955</v>
      </c>
      <c r="F11" s="152">
        <f t="shared" ca="1" si="1"/>
        <v>225.39174772825942</v>
      </c>
      <c r="G11" s="152">
        <f ca="1">F11*(100%-'Données projet'!$C$24)*(100%-'Données projet'!$C$25)*(100%-'Données projet'!$C$26)*(100%-'Données projet'!$C$27)</f>
        <v>202.85257295543349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19.6175</v>
      </c>
      <c r="K11" s="156">
        <f>J11*(100%-'Données projet'!$C$24)*(100%-'Données projet'!$C$25)*(100%-'Données projet'!$C$26)*(100%-'Données projet'!$C$27)</f>
        <v>17.655750000000001</v>
      </c>
      <c r="L11" s="157">
        <f t="shared" ca="1" si="2"/>
        <v>220.5083229554335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>Erable sycomore</v>
      </c>
      <c r="B12" s="159">
        <f>'Données projet'!D15</f>
        <v>0.40000000000000008</v>
      </c>
      <c r="C12" s="152">
        <f ca="1">IF(OR('Données projet'!B15="",'Données projet'!C15="",'Données projet'!C15=0%),0,Calculateur!EO3)</f>
        <v>323.92137573760789</v>
      </c>
      <c r="D12" s="152">
        <f>IF(OR('Données projet'!B15="",'Données projet'!C15="",'Données projet'!C15=0%),0,Calculateur!EP3)</f>
        <v>389.53897948144339</v>
      </c>
      <c r="E12" s="152">
        <f t="shared" ca="1" si="0"/>
        <v>323.92137573760789</v>
      </c>
      <c r="F12" s="152">
        <f t="shared" ca="1" si="1"/>
        <v>129.56855029504317</v>
      </c>
      <c r="G12" s="152">
        <f ca="1">F12*(100%-'Données projet'!$C$24)*(100%-'Données projet'!$C$25)*(100%-'Données projet'!$C$26)*(100%-'Données projet'!$C$27)</f>
        <v>116.61169526553886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13.700000000000003</v>
      </c>
      <c r="K12" s="156">
        <f>J12*(100%-'Données projet'!$C$24)*(100%-'Données projet'!$C$25)*(100%-'Données projet'!$C$26)*(100%-'Données projet'!$C$27)</f>
        <v>12.330000000000004</v>
      </c>
      <c r="L12" s="157">
        <f t="shared" ca="1" si="2"/>
        <v>128.94169526553887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>Erable sycomore</v>
      </c>
      <c r="B13" s="159">
        <f>'Données projet'!D16</f>
        <v>0.29149999999999998</v>
      </c>
      <c r="C13" s="152">
        <f ca="1">IF(OR('Données projet'!B16="",'Données projet'!C16="",'Données projet'!C16=0%),0,Calculateur!FJ3)</f>
        <v>219.61164494001008</v>
      </c>
      <c r="D13" s="152">
        <f>IF(OR('Données projet'!B16="",'Données projet'!C16="",'Données projet'!C16=0%),0,Calculateur!FK3)</f>
        <v>219.59799863414111</v>
      </c>
      <c r="E13" s="152">
        <f t="shared" ca="1" si="0"/>
        <v>219.59799863414111</v>
      </c>
      <c r="F13" s="152">
        <f t="shared" ca="1" si="1"/>
        <v>64.012816601852123</v>
      </c>
      <c r="G13" s="152">
        <f ca="1">F13*(100%-'Données projet'!$C$24)*(100%-'Données projet'!$C$25)*(100%-'Données projet'!$C$26)*(100%-'Données projet'!$C$27)</f>
        <v>57.61153494166691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7.2146249999999998</v>
      </c>
      <c r="K13" s="156">
        <f>J13*(100%-'Données projet'!$C$24)*(100%-'Données projet'!$C$25)*(100%-'Données projet'!$C$26)*(100%-'Données projet'!$C$27)</f>
        <v>6.4931625000000004</v>
      </c>
      <c r="L13" s="157">
        <f t="shared" ca="1" si="2"/>
        <v>64.104697441666914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>Cèdre de l'Atlas</v>
      </c>
      <c r="B14" s="159">
        <f>'Données projet'!D17</f>
        <v>0.23100000000000001</v>
      </c>
      <c r="C14" s="152">
        <f ca="1">IF(OR('Données projet'!B17="",'Données projet'!C17="",'Données projet'!C17=0%),0,Calculateur!GE3)</f>
        <v>147.5699668214238</v>
      </c>
      <c r="D14" s="152">
        <f>IF(OR('Données projet'!B17="",'Données projet'!C17="",'Données projet'!C17=0%),0,Calculateur!GF3)</f>
        <v>70.653739864908346</v>
      </c>
      <c r="E14" s="152">
        <f t="shared" ca="1" si="0"/>
        <v>70.653739864908346</v>
      </c>
      <c r="F14" s="152">
        <f t="shared" ca="1" si="1"/>
        <v>16.32101390879383</v>
      </c>
      <c r="G14" s="152">
        <f ca="1">F14*(100%-'Données projet'!$C$24)*(100%-'Données projet'!$C$25)*(100%-'Données projet'!$C$26)*(100%-'Données projet'!$C$27)</f>
        <v>14.688912517914448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ca="1" si="2"/>
        <v>14.688912517914448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>Peuplier Koster</v>
      </c>
      <c r="B15" s="162">
        <f>'Données projet'!D18</f>
        <v>0.65</v>
      </c>
      <c r="C15" s="163">
        <f ca="1">IF(OR('Données projet'!B18="",'Données projet'!C18="",'Données projet'!C18=0%),0,Calculateur!GZ3)</f>
        <v>136.03899433512379</v>
      </c>
      <c r="D15" s="163">
        <f>IF(OR('Données projet'!B18="",'Données projet'!C18="",'Données projet'!C18=0%),0,Calculateur!HA3)</f>
        <v>316.56646692826882</v>
      </c>
      <c r="E15" s="163">
        <f t="shared" ca="1" si="0"/>
        <v>136.03899433512379</v>
      </c>
      <c r="F15" s="164">
        <f t="shared" ca="1" si="1"/>
        <v>88.42534631783046</v>
      </c>
      <c r="G15" s="164">
        <f ca="1">F15*(100%-'Données projet'!$C$24)*(100%-'Données projet'!$C$25)*(100%-'Données projet'!$C$26)*(100%-'Données projet'!$C$27)</f>
        <v>79.582811686047421</v>
      </c>
      <c r="H15" s="165">
        <f>IF(OR('Données projet'!B18="",'Données projet'!C18="",'Données projet'!C18=0%),0,AVERAGE(Calculateur!$HJ$3:$HJ$33)*B15)</f>
        <v>12.273467851956624</v>
      </c>
      <c r="I15" s="166">
        <f>H15*(100%-'Données projet'!$C$24)*(100%-'Données projet'!$C$25)*(100%-'Données projet'!$C$26)*(100%-'Données projet'!$C$27)</f>
        <v>11.046121066760962</v>
      </c>
      <c r="J15" s="167">
        <f>IF(OR('Données projet'!B18="",'Données projet'!C18="",'Données projet'!C18=0%),0,SUM(Calculateur!$HC$3:$HC$33)*VLOOKUP('Données projet'!$B$18,Paramètres!$A$1:$I$89,9,0)*B15)</f>
        <v>209.78380800000005</v>
      </c>
      <c r="K15" s="168">
        <f>J15*(100%-'Données projet'!$C$24)*(100%-'Données projet'!$C$25)*(100%-'Données projet'!$C$26)*(100%-'Données projet'!$C$27)</f>
        <v>188.80542720000005</v>
      </c>
      <c r="L15" s="169">
        <f t="shared" ca="1" si="2"/>
        <v>279.43435995280845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1107.041341694578</v>
      </c>
      <c r="G16" s="171">
        <f t="shared" ca="1" si="3"/>
        <v>996.33720752512033</v>
      </c>
      <c r="H16" s="172">
        <f t="shared" si="3"/>
        <v>12.273467851956624</v>
      </c>
      <c r="I16" s="172">
        <f t="shared" si="3"/>
        <v>11.046121066760962</v>
      </c>
      <c r="J16" s="173">
        <f t="shared" si="3"/>
        <v>275.45568300000002</v>
      </c>
      <c r="K16" s="173">
        <f t="shared" si="3"/>
        <v>247.91011470000007</v>
      </c>
      <c r="L16" s="174">
        <f t="shared" ca="1" si="3"/>
        <v>1255.2934432918814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5" t="s">
        <v>246</v>
      </c>
      <c r="G17" s="316"/>
      <c r="H17" s="316"/>
      <c r="I17" s="316"/>
      <c r="J17" s="316"/>
      <c r="K17" s="316"/>
      <c r="L17" s="31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7"/>
      <c r="G18" s="317"/>
      <c r="H18" s="317"/>
      <c r="I18" s="317"/>
      <c r="J18" s="317"/>
      <c r="K18" s="317"/>
      <c r="L18" s="31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Chêne sessile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Chêne sessile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Chêne pédonculé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Chêne pédonculé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Chêne pubescent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>Erable sycomore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>Erable sycomore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>Erable sycomore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>Cèdre de l'Atlas</v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>Peuplier Koster</v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13" zoomScale="80" zoomScaleNormal="80" workbookViewId="0">
      <selection activeCell="U42" sqref="U4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3" t="s">
        <v>272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21" t="s">
        <v>315</v>
      </c>
      <c r="I4" s="321"/>
      <c r="K4" s="318" t="s">
        <v>253</v>
      </c>
      <c r="L4" s="319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9" t="s">
        <v>310</v>
      </c>
      <c r="S7" s="330"/>
      <c r="T7" s="330"/>
      <c r="U7" s="330"/>
      <c r="V7" s="331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Chêne sessile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940.00971763606424</v>
      </c>
      <c r="U10" s="186">
        <f>'Données projet'!D9</f>
        <v>0.80000000000000016</v>
      </c>
      <c r="V10" s="185">
        <f>U10*T10</f>
        <v>752.00777410885155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Chêne sessile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591.87660484177854</v>
      </c>
      <c r="U11" s="186">
        <f>'Données projet'!D10</f>
        <v>0.66549999999999998</v>
      </c>
      <c r="V11" s="185">
        <f t="shared" ref="V11" si="0">U11*T11</f>
        <v>393.89388052220363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Chêne pédonculé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940.00971763606424</v>
      </c>
      <c r="U12" s="186">
        <f>'Données projet'!D11</f>
        <v>1.21</v>
      </c>
      <c r="V12" s="185">
        <f t="shared" ref="V12:V19" si="1">U12*T12</f>
        <v>1137.4117583396378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Chêne pédonculé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591.87660484177854</v>
      </c>
      <c r="U13" s="186">
        <f>'Données projet'!D12</f>
        <v>0.22</v>
      </c>
      <c r="V13" s="185">
        <f t="shared" si="1"/>
        <v>130.21285306519127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Chêne sessile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Chêne pubescent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591.87660484177854</v>
      </c>
      <c r="U14" s="186">
        <f>'Données projet'!D13</f>
        <v>0.22550000000000001</v>
      </c>
      <c r="V14" s="185">
        <f t="shared" si="1"/>
        <v>133.46817439182107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22" t="s">
        <v>318</v>
      </c>
      <c r="H15" s="199"/>
      <c r="I15" s="200"/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Erable sycomore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1978.610454742342</v>
      </c>
      <c r="U15" s="186">
        <f>'Données projet'!D14</f>
        <v>0.59</v>
      </c>
      <c r="V15" s="185">
        <f t="shared" si="1"/>
        <v>1167.3801682979818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2"/>
      <c r="H16" s="199"/>
      <c r="I16" s="200"/>
      <c r="J16" s="212"/>
      <c r="K16" s="221"/>
      <c r="L16" s="318" t="s">
        <v>254</v>
      </c>
      <c r="M16" s="319"/>
      <c r="N16" s="2"/>
      <c r="O16" s="25"/>
      <c r="P16" s="25"/>
      <c r="Q16" s="261"/>
      <c r="R16" s="25"/>
      <c r="S16" s="181" t="str">
        <f>B200</f>
        <v>Erable sycomore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1486.218625791794</v>
      </c>
      <c r="U16" s="186">
        <f>'Données projet'!D15</f>
        <v>0.40000000000000008</v>
      </c>
      <c r="V16" s="185">
        <f t="shared" si="1"/>
        <v>594.48745031671774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22"/>
      <c r="J17" s="212"/>
      <c r="K17" s="221"/>
      <c r="L17" s="289" t="s">
        <v>289</v>
      </c>
      <c r="M17" s="291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>Erable sycomore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1166.4310210618873</v>
      </c>
      <c r="U17" s="186">
        <f>'Données projet'!D16</f>
        <v>0.29149999999999998</v>
      </c>
      <c r="V17" s="185">
        <f t="shared" si="1"/>
        <v>340.01464263954011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22"/>
      <c r="J18" s="212"/>
      <c r="K18" s="221"/>
      <c r="L18" s="289" t="s">
        <v>255</v>
      </c>
      <c r="M18" s="291"/>
      <c r="N18" s="201"/>
      <c r="O18" s="25"/>
      <c r="P18" s="25"/>
      <c r="Q18" s="261"/>
      <c r="R18" s="25"/>
      <c r="S18" s="181" t="str">
        <f>B262</f>
        <v>Cèdre de l'Atlas</v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531.92694896636795</v>
      </c>
      <c r="U18" s="186">
        <f>'Données projet'!D17</f>
        <v>0.23100000000000001</v>
      </c>
      <c r="V18" s="185">
        <f t="shared" si="1"/>
        <v>122.87512521123099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22"/>
      <c r="H19" s="228" t="s">
        <v>178</v>
      </c>
      <c r="I19" s="228" t="s">
        <v>287</v>
      </c>
      <c r="J19" s="256"/>
      <c r="K19" s="179"/>
      <c r="L19" s="318" t="s">
        <v>288</v>
      </c>
      <c r="M19" s="319"/>
      <c r="N19" s="187">
        <f>N17*N18</f>
        <v>0</v>
      </c>
      <c r="O19" s="25"/>
      <c r="P19" s="5"/>
      <c r="Q19" s="262"/>
      <c r="R19" s="5"/>
      <c r="S19" s="181" t="str">
        <f>B293</f>
        <v>Peuplier Koster</v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4170.365443417988</v>
      </c>
      <c r="U19" s="186">
        <f>'Données projet'!D18</f>
        <v>0.65</v>
      </c>
      <c r="V19" s="185">
        <f t="shared" si="1"/>
        <v>2710.7375382216924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22"/>
      <c r="H20" s="199">
        <v>1</v>
      </c>
      <c r="I20" s="200">
        <v>6000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20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20" t="s">
        <v>260</v>
      </c>
      <c r="M23" s="320"/>
      <c r="N23" s="320"/>
      <c r="O23" s="25"/>
      <c r="P23" s="25"/>
      <c r="Q23" s="261"/>
      <c r="R23" s="25"/>
      <c r="S23" s="181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-24096.458003306187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25</v>
      </c>
      <c r="B24" s="189">
        <f>'Données projet'!D37</f>
        <v>34</v>
      </c>
      <c r="C24" s="202">
        <v>10</v>
      </c>
      <c r="D24" s="190">
        <f t="shared" ref="D24:D42" si="2">B24*C24</f>
        <v>340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30</v>
      </c>
      <c r="B25" s="189">
        <f>'Données projet'!D38</f>
        <v>0</v>
      </c>
      <c r="C25" s="202"/>
      <c r="D25" s="190">
        <f t="shared" si="2"/>
        <v>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/>
      <c r="Q25" s="261"/>
      <c r="R25" s="25"/>
      <c r="S25" s="194" t="s">
        <v>266</v>
      </c>
      <c r="T25" s="336">
        <f ca="1">T23-T24</f>
        <v>-24096.458003306187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35</v>
      </c>
      <c r="B26" s="189">
        <f>'Données projet'!D39</f>
        <v>56</v>
      </c>
      <c r="C26" s="202">
        <v>10</v>
      </c>
      <c r="D26" s="190">
        <f t="shared" si="2"/>
        <v>560</v>
      </c>
      <c r="E26" s="202"/>
      <c r="F26" s="260"/>
      <c r="G26" s="255"/>
      <c r="H26" s="199"/>
      <c r="I26" s="200"/>
      <c r="K26" s="221"/>
      <c r="L26" s="323" t="s">
        <v>258</v>
      </c>
      <c r="M26" s="324"/>
      <c r="N26" s="324"/>
      <c r="O26" s="324"/>
      <c r="P26" s="325"/>
      <c r="Q26" s="261"/>
      <c r="R26" s="25"/>
      <c r="S26" s="194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40</v>
      </c>
      <c r="B27" s="189">
        <f>'Données projet'!D40</f>
        <v>0</v>
      </c>
      <c r="C27" s="202"/>
      <c r="D27" s="190">
        <f t="shared" si="2"/>
        <v>0</v>
      </c>
      <c r="E27" s="202"/>
      <c r="F27" s="260"/>
      <c r="G27" s="255"/>
      <c r="H27" s="199"/>
      <c r="I27" s="200"/>
      <c r="K27" s="221"/>
      <c r="L27" s="326"/>
      <c r="M27" s="327"/>
      <c r="N27" s="327"/>
      <c r="O27" s="327"/>
      <c r="P27" s="328"/>
      <c r="Q27" s="261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45</v>
      </c>
      <c r="B28" s="189">
        <f>'Données projet'!D41</f>
        <v>56</v>
      </c>
      <c r="C28" s="202">
        <v>10</v>
      </c>
      <c r="D28" s="190">
        <f t="shared" si="2"/>
        <v>560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50</v>
      </c>
      <c r="B29" s="189">
        <f>'Données projet'!D42</f>
        <v>0</v>
      </c>
      <c r="C29" s="202"/>
      <c r="D29" s="190">
        <f t="shared" si="2"/>
        <v>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55</v>
      </c>
      <c r="B30" s="189">
        <f>'Données projet'!D43</f>
        <v>56</v>
      </c>
      <c r="C30" s="202">
        <v>20</v>
      </c>
      <c r="D30" s="190">
        <f t="shared" si="2"/>
        <v>1120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60</v>
      </c>
      <c r="B31" s="189">
        <f>'Données projet'!D44</f>
        <v>0</v>
      </c>
      <c r="C31" s="202"/>
      <c r="D31" s="190">
        <f t="shared" si="2"/>
        <v>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65</v>
      </c>
      <c r="B32" s="189">
        <f>'Données projet'!D45</f>
        <v>56</v>
      </c>
      <c r="C32" s="202">
        <v>30</v>
      </c>
      <c r="D32" s="190">
        <f t="shared" si="2"/>
        <v>1680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70</v>
      </c>
      <c r="B33" s="189">
        <f>'Données projet'!D46</f>
        <v>0</v>
      </c>
      <c r="C33" s="202"/>
      <c r="D33" s="190">
        <f t="shared" si="2"/>
        <v>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75</v>
      </c>
      <c r="B34" s="189">
        <f>'Données projet'!D47</f>
        <v>56</v>
      </c>
      <c r="C34" s="202">
        <v>40</v>
      </c>
      <c r="D34" s="190">
        <f t="shared" si="2"/>
        <v>2240</v>
      </c>
      <c r="E34" s="202"/>
      <c r="F34" s="260"/>
      <c r="G34" s="214"/>
      <c r="H34" s="199"/>
      <c r="I34" s="200"/>
      <c r="K34" s="179"/>
      <c r="L34" s="279"/>
      <c r="M34" s="279"/>
      <c r="N34" s="280"/>
      <c r="O34" s="203">
        <f>IF(O33+1&lt;=MIN('Données projet'!$E$9:$E$18),O33+1,"STOP")</f>
        <v>1</v>
      </c>
      <c r="P34" s="193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80</v>
      </c>
      <c r="B35" s="189">
        <f>'Données projet'!D48</f>
        <v>0</v>
      </c>
      <c r="C35" s="202">
        <v>50</v>
      </c>
      <c r="D35" s="190">
        <f t="shared" si="2"/>
        <v>0</v>
      </c>
      <c r="E35" s="202"/>
      <c r="F35" s="260"/>
      <c r="G35" s="214"/>
      <c r="H35" s="199"/>
      <c r="I35" s="200"/>
      <c r="K35" s="179"/>
      <c r="L35" s="279"/>
      <c r="M35" s="279"/>
      <c r="N35" s="280"/>
      <c r="O35" s="203">
        <f>IF(O34+1&lt;=MIN('Données projet'!$E$9:$E$18),O34+1,"STOP")</f>
        <v>2</v>
      </c>
      <c r="P35" s="193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90</v>
      </c>
      <c r="B36" s="189">
        <f>'Données projet'!D49</f>
        <v>56</v>
      </c>
      <c r="C36" s="202">
        <v>70</v>
      </c>
      <c r="D36" s="190">
        <f t="shared" si="2"/>
        <v>3920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100</v>
      </c>
      <c r="B37" s="189">
        <f>'Données projet'!D50</f>
        <v>55</v>
      </c>
      <c r="C37" s="202">
        <v>100</v>
      </c>
      <c r="D37" s="190">
        <f t="shared" si="2"/>
        <v>5500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110</v>
      </c>
      <c r="B38" s="189">
        <f>'Données projet'!D51</f>
        <v>53</v>
      </c>
      <c r="C38" s="202">
        <v>120</v>
      </c>
      <c r="D38" s="190">
        <f t="shared" si="2"/>
        <v>6360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120</v>
      </c>
      <c r="B39" s="189">
        <f>'Données projet'!D52</f>
        <v>47</v>
      </c>
      <c r="C39" s="202">
        <v>120</v>
      </c>
      <c r="D39" s="190">
        <f t="shared" si="2"/>
        <v>5640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130</v>
      </c>
      <c r="B40" s="189">
        <f>'Données projet'!D53</f>
        <v>44</v>
      </c>
      <c r="C40" s="202">
        <v>150</v>
      </c>
      <c r="D40" s="190">
        <f t="shared" si="2"/>
        <v>6600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140</v>
      </c>
      <c r="B41" s="189">
        <f>'Données projet'!D54</f>
        <v>43</v>
      </c>
      <c r="C41" s="202">
        <v>200</v>
      </c>
      <c r="D41" s="190">
        <f t="shared" si="2"/>
        <v>8600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150</v>
      </c>
      <c r="B42" s="189">
        <f>'Données projet'!D55</f>
        <v>335</v>
      </c>
      <c r="C42" s="202">
        <v>200</v>
      </c>
      <c r="D42" s="190">
        <f t="shared" si="2"/>
        <v>67000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Chêne sessile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20</v>
      </c>
      <c r="B54" s="189">
        <f>'Données projet'!D62</f>
        <v>0</v>
      </c>
      <c r="C54" s="202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25</v>
      </c>
      <c r="B55" s="189">
        <f>'Données projet'!D63</f>
        <v>0</v>
      </c>
      <c r="C55" s="202"/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30</v>
      </c>
      <c r="B56" s="189">
        <f>'Données projet'!D64</f>
        <v>29</v>
      </c>
      <c r="C56" s="202">
        <v>10</v>
      </c>
      <c r="D56" s="187">
        <f t="shared" si="4"/>
        <v>290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35</v>
      </c>
      <c r="B57" s="189">
        <f>'Données projet'!D65</f>
        <v>0</v>
      </c>
      <c r="C57" s="202"/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40</v>
      </c>
      <c r="B58" s="189">
        <f>'Données projet'!D66</f>
        <v>42</v>
      </c>
      <c r="C58" s="202">
        <v>10</v>
      </c>
      <c r="D58" s="187">
        <f t="shared" si="4"/>
        <v>420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45</v>
      </c>
      <c r="B59" s="189">
        <f>'Données projet'!D67</f>
        <v>0</v>
      </c>
      <c r="C59" s="202"/>
      <c r="D59" s="187">
        <f t="shared" si="4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 t="str">
        <f>IF(O58+1&lt;=MIN('Données projet'!$E$9:$E$18),O58+1,"STOP")</f>
        <v>STOP</v>
      </c>
      <c r="P59" s="193" t="e">
        <f t="shared" si="3"/>
        <v>#VALUE!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50</v>
      </c>
      <c r="B60" s="189">
        <f>'Données projet'!D68</f>
        <v>42</v>
      </c>
      <c r="C60" s="202">
        <v>10</v>
      </c>
      <c r="D60" s="187">
        <f t="shared" si="4"/>
        <v>420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 t="e">
        <f>IF(O59+1&lt;=MIN('Données projet'!$E$9:$E$18),O59+1,"STOP")</f>
        <v>#VALUE!</v>
      </c>
      <c r="P60" s="193" t="e">
        <f t="shared" si="3"/>
        <v>#VALUE!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55</v>
      </c>
      <c r="B61" s="189">
        <f>'Données projet'!D69</f>
        <v>0</v>
      </c>
      <c r="C61" s="202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 t="e">
        <f>IF(O60+1&lt;=MIN('Données projet'!$E$9:$E$18),O60+1,"STOP")</f>
        <v>#VALUE!</v>
      </c>
      <c r="P61" s="193" t="e">
        <f t="shared" si="3"/>
        <v>#VALUE!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60</v>
      </c>
      <c r="B62" s="189">
        <f>'Données projet'!D70</f>
        <v>42</v>
      </c>
      <c r="C62" s="202">
        <v>20</v>
      </c>
      <c r="D62" s="187">
        <f t="shared" si="4"/>
        <v>840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 t="e">
        <f>IF(O61+1&lt;=MIN('Données projet'!$E$9:$E$18),O61+1,"STOP")</f>
        <v>#VALUE!</v>
      </c>
      <c r="P62" s="193" t="e">
        <f t="shared" si="3"/>
        <v>#VALUE!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65</v>
      </c>
      <c r="B63" s="189">
        <f>'Données projet'!D71</f>
        <v>0</v>
      </c>
      <c r="C63" s="202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 t="e">
        <f>IF(O62+1&lt;=MIN('Données projet'!$E$9:$E$18),O62+1,"STOP")</f>
        <v>#VALUE!</v>
      </c>
      <c r="P63" s="193" t="e">
        <f t="shared" si="3"/>
        <v>#VALUE!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70</v>
      </c>
      <c r="B64" s="189">
        <f>'Données projet'!D72</f>
        <v>42</v>
      </c>
      <c r="C64" s="202">
        <v>30</v>
      </c>
      <c r="D64" s="187">
        <f t="shared" si="4"/>
        <v>1260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 t="e">
        <f>IF(O63+1&lt;=MIN('Données projet'!$E$9:$E$18),O63+1,"STOP")</f>
        <v>#VALUE!</v>
      </c>
      <c r="P64" s="193" t="e">
        <f t="shared" si="3"/>
        <v>#VALUE!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75</v>
      </c>
      <c r="B65" s="189">
        <f>'Données projet'!D73</f>
        <v>0</v>
      </c>
      <c r="C65" s="202"/>
      <c r="D65" s="187">
        <f t="shared" si="4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 t="e">
        <f>IF(O64+1&lt;=MIN('Données projet'!$E$9:$E$18),O64+1,"STOP")</f>
        <v>#VALUE!</v>
      </c>
      <c r="P65" s="193" t="e">
        <f t="shared" ref="P65:P96" si="5">$P$25/(1+$M$4)^O65</f>
        <v>#VALUE!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80</v>
      </c>
      <c r="B66" s="189">
        <f>'Données projet'!D74</f>
        <v>42</v>
      </c>
      <c r="C66" s="202">
        <v>40</v>
      </c>
      <c r="D66" s="187">
        <f t="shared" si="4"/>
        <v>1680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 t="e">
        <f>IF(O65+1&lt;=MIN('Données projet'!$E$9:$E$18),O65+1,"STOP")</f>
        <v>#VALUE!</v>
      </c>
      <c r="P66" s="193" t="e">
        <f t="shared" si="5"/>
        <v>#VALUE!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90</v>
      </c>
      <c r="B67" s="189">
        <f>'Données projet'!D75</f>
        <v>42</v>
      </c>
      <c r="C67" s="202">
        <v>50</v>
      </c>
      <c r="D67" s="187">
        <f t="shared" si="4"/>
        <v>2100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 t="e">
        <f>IF(O66+1&lt;=MIN('Données projet'!$E$9:$E$18),O66+1,"STOP")</f>
        <v>#VALUE!</v>
      </c>
      <c r="P67" s="193" t="e">
        <f t="shared" si="5"/>
        <v>#VALUE!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100</v>
      </c>
      <c r="B68" s="189">
        <f>'Données projet'!D76</f>
        <v>42</v>
      </c>
      <c r="C68" s="202">
        <v>70</v>
      </c>
      <c r="D68" s="187">
        <f t="shared" si="4"/>
        <v>2940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 t="e">
        <f>IF(O67+1&lt;=MIN('Données projet'!$E$9:$E$18),O67+1,"STOP")</f>
        <v>#VALUE!</v>
      </c>
      <c r="P68" s="193" t="e">
        <f t="shared" si="5"/>
        <v>#VALUE!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110</v>
      </c>
      <c r="B69" s="189">
        <f>'Données projet'!D77</f>
        <v>39</v>
      </c>
      <c r="C69" s="202">
        <v>100</v>
      </c>
      <c r="D69" s="187">
        <f t="shared" si="4"/>
        <v>3900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 t="e">
        <f>IF(O68+1&lt;=MIN('Données projet'!$E$9:$E$18),O68+1,"STOP")</f>
        <v>#VALUE!</v>
      </c>
      <c r="P69" s="193" t="e">
        <f t="shared" si="5"/>
        <v>#VALUE!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120</v>
      </c>
      <c r="B70" s="189">
        <f>'Données projet'!D78</f>
        <v>35</v>
      </c>
      <c r="C70" s="202">
        <v>120</v>
      </c>
      <c r="D70" s="187">
        <f t="shared" si="4"/>
        <v>4200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 t="e">
        <f>IF(O69+1&lt;=MIN('Données projet'!$E$9:$E$18),O69+1,"STOP")</f>
        <v>#VALUE!</v>
      </c>
      <c r="P70" s="193" t="e">
        <f t="shared" si="5"/>
        <v>#VALUE!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130</v>
      </c>
      <c r="B71" s="189">
        <f>'Données projet'!D79</f>
        <v>31</v>
      </c>
      <c r="C71" s="202">
        <v>120</v>
      </c>
      <c r="D71" s="187">
        <f t="shared" si="4"/>
        <v>3720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 t="e">
        <f>IF(O70+1&lt;=MIN('Données projet'!$E$9:$E$18),O70+1,"STOP")</f>
        <v>#VALUE!</v>
      </c>
      <c r="P71" s="193" t="e">
        <f t="shared" si="5"/>
        <v>#VALUE!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140</v>
      </c>
      <c r="B72" s="189">
        <f>'Données projet'!D80</f>
        <v>27</v>
      </c>
      <c r="C72" s="202">
        <v>150</v>
      </c>
      <c r="D72" s="187">
        <f t="shared" si="4"/>
        <v>4050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 t="e">
        <f>IF(O71+1&lt;=MIN('Données projet'!$E$9:$E$18),O71+1,"STOP")</f>
        <v>#VALUE!</v>
      </c>
      <c r="P72" s="193" t="e">
        <f t="shared" si="5"/>
        <v>#VALUE!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150</v>
      </c>
      <c r="B73" s="189">
        <f>'Données projet'!D81</f>
        <v>293</v>
      </c>
      <c r="C73" s="202">
        <v>200</v>
      </c>
      <c r="D73" s="187">
        <f t="shared" si="4"/>
        <v>58600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 t="e">
        <f>IF(O72+1&lt;=MIN('Données projet'!$E$9:$E$18),O72+1,"STOP")</f>
        <v>#VALUE!</v>
      </c>
      <c r="P73" s="193" t="e">
        <f t="shared" si="5"/>
        <v>#VALUE!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 t="e">
        <f>IF(O73+1&lt;=MIN('Données projet'!$E$9:$E$18),O73+1,"STOP")</f>
        <v>#VALUE!</v>
      </c>
      <c r="P74" s="193" t="e">
        <f t="shared" si="5"/>
        <v>#VALUE!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 t="e">
        <f>IF(O74+1&lt;=MIN('Données projet'!$E$9:$E$18),O74+1,"STOP")</f>
        <v>#VALUE!</v>
      </c>
      <c r="P75" s="193" t="e">
        <f t="shared" si="5"/>
        <v>#VALUE!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Chêne pédonculé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 t="e">
        <f>IF(O75+1&lt;=MIN('Données projet'!$E$9:$E$18),O75+1,"STOP")</f>
        <v>#VALUE!</v>
      </c>
      <c r="P76" s="193" t="e">
        <f t="shared" si="5"/>
        <v>#VALUE!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 t="e">
        <f>IF(O76+1&lt;=MIN('Données projet'!$E$9:$E$18),O76+1,"STOP")</f>
        <v>#VALUE!</v>
      </c>
      <c r="P77" s="193" t="e">
        <f t="shared" si="5"/>
        <v>#VALUE!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 t="e">
        <f>IF(O77+1&lt;=MIN('Données projet'!$E$9:$E$18),O77+1,"STOP")</f>
        <v>#VALUE!</v>
      </c>
      <c r="P78" s="193" t="e">
        <f t="shared" si="5"/>
        <v>#VALUE!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 t="e">
        <f>IF(O78+1&lt;=MIN('Données projet'!$E$9:$E$18),O78+1,"STOP")</f>
        <v>#VALUE!</v>
      </c>
      <c r="P79" s="193" t="e">
        <f t="shared" si="5"/>
        <v>#VALUE!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 t="e">
        <f>IF(O79+1&lt;=MIN('Données projet'!$E$9:$E$18),O79+1,"STOP")</f>
        <v>#VALUE!</v>
      </c>
      <c r="P80" s="193" t="e">
        <f t="shared" si="5"/>
        <v>#VALUE!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 t="e">
        <f>IF(O80+1&lt;=MIN('Données projet'!$E$9:$E$18),O80+1,"STOP")</f>
        <v>#VALUE!</v>
      </c>
      <c r="P81" s="193" t="e">
        <f t="shared" si="5"/>
        <v>#VALUE!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 t="e">
        <f>IF(O81+1&lt;=MIN('Données projet'!$E$9:$E$18),O81+1,"STOP")</f>
        <v>#VALUE!</v>
      </c>
      <c r="P82" s="193" t="e">
        <f t="shared" si="5"/>
        <v>#VALUE!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 t="e">
        <f>IF(O82+1&lt;=MIN('Données projet'!$E$9:$E$18),O82+1,"STOP")</f>
        <v>#VALUE!</v>
      </c>
      <c r="P83" s="193" t="e">
        <f t="shared" si="5"/>
        <v>#VALUE!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 t="e">
        <f>IF(O83+1&lt;=MIN('Données projet'!$E$9:$E$18),O83+1,"STOP")</f>
        <v>#VALUE!</v>
      </c>
      <c r="P84" s="193" t="e">
        <f t="shared" si="5"/>
        <v>#VALUE!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20</v>
      </c>
      <c r="B85" s="189">
        <f>'Données projet'!D88</f>
        <v>0</v>
      </c>
      <c r="C85" s="202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 t="e">
        <f>IF(O84+1&lt;=MIN('Données projet'!$E$9:$E$18),O84+1,"STOP")</f>
        <v>#VALUE!</v>
      </c>
      <c r="P85" s="193" t="e">
        <f t="shared" si="5"/>
        <v>#VALUE!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25</v>
      </c>
      <c r="B86" s="189">
        <f>'Données projet'!D89</f>
        <v>34</v>
      </c>
      <c r="C86" s="202">
        <v>10</v>
      </c>
      <c r="D86" s="187">
        <f t="shared" ref="D86:D104" si="6">B86*C86</f>
        <v>340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 t="e">
        <f>IF(O85+1&lt;=MIN('Données projet'!$E$9:$E$18),O85+1,"STOP")</f>
        <v>#VALUE!</v>
      </c>
      <c r="P86" s="193" t="e">
        <f t="shared" si="5"/>
        <v>#VALUE!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30</v>
      </c>
      <c r="B87" s="189">
        <f>'Données projet'!D90</f>
        <v>0</v>
      </c>
      <c r="C87" s="202"/>
      <c r="D87" s="187">
        <f t="shared" si="6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 t="e">
        <f>IF(O86+1&lt;=MIN('Données projet'!$E$9:$E$18),O86+1,"STOP")</f>
        <v>#VALUE!</v>
      </c>
      <c r="P87" s="193" t="e">
        <f t="shared" si="5"/>
        <v>#VALUE!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35</v>
      </c>
      <c r="B88" s="189">
        <f>'Données projet'!D91</f>
        <v>56</v>
      </c>
      <c r="C88" s="202">
        <v>10</v>
      </c>
      <c r="D88" s="187">
        <f t="shared" si="6"/>
        <v>560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 t="e">
        <f>IF(O87+1&lt;=MIN('Données projet'!$E$9:$E$18),O87+1,"STOP")</f>
        <v>#VALUE!</v>
      </c>
      <c r="P88" s="193" t="e">
        <f t="shared" si="5"/>
        <v>#VALUE!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40</v>
      </c>
      <c r="B89" s="189">
        <f>'Données projet'!D92</f>
        <v>0</v>
      </c>
      <c r="C89" s="202"/>
      <c r="D89" s="187">
        <f t="shared" si="6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 t="e">
        <f>IF(O88+1&lt;=MIN('Données projet'!$E$9:$E$18),O88+1,"STOP")</f>
        <v>#VALUE!</v>
      </c>
      <c r="P89" s="193" t="e">
        <f t="shared" si="5"/>
        <v>#VALUE!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45</v>
      </c>
      <c r="B90" s="189">
        <f>'Données projet'!D93</f>
        <v>56</v>
      </c>
      <c r="C90" s="202">
        <v>10</v>
      </c>
      <c r="D90" s="187">
        <f t="shared" si="6"/>
        <v>560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 t="e">
        <f>IF(O89+1&lt;=MIN('Données projet'!$E$9:$E$18),O89+1,"STOP")</f>
        <v>#VALUE!</v>
      </c>
      <c r="P90" s="193" t="e">
        <f t="shared" si="5"/>
        <v>#VALUE!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50</v>
      </c>
      <c r="B91" s="189">
        <f>'Données projet'!D94</f>
        <v>0</v>
      </c>
      <c r="C91" s="202"/>
      <c r="D91" s="187">
        <f t="shared" si="6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 t="e">
        <f>IF(O90+1&lt;=MIN('Données projet'!$E$9:$E$18),O90+1,"STOP")</f>
        <v>#VALUE!</v>
      </c>
      <c r="P91" s="193" t="e">
        <f t="shared" si="5"/>
        <v>#VALUE!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55</v>
      </c>
      <c r="B92" s="189">
        <f>'Données projet'!D95</f>
        <v>56</v>
      </c>
      <c r="C92" s="202">
        <v>20</v>
      </c>
      <c r="D92" s="187">
        <f t="shared" si="6"/>
        <v>1120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 t="e">
        <f>IF(O91+1&lt;=MIN('Données projet'!$E$9:$E$18),O91+1,"STOP")</f>
        <v>#VALUE!</v>
      </c>
      <c r="P92" s="193" t="e">
        <f t="shared" si="5"/>
        <v>#VALUE!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60</v>
      </c>
      <c r="B93" s="189">
        <f>'Données projet'!D96</f>
        <v>0</v>
      </c>
      <c r="C93" s="202"/>
      <c r="D93" s="187">
        <f t="shared" si="6"/>
        <v>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 t="e">
        <f>IF(O92+1&lt;=MIN('Données projet'!$E$9:$E$18),O92+1,"STOP")</f>
        <v>#VALUE!</v>
      </c>
      <c r="P93" s="193" t="e">
        <f t="shared" si="5"/>
        <v>#VALUE!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65</v>
      </c>
      <c r="B94" s="189">
        <f>'Données projet'!D97</f>
        <v>56</v>
      </c>
      <c r="C94" s="202">
        <v>30</v>
      </c>
      <c r="D94" s="187">
        <f t="shared" si="6"/>
        <v>1680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 t="e">
        <f>IF(O93+1&lt;=MIN('Données projet'!$E$9:$E$18),O93+1,"STOP")</f>
        <v>#VALUE!</v>
      </c>
      <c r="P94" s="193" t="e">
        <f t="shared" si="5"/>
        <v>#VALUE!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70</v>
      </c>
      <c r="B95" s="189">
        <f>'Données projet'!D98</f>
        <v>0</v>
      </c>
      <c r="C95" s="202"/>
      <c r="D95" s="187">
        <f t="shared" si="6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75</v>
      </c>
      <c r="B96" s="189">
        <f>'Données projet'!D99</f>
        <v>56</v>
      </c>
      <c r="C96" s="202">
        <v>40</v>
      </c>
      <c r="D96" s="187">
        <f t="shared" si="6"/>
        <v>2240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80</v>
      </c>
      <c r="B97" s="189">
        <f>'Données projet'!D100</f>
        <v>0</v>
      </c>
      <c r="C97" s="202">
        <v>50</v>
      </c>
      <c r="D97" s="187">
        <f t="shared" si="6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90</v>
      </c>
      <c r="B98" s="189">
        <f>'Données projet'!D101</f>
        <v>56</v>
      </c>
      <c r="C98" s="202">
        <v>70</v>
      </c>
      <c r="D98" s="187">
        <f t="shared" si="6"/>
        <v>3920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100</v>
      </c>
      <c r="B99" s="189">
        <f>'Données projet'!D102</f>
        <v>55</v>
      </c>
      <c r="C99" s="202">
        <v>100</v>
      </c>
      <c r="D99" s="187">
        <f t="shared" si="6"/>
        <v>5500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110</v>
      </c>
      <c r="B100" s="189">
        <f>'Données projet'!D103</f>
        <v>53</v>
      </c>
      <c r="C100" s="202">
        <v>120</v>
      </c>
      <c r="D100" s="187">
        <f t="shared" si="6"/>
        <v>6360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120</v>
      </c>
      <c r="B101" s="189">
        <f>'Données projet'!D104</f>
        <v>47</v>
      </c>
      <c r="C101" s="202">
        <v>120</v>
      </c>
      <c r="D101" s="187">
        <f t="shared" si="6"/>
        <v>5640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130</v>
      </c>
      <c r="B102" s="189">
        <f>'Données projet'!D105</f>
        <v>44</v>
      </c>
      <c r="C102" s="202">
        <v>150</v>
      </c>
      <c r="D102" s="187">
        <f t="shared" si="6"/>
        <v>6600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140</v>
      </c>
      <c r="B103" s="189">
        <f>'Données projet'!D106</f>
        <v>43</v>
      </c>
      <c r="C103" s="202">
        <v>200</v>
      </c>
      <c r="D103" s="187">
        <f t="shared" si="6"/>
        <v>8600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150</v>
      </c>
      <c r="B104" s="189">
        <f>'Données projet'!D107</f>
        <v>335</v>
      </c>
      <c r="C104" s="202">
        <v>200</v>
      </c>
      <c r="D104" s="187">
        <f t="shared" si="6"/>
        <v>67000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Chêne pédonculé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20</v>
      </c>
      <c r="B116" s="189">
        <f>'Données projet'!D114</f>
        <v>0</v>
      </c>
      <c r="C116" s="202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25</v>
      </c>
      <c r="B117" s="189">
        <f>'Données projet'!D115</f>
        <v>0</v>
      </c>
      <c r="C117" s="202"/>
      <c r="D117" s="187">
        <f t="shared" ref="D117:D135" si="8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30</v>
      </c>
      <c r="B118" s="189">
        <f>'Données projet'!D116</f>
        <v>29</v>
      </c>
      <c r="C118" s="202">
        <v>10</v>
      </c>
      <c r="D118" s="187">
        <f t="shared" si="8"/>
        <v>290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35</v>
      </c>
      <c r="B119" s="189">
        <f>'Données projet'!D117</f>
        <v>0</v>
      </c>
      <c r="C119" s="202"/>
      <c r="D119" s="187">
        <f t="shared" si="8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40</v>
      </c>
      <c r="B120" s="189">
        <f>'Données projet'!D118</f>
        <v>42</v>
      </c>
      <c r="C120" s="202">
        <v>10</v>
      </c>
      <c r="D120" s="187">
        <f t="shared" si="8"/>
        <v>420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45</v>
      </c>
      <c r="B121" s="189">
        <f>'Données projet'!D119</f>
        <v>0</v>
      </c>
      <c r="C121" s="202"/>
      <c r="D121" s="187">
        <f t="shared" si="8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50</v>
      </c>
      <c r="B122" s="189">
        <f>'Données projet'!D120</f>
        <v>42</v>
      </c>
      <c r="C122" s="202">
        <v>10</v>
      </c>
      <c r="D122" s="187">
        <f t="shared" si="8"/>
        <v>420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55</v>
      </c>
      <c r="B123" s="189">
        <f>'Données projet'!D121</f>
        <v>0</v>
      </c>
      <c r="C123" s="202"/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60</v>
      </c>
      <c r="B124" s="189">
        <f>'Données projet'!D122</f>
        <v>42</v>
      </c>
      <c r="C124" s="202">
        <v>20</v>
      </c>
      <c r="D124" s="187">
        <f t="shared" si="8"/>
        <v>840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65</v>
      </c>
      <c r="B125" s="189">
        <f>'Données projet'!D123</f>
        <v>0</v>
      </c>
      <c r="C125" s="202"/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70</v>
      </c>
      <c r="B126" s="189">
        <f>'Données projet'!D124</f>
        <v>42</v>
      </c>
      <c r="C126" s="202">
        <v>30</v>
      </c>
      <c r="D126" s="187">
        <f t="shared" si="8"/>
        <v>1260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75</v>
      </c>
      <c r="B127" s="189">
        <f>'Données projet'!D125</f>
        <v>0</v>
      </c>
      <c r="C127" s="202"/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80</v>
      </c>
      <c r="B128" s="189">
        <f>'Données projet'!D126</f>
        <v>42</v>
      </c>
      <c r="C128" s="202">
        <v>40</v>
      </c>
      <c r="D128" s="187">
        <f t="shared" si="8"/>
        <v>1680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90</v>
      </c>
      <c r="B129" s="189">
        <f>'Données projet'!D127</f>
        <v>42</v>
      </c>
      <c r="C129" s="202">
        <v>50</v>
      </c>
      <c r="D129" s="187">
        <f t="shared" si="8"/>
        <v>2100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100</v>
      </c>
      <c r="B130" s="189">
        <f>'Données projet'!D128</f>
        <v>42</v>
      </c>
      <c r="C130" s="202">
        <v>70</v>
      </c>
      <c r="D130" s="187">
        <f t="shared" si="8"/>
        <v>2940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110</v>
      </c>
      <c r="B131" s="189">
        <f>'Données projet'!D129</f>
        <v>39</v>
      </c>
      <c r="C131" s="202">
        <v>100</v>
      </c>
      <c r="D131" s="187">
        <f t="shared" si="8"/>
        <v>3900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120</v>
      </c>
      <c r="B132" s="189">
        <f>'Données projet'!D130</f>
        <v>35</v>
      </c>
      <c r="C132" s="202">
        <v>120</v>
      </c>
      <c r="D132" s="187">
        <f t="shared" si="8"/>
        <v>4200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130</v>
      </c>
      <c r="B133" s="189">
        <f>'Données projet'!D131</f>
        <v>31</v>
      </c>
      <c r="C133" s="202">
        <v>120</v>
      </c>
      <c r="D133" s="187">
        <f t="shared" si="8"/>
        <v>3720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140</v>
      </c>
      <c r="B134" s="189">
        <f>'Données projet'!D132</f>
        <v>27</v>
      </c>
      <c r="C134" s="202">
        <v>150</v>
      </c>
      <c r="D134" s="187">
        <f t="shared" si="8"/>
        <v>4050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150</v>
      </c>
      <c r="B135" s="189">
        <f>'Données projet'!D133</f>
        <v>293</v>
      </c>
      <c r="C135" s="202">
        <v>200</v>
      </c>
      <c r="D135" s="187">
        <f t="shared" si="8"/>
        <v>58600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Chêne pubescent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3">
        <f>'Données projet'!D140</f>
        <v>0</v>
      </c>
      <c r="C147" s="202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3">
        <f>'Données projet'!D141</f>
        <v>0</v>
      </c>
      <c r="C148" s="202"/>
      <c r="D148" s="190">
        <f t="shared" ref="D148:D166" si="10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3">
        <f>'Données projet'!D142</f>
        <v>29</v>
      </c>
      <c r="C149" s="202">
        <v>10</v>
      </c>
      <c r="D149" s="190">
        <f t="shared" si="10"/>
        <v>290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3">
        <f>'Données projet'!D143</f>
        <v>0</v>
      </c>
      <c r="C150" s="202"/>
      <c r="D150" s="190">
        <f t="shared" si="10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3">
        <f>'Données projet'!D144</f>
        <v>42</v>
      </c>
      <c r="C151" s="202">
        <v>10</v>
      </c>
      <c r="D151" s="190">
        <f t="shared" si="10"/>
        <v>420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3">
        <f>'Données projet'!D145</f>
        <v>0</v>
      </c>
      <c r="C152" s="202"/>
      <c r="D152" s="190">
        <f t="shared" si="10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3">
        <f>'Données projet'!D146</f>
        <v>42</v>
      </c>
      <c r="C153" s="202">
        <v>10</v>
      </c>
      <c r="D153" s="190">
        <f t="shared" si="10"/>
        <v>420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3">
        <f>'Données projet'!D147</f>
        <v>0</v>
      </c>
      <c r="C154" s="202"/>
      <c r="D154" s="190">
        <f t="shared" si="10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3">
        <f>'Données projet'!D148</f>
        <v>42</v>
      </c>
      <c r="C155" s="202">
        <v>20</v>
      </c>
      <c r="D155" s="190">
        <f t="shared" si="10"/>
        <v>840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3">
        <f>'Données projet'!D149</f>
        <v>0</v>
      </c>
      <c r="C156" s="202"/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3">
        <f>'Données projet'!D150</f>
        <v>42</v>
      </c>
      <c r="C157" s="202">
        <v>30</v>
      </c>
      <c r="D157" s="190">
        <f t="shared" si="10"/>
        <v>1260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3">
        <f>'Données projet'!D151</f>
        <v>0</v>
      </c>
      <c r="C158" s="202"/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3">
        <f>'Données projet'!D152</f>
        <v>42</v>
      </c>
      <c r="C159" s="202">
        <v>40</v>
      </c>
      <c r="D159" s="190">
        <f t="shared" si="10"/>
        <v>1680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3">
        <f>'Données projet'!D153</f>
        <v>42</v>
      </c>
      <c r="C160" s="202">
        <v>50</v>
      </c>
      <c r="D160" s="190">
        <f t="shared" si="10"/>
        <v>2100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3">
        <f>'Données projet'!D154</f>
        <v>42</v>
      </c>
      <c r="C161" s="202">
        <v>70</v>
      </c>
      <c r="D161" s="190">
        <f t="shared" si="10"/>
        <v>2940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3">
        <f>'Données projet'!D155</f>
        <v>39</v>
      </c>
      <c r="C162" s="202">
        <v>100</v>
      </c>
      <c r="D162" s="190">
        <f t="shared" si="10"/>
        <v>3900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3">
        <f>'Données projet'!D156</f>
        <v>35</v>
      </c>
      <c r="C163" s="202">
        <v>120</v>
      </c>
      <c r="D163" s="190">
        <f t="shared" si="10"/>
        <v>4200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3">
        <f>'Données projet'!D157</f>
        <v>31</v>
      </c>
      <c r="C164" s="202">
        <v>120</v>
      </c>
      <c r="D164" s="190">
        <f t="shared" si="10"/>
        <v>3720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3">
        <f>'Données projet'!D158</f>
        <v>27</v>
      </c>
      <c r="C165" s="202">
        <v>150</v>
      </c>
      <c r="D165" s="190">
        <f t="shared" si="10"/>
        <v>4050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3">
        <f>'Données projet'!D159</f>
        <v>293</v>
      </c>
      <c r="C166" s="202">
        <v>200</v>
      </c>
      <c r="D166" s="190">
        <f t="shared" si="10"/>
        <v>58600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>Erable sycomore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10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15</v>
      </c>
      <c r="B179" s="189">
        <f>'Données projet'!D167</f>
        <v>49</v>
      </c>
      <c r="C179" s="200">
        <v>10</v>
      </c>
      <c r="D179" s="187">
        <f t="shared" ref="D179:D197" si="11">B179*C179</f>
        <v>490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20</v>
      </c>
      <c r="B180" s="189">
        <f>'Données projet'!D168</f>
        <v>0</v>
      </c>
      <c r="C180" s="200"/>
      <c r="D180" s="187">
        <f t="shared" si="11"/>
        <v>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25</v>
      </c>
      <c r="B181" s="189">
        <f>'Données projet'!D169</f>
        <v>84</v>
      </c>
      <c r="C181" s="200">
        <v>10</v>
      </c>
      <c r="D181" s="187">
        <f t="shared" si="11"/>
        <v>840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30</v>
      </c>
      <c r="B182" s="189">
        <f>'Données projet'!D170</f>
        <v>0</v>
      </c>
      <c r="C182" s="200"/>
      <c r="D182" s="187">
        <f t="shared" si="11"/>
        <v>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35</v>
      </c>
      <c r="B183" s="189">
        <f>'Données projet'!D171</f>
        <v>84</v>
      </c>
      <c r="C183" s="200">
        <v>20</v>
      </c>
      <c r="D183" s="187">
        <f t="shared" si="11"/>
        <v>1680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40</v>
      </c>
      <c r="B184" s="189">
        <f>'Données projet'!D172</f>
        <v>0</v>
      </c>
      <c r="C184" s="200"/>
      <c r="D184" s="187">
        <f t="shared" si="11"/>
        <v>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45</v>
      </c>
      <c r="B185" s="189">
        <f>'Données projet'!D173</f>
        <v>66</v>
      </c>
      <c r="C185" s="200">
        <v>30</v>
      </c>
      <c r="D185" s="187">
        <f t="shared" si="11"/>
        <v>1980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50</v>
      </c>
      <c r="B186" s="189">
        <f>'Données projet'!D174</f>
        <v>0</v>
      </c>
      <c r="C186" s="200"/>
      <c r="D186" s="187">
        <f t="shared" si="11"/>
        <v>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55</v>
      </c>
      <c r="B187" s="189">
        <f>'Données projet'!D175</f>
        <v>35</v>
      </c>
      <c r="C187" s="200">
        <v>30</v>
      </c>
      <c r="D187" s="187">
        <f t="shared" si="11"/>
        <v>1050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60</v>
      </c>
      <c r="B188" s="189">
        <f>'Données projet'!D176</f>
        <v>0</v>
      </c>
      <c r="C188" s="200"/>
      <c r="D188" s="187">
        <f t="shared" si="11"/>
        <v>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65</v>
      </c>
      <c r="B189" s="189">
        <f>'Données projet'!D177</f>
        <v>33</v>
      </c>
      <c r="C189" s="200">
        <v>40</v>
      </c>
      <c r="D189" s="187">
        <f t="shared" si="11"/>
        <v>1320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70</v>
      </c>
      <c r="B190" s="189">
        <f>'Données projet'!D178</f>
        <v>15</v>
      </c>
      <c r="C190" s="200">
        <v>50</v>
      </c>
      <c r="D190" s="187">
        <f t="shared" si="11"/>
        <v>750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75</v>
      </c>
      <c r="B191" s="189">
        <f>'Données projet'!D179</f>
        <v>14</v>
      </c>
      <c r="C191" s="200">
        <v>50</v>
      </c>
      <c r="D191" s="187">
        <f t="shared" si="11"/>
        <v>700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80</v>
      </c>
      <c r="B192" s="189">
        <f>'Données projet'!D180</f>
        <v>395</v>
      </c>
      <c r="C192" s="202">
        <v>50</v>
      </c>
      <c r="D192" s="187">
        <f t="shared" si="11"/>
        <v>19750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0</v>
      </c>
      <c r="B193" s="189">
        <f>'Données projet'!D181</f>
        <v>0</v>
      </c>
      <c r="C193" s="202"/>
      <c r="D193" s="187">
        <f t="shared" si="11"/>
        <v>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0</v>
      </c>
      <c r="B194" s="189">
        <f>'Données projet'!D182</f>
        <v>0</v>
      </c>
      <c r="C194" s="202"/>
      <c r="D194" s="187">
        <f t="shared" si="11"/>
        <v>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0</v>
      </c>
      <c r="B195" s="189">
        <f>'Données projet'!D183</f>
        <v>0</v>
      </c>
      <c r="C195" s="202"/>
      <c r="D195" s="187">
        <f t="shared" si="11"/>
        <v>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0</v>
      </c>
      <c r="B196" s="189">
        <f>'Données projet'!D184</f>
        <v>0</v>
      </c>
      <c r="C196" s="202"/>
      <c r="D196" s="187">
        <f t="shared" si="11"/>
        <v>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0</v>
      </c>
      <c r="B197" s="189">
        <f>'Données projet'!D185</f>
        <v>0</v>
      </c>
      <c r="C197" s="202"/>
      <c r="D197" s="187">
        <f t="shared" si="11"/>
        <v>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>Erable sycomore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10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15</v>
      </c>
      <c r="B210" s="189">
        <f>'Données projet'!D193</f>
        <v>0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20</v>
      </c>
      <c r="B211" s="189">
        <f>'Données projet'!D194</f>
        <v>67</v>
      </c>
      <c r="C211" s="200">
        <v>10</v>
      </c>
      <c r="D211" s="187">
        <f t="shared" si="12"/>
        <v>670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25</v>
      </c>
      <c r="B212" s="189">
        <f>'Données projet'!D195</f>
        <v>0</v>
      </c>
      <c r="C212" s="200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30</v>
      </c>
      <c r="B213" s="189">
        <f>'Données projet'!D196</f>
        <v>70</v>
      </c>
      <c r="C213" s="200">
        <v>10</v>
      </c>
      <c r="D213" s="187">
        <f t="shared" si="12"/>
        <v>700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35</v>
      </c>
      <c r="B214" s="189">
        <f>'Données projet'!D197</f>
        <v>0</v>
      </c>
      <c r="C214" s="200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40</v>
      </c>
      <c r="B215" s="189">
        <f>'Données projet'!D198</f>
        <v>70</v>
      </c>
      <c r="C215" s="200">
        <v>20</v>
      </c>
      <c r="D215" s="187">
        <f t="shared" si="12"/>
        <v>1400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45</v>
      </c>
      <c r="B216" s="189">
        <f>'Données projet'!D199</f>
        <v>0</v>
      </c>
      <c r="C216" s="200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50</v>
      </c>
      <c r="B217" s="189">
        <f>'Données projet'!D200</f>
        <v>43</v>
      </c>
      <c r="C217" s="200">
        <v>30</v>
      </c>
      <c r="D217" s="187">
        <f t="shared" si="12"/>
        <v>1290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55</v>
      </c>
      <c r="B218" s="189">
        <f>'Données projet'!D201</f>
        <v>0</v>
      </c>
      <c r="C218" s="200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60</v>
      </c>
      <c r="B219" s="189">
        <f>'Données projet'!D202</f>
        <v>30</v>
      </c>
      <c r="C219" s="200">
        <v>30</v>
      </c>
      <c r="D219" s="187">
        <f t="shared" si="12"/>
        <v>900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65</v>
      </c>
      <c r="B220" s="189">
        <f>'Données projet'!D203</f>
        <v>0</v>
      </c>
      <c r="C220" s="200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70</v>
      </c>
      <c r="B221" s="189">
        <f>'Données projet'!D204</f>
        <v>26</v>
      </c>
      <c r="C221" s="200">
        <v>40</v>
      </c>
      <c r="D221" s="187">
        <f t="shared" si="12"/>
        <v>1040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75</v>
      </c>
      <c r="B222" s="189">
        <f>'Données projet'!D205</f>
        <v>12</v>
      </c>
      <c r="C222" s="200">
        <v>50</v>
      </c>
      <c r="D222" s="187">
        <f t="shared" si="12"/>
        <v>600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80</v>
      </c>
      <c r="B223" s="189">
        <f>'Données projet'!D206</f>
        <v>341</v>
      </c>
      <c r="C223" s="200">
        <v>50</v>
      </c>
      <c r="D223" s="187">
        <f t="shared" si="12"/>
        <v>17050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>Erable sycomore</v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15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20</v>
      </c>
      <c r="B241" s="189">
        <f>'Données projet'!D219</f>
        <v>43</v>
      </c>
      <c r="C241" s="200">
        <v>10</v>
      </c>
      <c r="D241" s="187">
        <f t="shared" ref="D241:D259" si="13">B241*C241</f>
        <v>430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25</v>
      </c>
      <c r="B242" s="189">
        <f>'Données projet'!D220</f>
        <v>0</v>
      </c>
      <c r="C242" s="200"/>
      <c r="D242" s="187">
        <f t="shared" si="13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30</v>
      </c>
      <c r="B243" s="189">
        <f>'Données projet'!D221</f>
        <v>56</v>
      </c>
      <c r="C243" s="200">
        <v>10</v>
      </c>
      <c r="D243" s="187">
        <f t="shared" si="13"/>
        <v>560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35</v>
      </c>
      <c r="B244" s="189">
        <f>'Données projet'!D222</f>
        <v>0</v>
      </c>
      <c r="C244" s="200"/>
      <c r="D244" s="187">
        <f t="shared" si="13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40</v>
      </c>
      <c r="B245" s="189">
        <f>'Données projet'!D223</f>
        <v>56</v>
      </c>
      <c r="C245" s="200">
        <v>20</v>
      </c>
      <c r="D245" s="187">
        <f t="shared" si="13"/>
        <v>1120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45</v>
      </c>
      <c r="B246" s="189">
        <f>'Données projet'!D224</f>
        <v>0</v>
      </c>
      <c r="C246" s="200"/>
      <c r="D246" s="187">
        <f t="shared" si="13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50</v>
      </c>
      <c r="B247" s="189">
        <f>'Données projet'!D225</f>
        <v>39</v>
      </c>
      <c r="C247" s="200">
        <v>30</v>
      </c>
      <c r="D247" s="187">
        <f t="shared" si="13"/>
        <v>1170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55</v>
      </c>
      <c r="B248" s="189">
        <f>'Données projet'!D226</f>
        <v>0</v>
      </c>
      <c r="C248" s="200"/>
      <c r="D248" s="187">
        <f t="shared" si="13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60</v>
      </c>
      <c r="B249" s="189">
        <f>'Données projet'!D227</f>
        <v>25</v>
      </c>
      <c r="C249" s="200">
        <v>30</v>
      </c>
      <c r="D249" s="187">
        <f t="shared" si="13"/>
        <v>750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65</v>
      </c>
      <c r="B250" s="189">
        <f>'Données projet'!D228</f>
        <v>0</v>
      </c>
      <c r="C250" s="200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70</v>
      </c>
      <c r="B251" s="189">
        <f>'Données projet'!D229</f>
        <v>21</v>
      </c>
      <c r="C251" s="200">
        <v>40</v>
      </c>
      <c r="D251" s="187">
        <f t="shared" si="13"/>
        <v>840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75</v>
      </c>
      <c r="B252" s="189">
        <f>'Données projet'!D230</f>
        <v>9</v>
      </c>
      <c r="C252" s="200">
        <v>50</v>
      </c>
      <c r="D252" s="187">
        <f t="shared" si="13"/>
        <v>450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80</v>
      </c>
      <c r="B253" s="189">
        <f>'Données projet'!D231</f>
        <v>276</v>
      </c>
      <c r="C253" s="200">
        <v>50</v>
      </c>
      <c r="D253" s="187">
        <f t="shared" si="13"/>
        <v>13800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>Cèdre de l'Atlas</v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30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51</v>
      </c>
      <c r="B272" s="189">
        <f>'Données projet'!D245</f>
        <v>100</v>
      </c>
      <c r="C272" s="200">
        <v>10</v>
      </c>
      <c r="D272" s="187">
        <f t="shared" ref="D272:D290" si="14">B272*C272</f>
        <v>1000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63</v>
      </c>
      <c r="B273" s="189">
        <f>'Données projet'!D246</f>
        <v>108.46153846153845</v>
      </c>
      <c r="C273" s="200">
        <v>15</v>
      </c>
      <c r="D273" s="187">
        <f t="shared" si="14"/>
        <v>1626.9230769230767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75</v>
      </c>
      <c r="B274" s="189">
        <f>'Données projet'!D247</f>
        <v>85.384615384615415</v>
      </c>
      <c r="C274" s="200">
        <v>20</v>
      </c>
      <c r="D274" s="187">
        <f t="shared" si="14"/>
        <v>1707.6923076923083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87</v>
      </c>
      <c r="B275" s="189">
        <f>'Données projet'!D248</f>
        <v>83.076923076923038</v>
      </c>
      <c r="C275" s="200">
        <v>30</v>
      </c>
      <c r="D275" s="187">
        <f t="shared" si="14"/>
        <v>2492.307692307691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99</v>
      </c>
      <c r="B276" s="189">
        <f>'Données projet'!D249</f>
        <v>198.46153846153845</v>
      </c>
      <c r="C276" s="200">
        <v>40</v>
      </c>
      <c r="D276" s="187">
        <f t="shared" si="14"/>
        <v>7938.4615384615381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109</v>
      </c>
      <c r="B277" s="189">
        <f>'Données projet'!D250</f>
        <v>256.15384615384613</v>
      </c>
      <c r="C277" s="200">
        <v>50</v>
      </c>
      <c r="D277" s="187">
        <f t="shared" si="14"/>
        <v>12807.692307692307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0</v>
      </c>
      <c r="B278" s="189">
        <f>'Données projet'!D251</f>
        <v>0</v>
      </c>
      <c r="C278" s="200">
        <v>60</v>
      </c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0</v>
      </c>
      <c r="B279" s="189">
        <f>'Données projet'!D252</f>
        <v>0</v>
      </c>
      <c r="C279" s="202"/>
      <c r="D279" s="187">
        <f t="shared" si="14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0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0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0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0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0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0</v>
      </c>
      <c r="B285" s="189">
        <f>'Données projet'!D258</f>
        <v>0</v>
      </c>
      <c r="C285" s="202"/>
      <c r="D285" s="187">
        <f t="shared" si="14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0</v>
      </c>
      <c r="B287" s="189">
        <f>'Données projet'!D260</f>
        <v>0</v>
      </c>
      <c r="C287" s="202"/>
      <c r="D287" s="187">
        <f t="shared" si="14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0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2"/>
      <c r="D290" s="187">
        <f t="shared" si="14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>Peuplier Koster</v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8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9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10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11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12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13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14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15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16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17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18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19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20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21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22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23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24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25</v>
      </c>
      <c r="B319" s="189">
        <f>'Données projet'!D287</f>
        <v>313.34400000000005</v>
      </c>
      <c r="C319" s="200">
        <v>40</v>
      </c>
      <c r="D319" s="190">
        <f t="shared" si="15"/>
        <v>12533.760000000002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2023-03-15T13:39:13Z</dcterms:modified>
</cp:coreProperties>
</file>