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D:\Projet\Start-up\Forêt\Atmosylva\Projets forestiers\PE Lelièvre\Pringy\Préparation dossier\Constitution des pièces\"/>
    </mc:Choice>
  </mc:AlternateContent>
  <xr:revisionPtr revIDLastSave="0" documentId="13_ncr:1_{4869D1DD-ADA3-4BCE-AC19-529D330FB73B}" xr6:coauthVersionLast="47" xr6:coauthVersionMax="47" xr10:uidLastSave="{00000000-0000-0000-0000-000000000000}"/>
  <bookViews>
    <workbookView xWindow="7548" yWindow="1056" windowWidth="17640" windowHeight="11052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6" l="1"/>
  <c r="I23" i="6"/>
  <c r="I24" i="6"/>
  <c r="I21" i="6"/>
  <c r="I20" i="6"/>
  <c r="C41" i="6"/>
  <c r="C42" i="6"/>
  <c r="C40" i="6"/>
  <c r="C93" i="6"/>
  <c r="C92" i="6"/>
  <c r="C91" i="6"/>
  <c r="C90" i="6"/>
  <c r="C89" i="6"/>
  <c r="C86" i="6"/>
  <c r="C85" i="6"/>
  <c r="E88" i="6"/>
  <c r="E87" i="6"/>
  <c r="C88" i="6"/>
  <c r="C87" i="6"/>
  <c r="E154" i="6"/>
  <c r="E153" i="6"/>
  <c r="E152" i="6"/>
  <c r="E151" i="6"/>
  <c r="E150" i="6"/>
  <c r="E149" i="6"/>
  <c r="E148" i="6"/>
  <c r="E147" i="6"/>
  <c r="C154" i="6"/>
  <c r="C153" i="6"/>
  <c r="C152" i="6"/>
  <c r="C151" i="6"/>
  <c r="C150" i="6"/>
  <c r="C149" i="6"/>
  <c r="C148" i="6"/>
  <c r="C147" i="6"/>
  <c r="E123" i="6"/>
  <c r="E122" i="6"/>
  <c r="E121" i="6"/>
  <c r="E120" i="6"/>
  <c r="E119" i="6"/>
  <c r="E118" i="6"/>
  <c r="E117" i="6"/>
  <c r="E116" i="6"/>
  <c r="C123" i="6"/>
  <c r="C122" i="6"/>
  <c r="C121" i="6"/>
  <c r="C120" i="6"/>
  <c r="C119" i="6"/>
  <c r="C118" i="6"/>
  <c r="C117" i="6"/>
  <c r="C116" i="6"/>
  <c r="C60" i="6"/>
  <c r="C59" i="6"/>
  <c r="C58" i="6"/>
  <c r="C57" i="6"/>
  <c r="C56" i="6"/>
  <c r="C55" i="6"/>
  <c r="C54" i="6"/>
  <c r="C23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B68" i="1" l="1"/>
  <c r="B67" i="1"/>
  <c r="B66" i="1"/>
  <c r="B65" i="1"/>
  <c r="B64" i="1"/>
  <c r="B63" i="1"/>
  <c r="B62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E86" i="6" s="1"/>
  <c r="D87" i="6"/>
  <c r="D88" i="6"/>
  <c r="D89" i="6"/>
  <c r="E89" i="6" s="1"/>
  <c r="D90" i="6"/>
  <c r="E90" i="6" s="1"/>
  <c r="D91" i="6"/>
  <c r="E91" i="6" s="1"/>
  <c r="D92" i="6"/>
  <c r="E92" i="6" s="1"/>
  <c r="D93" i="6"/>
  <c r="E93" i="6" s="1"/>
  <c r="D94" i="6"/>
  <c r="D95" i="6"/>
  <c r="D96" i="6"/>
  <c r="D97" i="6"/>
  <c r="D98" i="6"/>
  <c r="D99" i="6"/>
  <c r="D100" i="6"/>
  <c r="D101" i="6"/>
  <c r="D102" i="6"/>
  <c r="D103" i="6"/>
  <c r="D104" i="6"/>
  <c r="D85" i="6"/>
  <c r="E85" i="6" s="1"/>
  <c r="D55" i="6"/>
  <c r="E55" i="6" s="1"/>
  <c r="D56" i="6"/>
  <c r="E56" i="6" s="1"/>
  <c r="D57" i="6"/>
  <c r="E57" i="6" s="1"/>
  <c r="D58" i="6"/>
  <c r="E58" i="6" s="1"/>
  <c r="D59" i="6"/>
  <c r="E59" i="6" s="1"/>
  <c r="D60" i="6"/>
  <c r="E60" i="6" s="1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E54" i="6" s="1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E40" i="6" s="1"/>
  <c r="D41" i="6"/>
  <c r="E41" i="6" s="1"/>
  <c r="D42" i="6"/>
  <c r="E42" i="6" s="1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HG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X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FS105" i="2"/>
  <c r="EV105" i="2"/>
  <c r="EB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FS130" i="2"/>
  <c r="HI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G154" i="2" l="1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DH156" i="2" l="1"/>
  <c r="EX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D158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V164" i="2" l="1"/>
  <c r="EA164" i="2"/>
  <c r="EX164" i="2"/>
  <c r="HG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EC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HH167" i="2"/>
  <c r="FR167" i="2"/>
  <c r="EA167" i="2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W178" i="2"/>
  <c r="EB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B179" i="2" l="1"/>
  <c r="HH179" i="2"/>
  <c r="EV179" i="2"/>
  <c r="EY179" i="2" s="1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EA182" i="2"/>
  <c r="ED182" i="2" s="1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I185" i="2" l="1"/>
  <c r="EV185" i="2"/>
  <c r="EW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A186" i="2"/>
  <c r="HG186" i="2"/>
  <c r="HH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V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HI192" i="2"/>
  <c r="EV192" i="2"/>
  <c r="HH192" i="2"/>
  <c r="EB192" i="2"/>
  <c r="EW192" i="2"/>
  <c r="HG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FQ194" i="2"/>
  <c r="HG194" i="2"/>
  <c r="EB194" i="2"/>
  <c r="EA194" i="2"/>
  <c r="ED194" i="2" s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EA195" i="2"/>
  <c r="HG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EC197" i="2"/>
  <c r="A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HH199" i="2"/>
  <c r="EB199" i="2"/>
  <c r="EV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HG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DN124" i="2" a="1"/>
  <c r="DN124" i="2" s="1"/>
  <c r="CS52" i="2" a="1"/>
  <c r="CS52" i="2" s="1"/>
  <c r="CS129" i="2" a="1"/>
  <c r="CS129" i="2" s="1"/>
  <c r="DN186" i="2" a="1"/>
  <c r="DN186" i="2" s="1"/>
  <c r="DN152" i="2" a="1"/>
  <c r="DN152" i="2" s="1"/>
  <c r="DN50" i="2" a="1"/>
  <c r="DN50" i="2" s="1"/>
  <c r="DN115" i="2" a="1"/>
  <c r="DN115" i="2" s="1"/>
  <c r="DN66" i="2" a="1"/>
  <c r="DN66" i="2" s="1"/>
  <c r="CS116" i="2" a="1"/>
  <c r="CS116" i="2" s="1"/>
  <c r="EI195" i="2" a="1"/>
  <c r="EI195" i="2" s="1"/>
  <c r="CS137" i="2" a="1"/>
  <c r="CS137" i="2" s="1"/>
  <c r="DN103" i="2" a="1"/>
  <c r="DN103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43" i="2" a="1"/>
  <c r="BC14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135" i="2" a="1"/>
  <c r="DN135" i="2" s="1"/>
  <c r="DN49" i="2" a="1"/>
  <c r="DN49" i="2" s="1"/>
  <c r="DN16" i="2" a="1"/>
  <c r="DN16" i="2" s="1"/>
  <c r="DN31" i="2" a="1"/>
  <c r="DN31" i="2" s="1"/>
  <c r="DN55" i="2" a="1"/>
  <c r="DN55" i="2" s="1"/>
  <c r="DN65" i="2" a="1"/>
  <c r="DN65" i="2" s="1"/>
  <c r="DN190" i="2" a="1"/>
  <c r="DN190" i="2" s="1"/>
  <c r="DN6" i="2" a="1"/>
  <c r="DN6" i="2" s="1"/>
  <c r="DO6" i="2" s="1"/>
  <c r="DN30" i="2" a="1"/>
  <c r="DN30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0" i="2" l="1" a="1"/>
  <c r="AH90" i="2" s="1"/>
  <c r="AH62" i="2" a="1"/>
  <c r="AH62" i="2" s="1"/>
  <c r="AH199" i="2" a="1"/>
  <c r="AH199" i="2" s="1"/>
  <c r="AH92" i="2" a="1"/>
  <c r="AH92" i="2" s="1"/>
  <c r="AH163" i="2" a="1"/>
  <c r="AH163" i="2" s="1"/>
  <c r="AH19" i="2" a="1"/>
  <c r="AH19" i="2" s="1"/>
  <c r="AH151" i="2" a="1"/>
  <c r="AH151" i="2" s="1"/>
  <c r="AH166" i="2" a="1"/>
  <c r="AH166" i="2" s="1"/>
  <c r="BC164" i="2" a="1"/>
  <c r="BC164" i="2" s="1"/>
  <c r="BC181" i="2" a="1"/>
  <c r="BC181" i="2" s="1"/>
  <c r="BC83" i="2" a="1"/>
  <c r="BC83" i="2" s="1"/>
  <c r="BC82" i="2" a="1"/>
  <c r="BC82" i="2" s="1"/>
  <c r="DN132" i="2" a="1"/>
  <c r="DN132" i="2" s="1"/>
  <c r="DN176" i="2" a="1"/>
  <c r="DN176" i="2" s="1"/>
  <c r="DN70" i="2" a="1"/>
  <c r="DN70" i="2" s="1"/>
  <c r="DN167" i="2" a="1"/>
  <c r="DN167" i="2" s="1"/>
  <c r="DN164" i="2" a="1"/>
  <c r="DN164" i="2" s="1"/>
  <c r="DN63" i="2" a="1"/>
  <c r="DN63" i="2" s="1"/>
  <c r="BC151" i="2" a="1"/>
  <c r="BC151" i="2" s="1"/>
  <c r="BC31" i="2" a="1"/>
  <c r="BC31" i="2" s="1"/>
  <c r="BC192" i="2" a="1"/>
  <c r="BC192" i="2" s="1"/>
  <c r="DN188" i="2" a="1"/>
  <c r="DN188" i="2" s="1"/>
  <c r="DN153" i="2" a="1"/>
  <c r="DN153" i="2" s="1"/>
  <c r="DN113" i="2" a="1"/>
  <c r="DN113" i="2" s="1"/>
  <c r="DN29" i="2" a="1"/>
  <c r="DN29" i="2" s="1"/>
  <c r="DN137" i="2" a="1"/>
  <c r="DN137" i="2" s="1"/>
  <c r="BC65" i="2" a="1"/>
  <c r="BC65" i="2" s="1"/>
  <c r="BC47" i="2" a="1"/>
  <c r="BC47" i="2" s="1"/>
  <c r="FR203" i="2"/>
  <c r="BC18" i="2" a="1"/>
  <c r="BC18" i="2" s="1"/>
  <c r="BC7" i="2" a="1"/>
  <c r="BC7" i="2" s="1"/>
  <c r="BC84" i="2" a="1"/>
  <c r="BC84" i="2" s="1"/>
  <c r="BC55" i="2" a="1"/>
  <c r="BC55" i="2" s="1"/>
  <c r="DN150" i="2" a="1"/>
  <c r="DN150" i="2" s="1"/>
  <c r="DN86" i="2" a="1"/>
  <c r="DN86" i="2" s="1"/>
  <c r="DN170" i="2" a="1"/>
  <c r="DN170" i="2" s="1"/>
  <c r="DN25" i="2" a="1"/>
  <c r="DN25" i="2" s="1"/>
  <c r="DN41" i="2" a="1"/>
  <c r="DN41" i="2" s="1"/>
  <c r="DN155" i="2" a="1"/>
  <c r="DN155" i="2" s="1"/>
  <c r="DN56" i="2" a="1"/>
  <c r="DN56" i="2" s="1"/>
  <c r="BC114" i="2" a="1"/>
  <c r="BC114" i="2" s="1"/>
  <c r="BC68" i="2" a="1"/>
  <c r="BC68" i="2" s="1"/>
  <c r="HG203" i="2"/>
  <c r="DN46" i="2" a="1"/>
  <c r="DN46" i="2" s="1"/>
  <c r="DN133" i="2" a="1"/>
  <c r="DN133" i="2" s="1"/>
  <c r="DN110" i="2" a="1"/>
  <c r="DN110" i="2" s="1"/>
  <c r="DN162" i="2" a="1"/>
  <c r="DN162" i="2" s="1"/>
  <c r="DN38" i="2" a="1"/>
  <c r="DN38" i="2" s="1"/>
  <c r="BC38" i="2" a="1"/>
  <c r="BC38" i="2" s="1"/>
  <c r="BC185" i="2" a="1"/>
  <c r="BC185" i="2" s="1"/>
  <c r="BC32" i="2" a="1"/>
  <c r="BC32" i="2" s="1"/>
  <c r="BC130" i="2" a="1"/>
  <c r="BC130" i="2" s="1"/>
  <c r="DN114" i="2" a="1"/>
  <c r="DN114" i="2" s="1"/>
  <c r="DN123" i="2" a="1"/>
  <c r="DN123" i="2" s="1"/>
  <c r="DN192" i="2" a="1"/>
  <c r="DN192" i="2" s="1"/>
  <c r="DN177" i="2" a="1"/>
  <c r="DN177" i="2" s="1"/>
  <c r="DN129" i="2" a="1"/>
  <c r="DN129" i="2" s="1"/>
  <c r="DN184" i="2" a="1"/>
  <c r="DN184" i="2" s="1"/>
  <c r="DN43" i="2" a="1"/>
  <c r="DN43" i="2" s="1"/>
  <c r="BC117" i="2" a="1"/>
  <c r="BC117" i="2" s="1"/>
  <c r="BC126" i="2" a="1"/>
  <c r="BC126" i="2" s="1"/>
  <c r="BC58" i="2" a="1"/>
  <c r="BC58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I203" i="2" s="1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1" i="2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<sst xmlns="http://schemas.openxmlformats.org/spreadsheetml/2006/main" count="1174" uniqueCount="324">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</sst>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606.4756720002963</c:v>
                </c:pt>
                <c:pt idx="97">
                  <c:v>617.16268463508527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608.76607282046416</c:v>
                </c:pt>
                <c:pt idx="112">
                  <c:v>617.92589503011754</c:v>
                </c:pt>
                <c:pt idx="113">
                  <c:v>627.08290360699937</c:v>
                </c:pt>
                <c:pt idx="114">
                  <c:v>636.237145425721</c:v>
                </c:pt>
                <c:pt idx="115">
                  <c:v>645.38866590218879</c:v>
                </c:pt>
                <c:pt idx="116">
                  <c:v>599.60338857466706</c:v>
                </c:pt>
                <c:pt idx="117">
                  <c:v>599.60338857466706</c:v>
                </c:pt>
                <c:pt idx="118">
                  <c:v>599.60338857466706</c:v>
                </c:pt>
                <c:pt idx="119">
                  <c:v>599.60338857466706</c:v>
                </c:pt>
                <c:pt idx="120">
                  <c:v>599.60338857466706</c:v>
                </c:pt>
                <c:pt idx="121">
                  <c:v>599.60338857466706</c:v>
                </c:pt>
                <c:pt idx="122">
                  <c:v>599.60338857466706</c:v>
                </c:pt>
                <c:pt idx="123">
                  <c:v>599.60338857466706</c:v>
                </c:pt>
                <c:pt idx="124">
                  <c:v>599.60338857466706</c:v>
                </c:pt>
                <c:pt idx="125">
                  <c:v>599.60338857466706</c:v>
                </c:pt>
                <c:pt idx="126">
                  <c:v>599.60338857466706</c:v>
                </c:pt>
                <c:pt idx="127">
                  <c:v>599.60338857466706</c:v>
                </c:pt>
                <c:pt idx="128">
                  <c:v>599.60338857466706</c:v>
                </c:pt>
                <c:pt idx="129">
                  <c:v>599.60338857466706</c:v>
                </c:pt>
                <c:pt idx="130">
                  <c:v>599.60338857466706</c:v>
                </c:pt>
                <c:pt idx="131">
                  <c:v>599.60338857466706</c:v>
                </c:pt>
                <c:pt idx="132">
                  <c:v>599.60338857466706</c:v>
                </c:pt>
                <c:pt idx="133">
                  <c:v>599.60338857466706</c:v>
                </c:pt>
                <c:pt idx="134">
                  <c:v>599.60338857466706</c:v>
                </c:pt>
                <c:pt idx="135">
                  <c:v>599.60338857466706</c:v>
                </c:pt>
                <c:pt idx="136">
                  <c:v>599.60338857466706</c:v>
                </c:pt>
                <c:pt idx="137">
                  <c:v>599.60338857466706</c:v>
                </c:pt>
                <c:pt idx="138">
                  <c:v>599.60338857466706</c:v>
                </c:pt>
                <c:pt idx="139">
                  <c:v>599.60338857466706</c:v>
                </c:pt>
                <c:pt idx="140">
                  <c:v>599.60338857466706</c:v>
                </c:pt>
                <c:pt idx="141">
                  <c:v>599.60338857466706</c:v>
                </c:pt>
                <c:pt idx="142">
                  <c:v>599.60338857466706</c:v>
                </c:pt>
                <c:pt idx="143">
                  <c:v>599.60338857466706</c:v>
                </c:pt>
                <c:pt idx="144">
                  <c:v>599.60338857466706</c:v>
                </c:pt>
                <c:pt idx="145">
                  <c:v>599.60338857466706</c:v>
                </c:pt>
                <c:pt idx="146">
                  <c:v>599.60338857466706</c:v>
                </c:pt>
                <c:pt idx="147">
                  <c:v>599.60338857466706</c:v>
                </c:pt>
                <c:pt idx="148">
                  <c:v>599.60338857466706</c:v>
                </c:pt>
                <c:pt idx="149">
                  <c:v>599.60338857466706</c:v>
                </c:pt>
                <c:pt idx="150">
                  <c:v>599.60338857466706</c:v>
                </c:pt>
                <c:pt idx="151">
                  <c:v>599.60338857466706</c:v>
                </c:pt>
                <c:pt idx="152">
                  <c:v>599.60338857466706</c:v>
                </c:pt>
                <c:pt idx="153">
                  <c:v>599.60338857466706</c:v>
                </c:pt>
                <c:pt idx="154">
                  <c:v>599.60338857466706</c:v>
                </c:pt>
                <c:pt idx="155">
                  <c:v>599.60338857466706</c:v>
                </c:pt>
                <c:pt idx="156">
                  <c:v>599.60338857466706</c:v>
                </c:pt>
                <c:pt idx="157">
                  <c:v>599.60338857466706</c:v>
                </c:pt>
                <c:pt idx="158">
                  <c:v>599.60338857466706</c:v>
                </c:pt>
                <c:pt idx="159">
                  <c:v>599.60338857466706</c:v>
                </c:pt>
                <c:pt idx="160">
                  <c:v>599.60338857466706</c:v>
                </c:pt>
                <c:pt idx="161">
                  <c:v>599.60338857466706</c:v>
                </c:pt>
                <c:pt idx="162">
                  <c:v>599.60338857466706</c:v>
                </c:pt>
                <c:pt idx="163">
                  <c:v>599.60338857466706</c:v>
                </c:pt>
                <c:pt idx="164">
                  <c:v>599.60338857466706</c:v>
                </c:pt>
                <c:pt idx="165">
                  <c:v>599.60338857466706</c:v>
                </c:pt>
                <c:pt idx="166">
                  <c:v>599.60338857466706</c:v>
                </c:pt>
                <c:pt idx="167">
                  <c:v>599.60338857466706</c:v>
                </c:pt>
                <c:pt idx="168">
                  <c:v>599.60338857466706</c:v>
                </c:pt>
                <c:pt idx="169">
                  <c:v>599.60338857466706</c:v>
                </c:pt>
                <c:pt idx="170">
                  <c:v>599.60338857466706</c:v>
                </c:pt>
                <c:pt idx="171">
                  <c:v>599.60338857466706</c:v>
                </c:pt>
                <c:pt idx="172">
                  <c:v>599.60338857466706</c:v>
                </c:pt>
                <c:pt idx="173">
                  <c:v>599.60338857466706</c:v>
                </c:pt>
                <c:pt idx="174">
                  <c:v>599.60338857466706</c:v>
                </c:pt>
                <c:pt idx="175">
                  <c:v>599.60338857466706</c:v>
                </c:pt>
                <c:pt idx="176">
                  <c:v>599.60338857466706</c:v>
                </c:pt>
                <c:pt idx="177">
                  <c:v>599.60338857466706</c:v>
                </c:pt>
                <c:pt idx="178">
                  <c:v>599.60338857466706</c:v>
                </c:pt>
                <c:pt idx="179">
                  <c:v>599.60338857466706</c:v>
                </c:pt>
                <c:pt idx="180">
                  <c:v>599.60338857466706</c:v>
                </c:pt>
                <c:pt idx="181">
                  <c:v>599.60338857466706</c:v>
                </c:pt>
                <c:pt idx="182">
                  <c:v>599.60338857466706</c:v>
                </c:pt>
                <c:pt idx="183">
                  <c:v>599.60338857466706</c:v>
                </c:pt>
                <c:pt idx="184">
                  <c:v>599.60338857466706</c:v>
                </c:pt>
                <c:pt idx="185">
                  <c:v>599.60338857466706</c:v>
                </c:pt>
                <c:pt idx="186">
                  <c:v>599.60338857466706</c:v>
                </c:pt>
                <c:pt idx="187">
                  <c:v>599.60338857466706</c:v>
                </c:pt>
                <c:pt idx="188">
                  <c:v>599.60338857466706</c:v>
                </c:pt>
                <c:pt idx="189">
                  <c:v>599.60338857466706</c:v>
                </c:pt>
                <c:pt idx="190">
                  <c:v>599.60338857466706</c:v>
                </c:pt>
                <c:pt idx="191">
                  <c:v>599.60338857466706</c:v>
                </c:pt>
                <c:pt idx="192">
                  <c:v>599.60338857466706</c:v>
                </c:pt>
                <c:pt idx="193">
                  <c:v>599.60338857466706</c:v>
                </c:pt>
                <c:pt idx="194">
                  <c:v>599.60338857466706</c:v>
                </c:pt>
                <c:pt idx="195">
                  <c:v>599.60338857466706</c:v>
                </c:pt>
                <c:pt idx="196">
                  <c:v>599.60338857466706</c:v>
                </c:pt>
                <c:pt idx="197">
                  <c:v>599.60338857466706</c:v>
                </c:pt>
                <c:pt idx="198">
                  <c:v>599.60338857466706</c:v>
                </c:pt>
                <c:pt idx="199">
                  <c:v>599.60338857466706</c:v>
                </c:pt>
                <c:pt idx="200">
                  <c:v>599.60338857466706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1.9630622830539701</c:v>
                </c:pt>
                <c:pt idx="2">
                  <c:v>2.4848891035486869</c:v>
                </c:pt>
                <c:pt idx="3">
                  <c:v>3.1459816282677138</c:v>
                </c:pt>
                <c:pt idx="4">
                  <c:v>3.9836463996243183</c:v>
                </c:pt>
                <c:pt idx="5">
                  <c:v>5.0452185795179503</c:v>
                </c:pt>
                <c:pt idx="6">
                  <c:v>6.390766544367164</c:v>
                </c:pt>
                <c:pt idx="7">
                  <c:v>8.0965280529063506</c:v>
                </c:pt>
                <c:pt idx="8">
                  <c:v>10.25927641243389</c:v>
                </c:pt>
                <c:pt idx="9">
                  <c:v>13.001869022438671</c:v>
                </c:pt>
                <c:pt idx="10">
                  <c:v>16.48029933108311</c:v>
                </c:pt>
                <c:pt idx="11">
                  <c:v>20.89266061497224</c:v>
                </c:pt>
                <c:pt idx="12">
                  <c:v>26.490541199496601</c:v>
                </c:pt>
                <c:pt idx="13">
                  <c:v>33.593512288714187</c:v>
                </c:pt>
                <c:pt idx="14">
                  <c:v>42.607549766139904</c:v>
                </c:pt>
                <c:pt idx="15">
                  <c:v>54.04846072871473</c:v>
                </c:pt>
                <c:pt idx="16">
                  <c:v>68.571677588390074</c:v>
                </c:pt>
                <c:pt idx="17">
                  <c:v>87.010154471168178</c:v>
                </c:pt>
                <c:pt idx="18">
                  <c:v>110.42257421573156</c:v>
                </c:pt>
                <c:pt idx="19">
                  <c:v>90.973218596700107</c:v>
                </c:pt>
                <c:pt idx="20">
                  <c:v>130.57107272945888</c:v>
                </c:pt>
                <c:pt idx="21">
                  <c:v>169.87522941626847</c:v>
                </c:pt>
                <c:pt idx="22">
                  <c:v>208.96393830684761</c:v>
                </c:pt>
                <c:pt idx="23">
                  <c:v>247.88335510881771</c:v>
                </c:pt>
                <c:pt idx="24">
                  <c:v>218.25677877090342</c:v>
                </c:pt>
                <c:pt idx="25">
                  <c:v>254.31290079767027</c:v>
                </c:pt>
                <c:pt idx="26">
                  <c:v>290.25315809891401</c:v>
                </c:pt>
                <c:pt idx="27">
                  <c:v>326.09391257189031</c:v>
                </c:pt>
                <c:pt idx="28">
                  <c:v>361.84763005162068</c:v>
                </c:pt>
                <c:pt idx="29">
                  <c:v>397.52411019447663</c:v>
                </c:pt>
                <c:pt idx="30">
                  <c:v>342.33916655445302</c:v>
                </c:pt>
                <c:pt idx="31">
                  <c:v>385.33674299507038</c:v>
                </c:pt>
                <c:pt idx="32">
                  <c:v>428.23005116698027</c:v>
                </c:pt>
                <c:pt idx="33">
                  <c:v>471.03098758346482</c:v>
                </c:pt>
                <c:pt idx="34">
                  <c:v>513.74911104384648</c:v>
                </c:pt>
                <c:pt idx="35">
                  <c:v>556.39226228791711</c:v>
                </c:pt>
                <c:pt idx="36">
                  <c:v>598.96698350911993</c:v>
                </c:pt>
                <c:pt idx="37">
                  <c:v>535.16996772348318</c:v>
                </c:pt>
                <c:pt idx="38">
                  <c:v>577.50740883732692</c:v>
                </c:pt>
                <c:pt idx="39">
                  <c:v>619.78010790440476</c:v>
                </c:pt>
                <c:pt idx="40">
                  <c:v>661.99309211643788</c:v>
                </c:pt>
                <c:pt idx="41">
                  <c:v>704.1506963111093</c:v>
                </c:pt>
                <c:pt idx="42">
                  <c:v>746.25669487700054</c:v>
                </c:pt>
                <c:pt idx="43">
                  <c:v>788.31440236071887</c:v>
                </c:pt>
                <c:pt idx="44">
                  <c:v>830.32675150748071</c:v>
                </c:pt>
                <c:pt idx="45">
                  <c:v>758.06270327519951</c:v>
                </c:pt>
                <c:pt idx="46">
                  <c:v>796.21861210794521</c:v>
                </c:pt>
                <c:pt idx="47">
                  <c:v>834.33759597903679</c:v>
                </c:pt>
                <c:pt idx="48">
                  <c:v>872.42157551229013</c:v>
                </c:pt>
                <c:pt idx="49">
                  <c:v>910.472290322346</c:v>
                </c:pt>
                <c:pt idx="50">
                  <c:v>948.49132307030675</c:v>
                </c:pt>
                <c:pt idx="51">
                  <c:v>986.48011946825727</c:v>
                </c:pt>
                <c:pt idx="52">
                  <c:v>1024.4400050475012</c:v>
                </c:pt>
                <c:pt idx="53">
                  <c:v>1062.3721993167935</c:v>
                </c:pt>
                <c:pt idx="54">
                  <c:v>1100.2778277972154</c:v>
                </c:pt>
                <c:pt idx="55">
                  <c:v>1018.6978819683641</c:v>
                </c:pt>
                <c:pt idx="56">
                  <c:v>1055.6362152247755</c:v>
                </c:pt>
                <c:pt idx="57">
                  <c:v>1092.5491793562003</c:v>
                </c:pt>
                <c:pt idx="58">
                  <c:v>1129.4377501030224</c:v>
                </c:pt>
                <c:pt idx="59">
                  <c:v>1166.3028344186112</c:v>
                </c:pt>
                <c:pt idx="60">
                  <c:v>1203.1452773808548</c:v>
                </c:pt>
                <c:pt idx="61">
                  <c:v>1239.9658682149163</c:v>
                </c:pt>
                <c:pt idx="62">
                  <c:v>1276.765345564984</c:v>
                </c:pt>
                <c:pt idx="63">
                  <c:v>1313.5444021280155</c:v>
                </c:pt>
                <c:pt idx="64">
                  <c:v>1350.3036887427008</c:v>
                </c:pt>
                <c:pt idx="65">
                  <c:v>1234.7426268964139</c:v>
                </c:pt>
                <c:pt idx="66">
                  <c:v>1234.7426268964139</c:v>
                </c:pt>
                <c:pt idx="67">
                  <c:v>1234.7426268964139</c:v>
                </c:pt>
                <c:pt idx="68">
                  <c:v>1234.7426268964139</c:v>
                </c:pt>
                <c:pt idx="69">
                  <c:v>1234.7426268964139</c:v>
                </c:pt>
                <c:pt idx="70">
                  <c:v>1234.7426268964139</c:v>
                </c:pt>
                <c:pt idx="71">
                  <c:v>1234.7426268964139</c:v>
                </c:pt>
                <c:pt idx="72">
                  <c:v>1234.7426268964139</c:v>
                </c:pt>
                <c:pt idx="73">
                  <c:v>1234.7426268964139</c:v>
                </c:pt>
                <c:pt idx="74">
                  <c:v>1234.7426268964139</c:v>
                </c:pt>
                <c:pt idx="75">
                  <c:v>1234.7426268964139</c:v>
                </c:pt>
                <c:pt idx="76">
                  <c:v>1234.7426268964139</c:v>
                </c:pt>
                <c:pt idx="77">
                  <c:v>1234.7426268964139</c:v>
                </c:pt>
                <c:pt idx="78">
                  <c:v>1234.7426268964139</c:v>
                </c:pt>
                <c:pt idx="79">
                  <c:v>1234.7426268964139</c:v>
                </c:pt>
                <c:pt idx="80">
                  <c:v>1234.7426268964139</c:v>
                </c:pt>
                <c:pt idx="81">
                  <c:v>1234.7426268964139</c:v>
                </c:pt>
                <c:pt idx="82">
                  <c:v>1234.7426268964139</c:v>
                </c:pt>
                <c:pt idx="83">
                  <c:v>1234.7426268964139</c:v>
                </c:pt>
                <c:pt idx="84">
                  <c:v>1234.7426268964139</c:v>
                </c:pt>
                <c:pt idx="85">
                  <c:v>1234.7426268964139</c:v>
                </c:pt>
                <c:pt idx="86">
                  <c:v>1234.7426268964139</c:v>
                </c:pt>
                <c:pt idx="87">
                  <c:v>1234.7426268964139</c:v>
                </c:pt>
                <c:pt idx="88">
                  <c:v>1234.7426268964139</c:v>
                </c:pt>
                <c:pt idx="89">
                  <c:v>1234.7426268964139</c:v>
                </c:pt>
                <c:pt idx="90">
                  <c:v>1234.7426268964139</c:v>
                </c:pt>
                <c:pt idx="91">
                  <c:v>1234.7426268964139</c:v>
                </c:pt>
                <c:pt idx="92">
                  <c:v>1234.7426268964139</c:v>
                </c:pt>
                <c:pt idx="93">
                  <c:v>1234.7426268964139</c:v>
                </c:pt>
                <c:pt idx="94">
                  <c:v>1234.7426268964139</c:v>
                </c:pt>
                <c:pt idx="95">
                  <c:v>1234.7426268964139</c:v>
                </c:pt>
                <c:pt idx="96">
                  <c:v>1234.7426268964139</c:v>
                </c:pt>
                <c:pt idx="97">
                  <c:v>1234.7426268964139</c:v>
                </c:pt>
                <c:pt idx="98">
                  <c:v>1234.7426268964139</c:v>
                </c:pt>
                <c:pt idx="99">
                  <c:v>1234.7426268964139</c:v>
                </c:pt>
                <c:pt idx="100">
                  <c:v>1234.7426268964139</c:v>
                </c:pt>
                <c:pt idx="101">
                  <c:v>1234.7426268964139</c:v>
                </c:pt>
                <c:pt idx="102">
                  <c:v>1234.7426268964139</c:v>
                </c:pt>
                <c:pt idx="103">
                  <c:v>1234.7426268964139</c:v>
                </c:pt>
                <c:pt idx="104">
                  <c:v>1234.7426268964139</c:v>
                </c:pt>
                <c:pt idx="105">
                  <c:v>1234.7426268964139</c:v>
                </c:pt>
                <c:pt idx="106">
                  <c:v>1234.7426268964139</c:v>
                </c:pt>
                <c:pt idx="107">
                  <c:v>1234.7426268964139</c:v>
                </c:pt>
                <c:pt idx="108">
                  <c:v>1234.7426268964139</c:v>
                </c:pt>
                <c:pt idx="109">
                  <c:v>1234.7426268964139</c:v>
                </c:pt>
                <c:pt idx="110">
                  <c:v>1234.7426268964139</c:v>
                </c:pt>
                <c:pt idx="111">
                  <c:v>1234.7426268964139</c:v>
                </c:pt>
                <c:pt idx="112">
                  <c:v>1234.7426268964139</c:v>
                </c:pt>
                <c:pt idx="113">
                  <c:v>1234.7426268964139</c:v>
                </c:pt>
                <c:pt idx="114">
                  <c:v>1234.7426268964139</c:v>
                </c:pt>
                <c:pt idx="115">
                  <c:v>1234.7426268964139</c:v>
                </c:pt>
                <c:pt idx="116">
                  <c:v>1234.7426268964139</c:v>
                </c:pt>
                <c:pt idx="117">
                  <c:v>1234.7426268964139</c:v>
                </c:pt>
                <c:pt idx="118">
                  <c:v>1234.7426268964139</c:v>
                </c:pt>
                <c:pt idx="119">
                  <c:v>1234.7426268964139</c:v>
                </c:pt>
                <c:pt idx="120">
                  <c:v>1234.7426268964139</c:v>
                </c:pt>
                <c:pt idx="121">
                  <c:v>1234.7426268964139</c:v>
                </c:pt>
                <c:pt idx="122">
                  <c:v>1234.7426268964139</c:v>
                </c:pt>
                <c:pt idx="123">
                  <c:v>1234.7426268964139</c:v>
                </c:pt>
                <c:pt idx="124">
                  <c:v>1234.7426268964139</c:v>
                </c:pt>
                <c:pt idx="125">
                  <c:v>1234.7426268964139</c:v>
                </c:pt>
                <c:pt idx="126">
                  <c:v>1234.7426268964139</c:v>
                </c:pt>
                <c:pt idx="127">
                  <c:v>1234.7426268964139</c:v>
                </c:pt>
                <c:pt idx="128">
                  <c:v>1234.7426268964139</c:v>
                </c:pt>
                <c:pt idx="129">
                  <c:v>1234.7426268964139</c:v>
                </c:pt>
                <c:pt idx="130">
                  <c:v>1234.7426268964139</c:v>
                </c:pt>
                <c:pt idx="131">
                  <c:v>1234.7426268964139</c:v>
                </c:pt>
                <c:pt idx="132">
                  <c:v>1234.7426268964139</c:v>
                </c:pt>
                <c:pt idx="133">
                  <c:v>1234.7426268964139</c:v>
                </c:pt>
                <c:pt idx="134">
                  <c:v>1234.7426268964139</c:v>
                </c:pt>
                <c:pt idx="135">
                  <c:v>1234.7426268964139</c:v>
                </c:pt>
                <c:pt idx="136">
                  <c:v>1234.7426268964139</c:v>
                </c:pt>
                <c:pt idx="137">
                  <c:v>1234.7426268964139</c:v>
                </c:pt>
                <c:pt idx="138">
                  <c:v>1234.7426268964139</c:v>
                </c:pt>
                <c:pt idx="139">
                  <c:v>1234.7426268964139</c:v>
                </c:pt>
                <c:pt idx="140">
                  <c:v>1234.7426268964139</c:v>
                </c:pt>
                <c:pt idx="141">
                  <c:v>1234.7426268964139</c:v>
                </c:pt>
                <c:pt idx="142">
                  <c:v>1234.7426268964139</c:v>
                </c:pt>
                <c:pt idx="143">
                  <c:v>1234.7426268964139</c:v>
                </c:pt>
                <c:pt idx="144">
                  <c:v>1234.7426268964139</c:v>
                </c:pt>
                <c:pt idx="145">
                  <c:v>1234.7426268964139</c:v>
                </c:pt>
                <c:pt idx="146">
                  <c:v>1234.7426268964139</c:v>
                </c:pt>
                <c:pt idx="147">
                  <c:v>1234.7426268964139</c:v>
                </c:pt>
                <c:pt idx="148">
                  <c:v>1234.7426268964139</c:v>
                </c:pt>
                <c:pt idx="149">
                  <c:v>1234.7426268964139</c:v>
                </c:pt>
                <c:pt idx="150">
                  <c:v>1234.7426268964139</c:v>
                </c:pt>
                <c:pt idx="151">
                  <c:v>1234.7426268964139</c:v>
                </c:pt>
                <c:pt idx="152">
                  <c:v>1234.7426268964139</c:v>
                </c:pt>
                <c:pt idx="153">
                  <c:v>1234.7426268964139</c:v>
                </c:pt>
                <c:pt idx="154">
                  <c:v>1234.7426268964139</c:v>
                </c:pt>
                <c:pt idx="155">
                  <c:v>1234.7426268964139</c:v>
                </c:pt>
                <c:pt idx="156">
                  <c:v>1234.7426268964139</c:v>
                </c:pt>
                <c:pt idx="157">
                  <c:v>1234.7426268964139</c:v>
                </c:pt>
                <c:pt idx="158">
                  <c:v>1234.7426268964139</c:v>
                </c:pt>
                <c:pt idx="159">
                  <c:v>1234.7426268964139</c:v>
                </c:pt>
                <c:pt idx="160">
                  <c:v>1234.7426268964139</c:v>
                </c:pt>
                <c:pt idx="161">
                  <c:v>1234.7426268964139</c:v>
                </c:pt>
                <c:pt idx="162">
                  <c:v>1234.7426268964139</c:v>
                </c:pt>
                <c:pt idx="163">
                  <c:v>1234.7426268964139</c:v>
                </c:pt>
                <c:pt idx="164">
                  <c:v>1234.7426268964139</c:v>
                </c:pt>
                <c:pt idx="165">
                  <c:v>1234.7426268964139</c:v>
                </c:pt>
                <c:pt idx="166">
                  <c:v>1234.7426268964139</c:v>
                </c:pt>
                <c:pt idx="167">
                  <c:v>1234.7426268964139</c:v>
                </c:pt>
                <c:pt idx="168">
                  <c:v>1234.7426268964139</c:v>
                </c:pt>
                <c:pt idx="169">
                  <c:v>1234.7426268964139</c:v>
                </c:pt>
                <c:pt idx="170">
                  <c:v>1234.7426268964139</c:v>
                </c:pt>
                <c:pt idx="171">
                  <c:v>1234.7426268964139</c:v>
                </c:pt>
                <c:pt idx="172">
                  <c:v>1234.7426268964139</c:v>
                </c:pt>
                <c:pt idx="173">
                  <c:v>1234.7426268964139</c:v>
                </c:pt>
                <c:pt idx="174">
                  <c:v>1234.7426268964139</c:v>
                </c:pt>
                <c:pt idx="175">
                  <c:v>1234.7426268964139</c:v>
                </c:pt>
                <c:pt idx="176">
                  <c:v>1234.7426268964139</c:v>
                </c:pt>
                <c:pt idx="177">
                  <c:v>1234.7426268964139</c:v>
                </c:pt>
                <c:pt idx="178">
                  <c:v>1234.7426268964139</c:v>
                </c:pt>
                <c:pt idx="179">
                  <c:v>1234.7426268964139</c:v>
                </c:pt>
                <c:pt idx="180">
                  <c:v>1234.7426268964139</c:v>
                </c:pt>
                <c:pt idx="181">
                  <c:v>1234.7426268964139</c:v>
                </c:pt>
                <c:pt idx="182">
                  <c:v>1234.7426268964139</c:v>
                </c:pt>
                <c:pt idx="183">
                  <c:v>1234.7426268964139</c:v>
                </c:pt>
                <c:pt idx="184">
                  <c:v>1234.7426268964139</c:v>
                </c:pt>
                <c:pt idx="185">
                  <c:v>1234.7426268964139</c:v>
                </c:pt>
                <c:pt idx="186">
                  <c:v>1234.7426268964139</c:v>
                </c:pt>
                <c:pt idx="187">
                  <c:v>1234.7426268964139</c:v>
                </c:pt>
                <c:pt idx="188">
                  <c:v>1234.7426268964139</c:v>
                </c:pt>
                <c:pt idx="189">
                  <c:v>1234.7426268964139</c:v>
                </c:pt>
                <c:pt idx="190">
                  <c:v>1234.7426268964139</c:v>
                </c:pt>
                <c:pt idx="191">
                  <c:v>1234.7426268964139</c:v>
                </c:pt>
                <c:pt idx="192">
                  <c:v>1234.7426268964139</c:v>
                </c:pt>
                <c:pt idx="193">
                  <c:v>1234.7426268964139</c:v>
                </c:pt>
                <c:pt idx="194">
                  <c:v>1234.7426268964139</c:v>
                </c:pt>
                <c:pt idx="195">
                  <c:v>1234.7426268964139</c:v>
                </c:pt>
                <c:pt idx="196">
                  <c:v>1234.7426268964139</c:v>
                </c:pt>
                <c:pt idx="197">
                  <c:v>1234.7426268964139</c:v>
                </c:pt>
                <c:pt idx="198">
                  <c:v>1234.7426268964139</c:v>
                </c:pt>
                <c:pt idx="199">
                  <c:v>1234.7426268964139</c:v>
                </c:pt>
                <c:pt idx="200">
                  <c:v>1234.7426268964139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2.5190532665630827</c:v>
                </c:pt>
                <c:pt idx="2">
                  <c:v>3.1687081667398167</c:v>
                </c:pt>
                <c:pt idx="3">
                  <c:v>3.9865614601985349</c:v>
                </c:pt>
                <c:pt idx="4">
                  <c:v>5.0163202361113051</c:v>
                </c:pt>
                <c:pt idx="5">
                  <c:v>6.3130879223073455</c:v>
                </c:pt>
                <c:pt idx="6">
                  <c:v>7.9463452208055463</c:v>
                </c:pt>
                <c:pt idx="7">
                  <c:v>10.003713038446195</c:v>
                </c:pt>
                <c:pt idx="8">
                  <c:v>12.59570310211417</c:v>
                </c:pt>
                <c:pt idx="9">
                  <c:v>15.86171618218548</c:v>
                </c:pt>
                <c:pt idx="10">
                  <c:v>19.977616413303661</c:v>
                </c:pt>
                <c:pt idx="11">
                  <c:v>25.165296892949996</c:v>
                </c:pt>
                <c:pt idx="12">
                  <c:v>31.704761356540562</c:v>
                </c:pt>
                <c:pt idx="13">
                  <c:v>39.949385347859533</c:v>
                </c:pt>
                <c:pt idx="14">
                  <c:v>50.34519561281224</c:v>
                </c:pt>
                <c:pt idx="15">
                  <c:v>63.455228171043764</c:v>
                </c:pt>
                <c:pt idx="16">
                  <c:v>79.990305975915703</c:v>
                </c:pt>
                <c:pt idx="17">
                  <c:v>100.84793184155241</c:v>
                </c:pt>
                <c:pt idx="18">
                  <c:v>127.16144112014972</c:v>
                </c:pt>
                <c:pt idx="19">
                  <c:v>160.36212642057541</c:v>
                </c:pt>
                <c:pt idx="20">
                  <c:v>202.25776507632233</c:v>
                </c:pt>
                <c:pt idx="21">
                  <c:v>173.55265168473866</c:v>
                </c:pt>
                <c:pt idx="22">
                  <c:v>190.45035477579151</c:v>
                </c:pt>
                <c:pt idx="23">
                  <c:v>207.31313753029789</c:v>
                </c:pt>
                <c:pt idx="24">
                  <c:v>224.14424082064872</c:v>
                </c:pt>
                <c:pt idx="25">
                  <c:v>240.94637860003544</c:v>
                </c:pt>
                <c:pt idx="26">
                  <c:v>232.21273151004846</c:v>
                </c:pt>
                <c:pt idx="27">
                  <c:v>250.34379664975143</c:v>
                </c:pt>
                <c:pt idx="28">
                  <c:v>268.44509403501723</c:v>
                </c:pt>
                <c:pt idx="29">
                  <c:v>286.51891307475512</c:v>
                </c:pt>
                <c:pt idx="30">
                  <c:v>304.56723069319679</c:v>
                </c:pt>
                <c:pt idx="31">
                  <c:v>285.51549805235203</c:v>
                </c:pt>
                <c:pt idx="32">
                  <c:v>304.90122958502059</c:v>
                </c:pt>
                <c:pt idx="33">
                  <c:v>324.25956140199474</c:v>
                </c:pt>
                <c:pt idx="34">
                  <c:v>343.59235877087173</c:v>
                </c:pt>
                <c:pt idx="35">
                  <c:v>362.90125995557429</c:v>
                </c:pt>
                <c:pt idx="36">
                  <c:v>333.59571809025681</c:v>
                </c:pt>
                <c:pt idx="37">
                  <c:v>352.58386588275107</c:v>
                </c:pt>
                <c:pt idx="38">
                  <c:v>371.54960739396319</c:v>
                </c:pt>
                <c:pt idx="39">
                  <c:v>390.49424676672493</c:v>
                </c:pt>
                <c:pt idx="40">
                  <c:v>409.41895132244662</c:v>
                </c:pt>
                <c:pt idx="41">
                  <c:v>374.20974903573415</c:v>
                </c:pt>
                <c:pt idx="42">
                  <c:v>392.15509020880739</c:v>
                </c:pt>
                <c:pt idx="43">
                  <c:v>410.0826272965067</c:v>
                </c:pt>
                <c:pt idx="44">
                  <c:v>427.99324784652998</c:v>
                </c:pt>
                <c:pt idx="45">
                  <c:v>445.88775909204782</c:v>
                </c:pt>
                <c:pt idx="46">
                  <c:v>404.7725663863921</c:v>
                </c:pt>
                <c:pt idx="47">
                  <c:v>423.35133170920341</c:v>
                </c:pt>
                <c:pt idx="48">
                  <c:v>441.9125544305254</c:v>
                </c:pt>
                <c:pt idx="49">
                  <c:v>460.45707467656558</c:v>
                </c:pt>
                <c:pt idx="50">
                  <c:v>478.98565941806777</c:v>
                </c:pt>
                <c:pt idx="51">
                  <c:v>437.27384609850304</c:v>
                </c:pt>
                <c:pt idx="52">
                  <c:v>453.50478673498765</c:v>
                </c:pt>
                <c:pt idx="53">
                  <c:v>469.72331365057767</c:v>
                </c:pt>
                <c:pt idx="54">
                  <c:v>485.92991564672792</c:v>
                </c:pt>
                <c:pt idx="55">
                  <c:v>502.1250462743144</c:v>
                </c:pt>
                <c:pt idx="56">
                  <c:v>460.12606445231495</c:v>
                </c:pt>
                <c:pt idx="57">
                  <c:v>476.00889611215524</c:v>
                </c:pt>
                <c:pt idx="58">
                  <c:v>491.88045730137583</c:v>
                </c:pt>
                <c:pt idx="59">
                  <c:v>507.74116274934249</c:v>
                </c:pt>
                <c:pt idx="60">
                  <c:v>523.59139917298648</c:v>
                </c:pt>
                <c:pt idx="61">
                  <c:v>462.44302949249618</c:v>
                </c:pt>
                <c:pt idx="62">
                  <c:v>462.44302949249618</c:v>
                </c:pt>
                <c:pt idx="63">
                  <c:v>462.44302949249618</c:v>
                </c:pt>
                <c:pt idx="64">
                  <c:v>462.44302949249618</c:v>
                </c:pt>
                <c:pt idx="65">
                  <c:v>462.44302949249618</c:v>
                </c:pt>
                <c:pt idx="66">
                  <c:v>462.44302949249618</c:v>
                </c:pt>
                <c:pt idx="67">
                  <c:v>462.44302949249618</c:v>
                </c:pt>
                <c:pt idx="68">
                  <c:v>462.44302949249618</c:v>
                </c:pt>
                <c:pt idx="69">
                  <c:v>462.44302949249618</c:v>
                </c:pt>
                <c:pt idx="70">
                  <c:v>462.44302949249618</c:v>
                </c:pt>
                <c:pt idx="71">
                  <c:v>462.44302949249618</c:v>
                </c:pt>
                <c:pt idx="72">
                  <c:v>462.44302949249618</c:v>
                </c:pt>
                <c:pt idx="73">
                  <c:v>462.44302949249618</c:v>
                </c:pt>
                <c:pt idx="74">
                  <c:v>462.44302949249618</c:v>
                </c:pt>
                <c:pt idx="75">
                  <c:v>462.44302949249618</c:v>
                </c:pt>
                <c:pt idx="76">
                  <c:v>462.44302949249618</c:v>
                </c:pt>
                <c:pt idx="77">
                  <c:v>462.44302949249618</c:v>
                </c:pt>
                <c:pt idx="78">
                  <c:v>462.44302949249618</c:v>
                </c:pt>
                <c:pt idx="79">
                  <c:v>462.44302949249618</c:v>
                </c:pt>
                <c:pt idx="80">
                  <c:v>462.44302949249618</c:v>
                </c:pt>
                <c:pt idx="81">
                  <c:v>462.44302949249618</c:v>
                </c:pt>
                <c:pt idx="82">
                  <c:v>462.44302949249618</c:v>
                </c:pt>
                <c:pt idx="83">
                  <c:v>462.44302949249618</c:v>
                </c:pt>
                <c:pt idx="84">
                  <c:v>462.44302949249618</c:v>
                </c:pt>
                <c:pt idx="85">
                  <c:v>462.44302949249618</c:v>
                </c:pt>
                <c:pt idx="86">
                  <c:v>462.44302949249618</c:v>
                </c:pt>
                <c:pt idx="87">
                  <c:v>462.44302949249618</c:v>
                </c:pt>
                <c:pt idx="88">
                  <c:v>462.44302949249618</c:v>
                </c:pt>
                <c:pt idx="89">
                  <c:v>462.44302949249618</c:v>
                </c:pt>
                <c:pt idx="90">
                  <c:v>462.44302949249618</c:v>
                </c:pt>
                <c:pt idx="91">
                  <c:v>462.44302949249618</c:v>
                </c:pt>
                <c:pt idx="92">
                  <c:v>462.44302949249618</c:v>
                </c:pt>
                <c:pt idx="93">
                  <c:v>462.44302949249618</c:v>
                </c:pt>
                <c:pt idx="94">
                  <c:v>462.44302949249618</c:v>
                </c:pt>
                <c:pt idx="95">
                  <c:v>462.44302949249618</c:v>
                </c:pt>
                <c:pt idx="96">
                  <c:v>462.44302949249618</c:v>
                </c:pt>
                <c:pt idx="97">
                  <c:v>462.44302949249618</c:v>
                </c:pt>
                <c:pt idx="98">
                  <c:v>462.44302949249618</c:v>
                </c:pt>
                <c:pt idx="99">
                  <c:v>462.44302949249618</c:v>
                </c:pt>
                <c:pt idx="100">
                  <c:v>462.44302949249618</c:v>
                </c:pt>
                <c:pt idx="101">
                  <c:v>462.44302949249618</c:v>
                </c:pt>
                <c:pt idx="102">
                  <c:v>462.44302949249618</c:v>
                </c:pt>
                <c:pt idx="103">
                  <c:v>462.44302949249618</c:v>
                </c:pt>
                <c:pt idx="104">
                  <c:v>462.44302949249618</c:v>
                </c:pt>
                <c:pt idx="105">
                  <c:v>462.44302949249618</c:v>
                </c:pt>
                <c:pt idx="106">
                  <c:v>462.44302949249618</c:v>
                </c:pt>
                <c:pt idx="107">
                  <c:v>462.44302949249618</c:v>
                </c:pt>
                <c:pt idx="108">
                  <c:v>462.44302949249618</c:v>
                </c:pt>
                <c:pt idx="109">
                  <c:v>462.44302949249618</c:v>
                </c:pt>
                <c:pt idx="110">
                  <c:v>462.44302949249618</c:v>
                </c:pt>
                <c:pt idx="111">
                  <c:v>462.44302949249618</c:v>
                </c:pt>
                <c:pt idx="112">
                  <c:v>462.44302949249618</c:v>
                </c:pt>
                <c:pt idx="113">
                  <c:v>462.44302949249618</c:v>
                </c:pt>
                <c:pt idx="114">
                  <c:v>462.44302949249618</c:v>
                </c:pt>
                <c:pt idx="115">
                  <c:v>462.44302949249618</c:v>
                </c:pt>
                <c:pt idx="116">
                  <c:v>462.44302949249618</c:v>
                </c:pt>
                <c:pt idx="117">
                  <c:v>462.44302949249618</c:v>
                </c:pt>
                <c:pt idx="118">
                  <c:v>462.44302949249618</c:v>
                </c:pt>
                <c:pt idx="119">
                  <c:v>462.44302949249618</c:v>
                </c:pt>
                <c:pt idx="120">
                  <c:v>462.44302949249618</c:v>
                </c:pt>
                <c:pt idx="121">
                  <c:v>462.44302949249618</c:v>
                </c:pt>
                <c:pt idx="122">
                  <c:v>462.44302949249618</c:v>
                </c:pt>
                <c:pt idx="123">
                  <c:v>462.44302949249618</c:v>
                </c:pt>
                <c:pt idx="124">
                  <c:v>462.44302949249618</c:v>
                </c:pt>
                <c:pt idx="125">
                  <c:v>462.44302949249618</c:v>
                </c:pt>
                <c:pt idx="126">
                  <c:v>462.44302949249618</c:v>
                </c:pt>
                <c:pt idx="127">
                  <c:v>462.44302949249618</c:v>
                </c:pt>
                <c:pt idx="128">
                  <c:v>462.44302949249618</c:v>
                </c:pt>
                <c:pt idx="129">
                  <c:v>462.44302949249618</c:v>
                </c:pt>
                <c:pt idx="130">
                  <c:v>462.44302949249618</c:v>
                </c:pt>
                <c:pt idx="131">
                  <c:v>462.44302949249618</c:v>
                </c:pt>
                <c:pt idx="132">
                  <c:v>462.44302949249618</c:v>
                </c:pt>
                <c:pt idx="133">
                  <c:v>462.44302949249618</c:v>
                </c:pt>
                <c:pt idx="134">
                  <c:v>462.44302949249618</c:v>
                </c:pt>
                <c:pt idx="135">
                  <c:v>462.44302949249618</c:v>
                </c:pt>
                <c:pt idx="136">
                  <c:v>462.44302949249618</c:v>
                </c:pt>
                <c:pt idx="137">
                  <c:v>462.44302949249618</c:v>
                </c:pt>
                <c:pt idx="138">
                  <c:v>462.44302949249618</c:v>
                </c:pt>
                <c:pt idx="139">
                  <c:v>462.44302949249618</c:v>
                </c:pt>
                <c:pt idx="140">
                  <c:v>462.44302949249618</c:v>
                </c:pt>
                <c:pt idx="141">
                  <c:v>462.44302949249618</c:v>
                </c:pt>
                <c:pt idx="142">
                  <c:v>462.44302949249618</c:v>
                </c:pt>
                <c:pt idx="143">
                  <c:v>462.44302949249618</c:v>
                </c:pt>
                <c:pt idx="144">
                  <c:v>462.44302949249618</c:v>
                </c:pt>
                <c:pt idx="145">
                  <c:v>462.44302949249618</c:v>
                </c:pt>
                <c:pt idx="146">
                  <c:v>462.44302949249618</c:v>
                </c:pt>
                <c:pt idx="147">
                  <c:v>462.44302949249618</c:v>
                </c:pt>
                <c:pt idx="148">
                  <c:v>462.44302949249618</c:v>
                </c:pt>
                <c:pt idx="149">
                  <c:v>462.44302949249618</c:v>
                </c:pt>
                <c:pt idx="150">
                  <c:v>462.44302949249618</c:v>
                </c:pt>
                <c:pt idx="151">
                  <c:v>462.44302949249618</c:v>
                </c:pt>
                <c:pt idx="152">
                  <c:v>462.44302949249618</c:v>
                </c:pt>
                <c:pt idx="153">
                  <c:v>462.44302949249618</c:v>
                </c:pt>
                <c:pt idx="154">
                  <c:v>462.44302949249618</c:v>
                </c:pt>
                <c:pt idx="155">
                  <c:v>462.44302949249618</c:v>
                </c:pt>
                <c:pt idx="156">
                  <c:v>462.44302949249618</c:v>
                </c:pt>
                <c:pt idx="157">
                  <c:v>462.44302949249618</c:v>
                </c:pt>
                <c:pt idx="158">
                  <c:v>462.44302949249618</c:v>
                </c:pt>
                <c:pt idx="159">
                  <c:v>462.44302949249618</c:v>
                </c:pt>
                <c:pt idx="160">
                  <c:v>462.44302949249618</c:v>
                </c:pt>
                <c:pt idx="161">
                  <c:v>462.44302949249618</c:v>
                </c:pt>
                <c:pt idx="162">
                  <c:v>462.44302949249618</c:v>
                </c:pt>
                <c:pt idx="163">
                  <c:v>462.44302949249618</c:v>
                </c:pt>
                <c:pt idx="164">
                  <c:v>462.44302949249618</c:v>
                </c:pt>
                <c:pt idx="165">
                  <c:v>462.44302949249618</c:v>
                </c:pt>
                <c:pt idx="166">
                  <c:v>462.44302949249618</c:v>
                </c:pt>
                <c:pt idx="167">
                  <c:v>462.44302949249618</c:v>
                </c:pt>
                <c:pt idx="168">
                  <c:v>462.44302949249618</c:v>
                </c:pt>
                <c:pt idx="169">
                  <c:v>462.44302949249618</c:v>
                </c:pt>
                <c:pt idx="170">
                  <c:v>462.44302949249618</c:v>
                </c:pt>
                <c:pt idx="171">
                  <c:v>462.44302949249618</c:v>
                </c:pt>
                <c:pt idx="172">
                  <c:v>462.44302949249618</c:v>
                </c:pt>
                <c:pt idx="173">
                  <c:v>462.44302949249618</c:v>
                </c:pt>
                <c:pt idx="174">
                  <c:v>462.44302949249618</c:v>
                </c:pt>
                <c:pt idx="175">
                  <c:v>462.44302949249618</c:v>
                </c:pt>
                <c:pt idx="176">
                  <c:v>462.44302949249618</c:v>
                </c:pt>
                <c:pt idx="177">
                  <c:v>462.44302949249618</c:v>
                </c:pt>
                <c:pt idx="178">
                  <c:v>462.44302949249618</c:v>
                </c:pt>
                <c:pt idx="179">
                  <c:v>462.44302949249618</c:v>
                </c:pt>
                <c:pt idx="180">
                  <c:v>462.44302949249618</c:v>
                </c:pt>
                <c:pt idx="181">
                  <c:v>462.44302949249618</c:v>
                </c:pt>
                <c:pt idx="182">
                  <c:v>462.44302949249618</c:v>
                </c:pt>
                <c:pt idx="183">
                  <c:v>462.44302949249618</c:v>
                </c:pt>
                <c:pt idx="184">
                  <c:v>462.44302949249618</c:v>
                </c:pt>
                <c:pt idx="185">
                  <c:v>462.44302949249618</c:v>
                </c:pt>
                <c:pt idx="186">
                  <c:v>462.44302949249618</c:v>
                </c:pt>
                <c:pt idx="187">
                  <c:v>462.44302949249618</c:v>
                </c:pt>
                <c:pt idx="188">
                  <c:v>462.44302949249618</c:v>
                </c:pt>
                <c:pt idx="189">
                  <c:v>462.44302949249618</c:v>
                </c:pt>
                <c:pt idx="190">
                  <c:v>462.44302949249618</c:v>
                </c:pt>
                <c:pt idx="191">
                  <c:v>462.44302949249618</c:v>
                </c:pt>
                <c:pt idx="192">
                  <c:v>462.44302949249618</c:v>
                </c:pt>
                <c:pt idx="193">
                  <c:v>462.44302949249618</c:v>
                </c:pt>
                <c:pt idx="194">
                  <c:v>462.44302949249618</c:v>
                </c:pt>
                <c:pt idx="195">
                  <c:v>462.44302949249618</c:v>
                </c:pt>
                <c:pt idx="196">
                  <c:v>462.44302949249618</c:v>
                </c:pt>
                <c:pt idx="197">
                  <c:v>462.44302949249618</c:v>
                </c:pt>
                <c:pt idx="198">
                  <c:v>462.44302949249618</c:v>
                </c:pt>
                <c:pt idx="199">
                  <c:v>462.44302949249618</c:v>
                </c:pt>
                <c:pt idx="200">
                  <c:v>462.44302949249618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3.2472881142086405</c:v>
                </c:pt>
                <c:pt idx="2">
                  <c:v>3.8610978598128267</c:v>
                </c:pt>
                <c:pt idx="3">
                  <c:v>4.5913561343754496</c:v>
                </c:pt>
                <c:pt idx="4">
                  <c:v>5.460230890369286</c:v>
                </c:pt>
                <c:pt idx="5">
                  <c:v>6.4941236702446394</c:v>
                </c:pt>
                <c:pt idx="6">
                  <c:v>7.7244805344511152</c:v>
                </c:pt>
                <c:pt idx="7">
                  <c:v>9.1887587455636961</c:v>
                </c:pt>
                <c:pt idx="8">
                  <c:v>10.931579199998538</c:v>
                </c:pt>
                <c:pt idx="9">
                  <c:v>13.006100387025654</c:v>
                </c:pt>
                <c:pt idx="10">
                  <c:v>15.47565656243192</c:v>
                </c:pt>
                <c:pt idx="11">
                  <c:v>18.415711068160174</c:v>
                </c:pt>
                <c:pt idx="12">
                  <c:v>21.916185568546734</c:v>
                </c:pt>
                <c:pt idx="13">
                  <c:v>26.08423771768064</c:v>
                </c:pt>
                <c:pt idx="14">
                  <c:v>31.047573790250965</c:v>
                </c:pt>
                <c:pt idx="15">
                  <c:v>36.958399541106871</c:v>
                </c:pt>
                <c:pt idx="16">
                  <c:v>43.998132533393459</c:v>
                </c:pt>
                <c:pt idx="17">
                  <c:v>52.383023020670116</c:v>
                </c:pt>
                <c:pt idx="18">
                  <c:v>62.370858936272889</c:v>
                </c:pt>
                <c:pt idx="19">
                  <c:v>74.268964530832605</c:v>
                </c:pt>
                <c:pt idx="20">
                  <c:v>88.443742778310593</c:v>
                </c:pt>
                <c:pt idx="21">
                  <c:v>105.33206012266163</c:v>
                </c:pt>
                <c:pt idx="22">
                  <c:v>125.45482999087945</c:v>
                </c:pt>
                <c:pt idx="23">
                  <c:v>149.43322058095021</c:v>
                </c:pt>
                <c:pt idx="24">
                  <c:v>178.00799492795269</c:v>
                </c:pt>
                <c:pt idx="25">
                  <c:v>212.06258976593335</c:v>
                </c:pt>
                <c:pt idx="26">
                  <c:v>179.93756030525932</c:v>
                </c:pt>
                <c:pt idx="27">
                  <c:v>212.99198088990173</c:v>
                </c:pt>
                <c:pt idx="28">
                  <c:v>245.9280273623057</c:v>
                </c:pt>
                <c:pt idx="29">
                  <c:v>278.76379175733655</c:v>
                </c:pt>
                <c:pt idx="30">
                  <c:v>311.51274483481558</c:v>
                </c:pt>
                <c:pt idx="31">
                  <c:v>286.15100338127621</c:v>
                </c:pt>
                <c:pt idx="32">
                  <c:v>316.1189249426497</c:v>
                </c:pt>
                <c:pt idx="33">
                  <c:v>346.02389994775172</c:v>
                </c:pt>
                <c:pt idx="34">
                  <c:v>375.87212808855401</c:v>
                </c:pt>
                <c:pt idx="35">
                  <c:v>405.66874423568089</c:v>
                </c:pt>
                <c:pt idx="36">
                  <c:v>372.20138039050318</c:v>
                </c:pt>
                <c:pt idx="37">
                  <c:v>400.62967395850939</c:v>
                </c:pt>
                <c:pt idx="38">
                  <c:v>429.01432366739368</c:v>
                </c:pt>
                <c:pt idx="39">
                  <c:v>457.35861966649367</c:v>
                </c:pt>
                <c:pt idx="40">
                  <c:v>485.66541136738397</c:v>
                </c:pt>
                <c:pt idx="41">
                  <c:v>438.61917968565263</c:v>
                </c:pt>
                <c:pt idx="42">
                  <c:v>464.66708288740671</c:v>
                </c:pt>
                <c:pt idx="43">
                  <c:v>490.68386054925332</c:v>
                </c:pt>
                <c:pt idx="44">
                  <c:v>516.6713931827336</c:v>
                </c:pt>
                <c:pt idx="45">
                  <c:v>542.63135688868078</c:v>
                </c:pt>
                <c:pt idx="46">
                  <c:v>495.24514214260336</c:v>
                </c:pt>
                <c:pt idx="47">
                  <c:v>518.49402607090303</c:v>
                </c:pt>
                <c:pt idx="48">
                  <c:v>541.72093054986351</c:v>
                </c:pt>
                <c:pt idx="49">
                  <c:v>564.92692957745021</c:v>
                </c:pt>
                <c:pt idx="50">
                  <c:v>588.1130018097914</c:v>
                </c:pt>
                <c:pt idx="51">
                  <c:v>538.53418487335261</c:v>
                </c:pt>
                <c:pt idx="52">
                  <c:v>557.1938571638218</c:v>
                </c:pt>
                <c:pt idx="53">
                  <c:v>575.84044813295873</c:v>
                </c:pt>
                <c:pt idx="54">
                  <c:v>594.47444068287075</c:v>
                </c:pt>
                <c:pt idx="55">
                  <c:v>613.09628499771316</c:v>
                </c:pt>
                <c:pt idx="56">
                  <c:v>561.74299332696921</c:v>
                </c:pt>
                <c:pt idx="57">
                  <c:v>578.5681497139077</c:v>
                </c:pt>
                <c:pt idx="58">
                  <c:v>595.38310165344672</c:v>
                </c:pt>
                <c:pt idx="59">
                  <c:v>612.18817773567753</c:v>
                </c:pt>
                <c:pt idx="60">
                  <c:v>628.98368705216865</c:v>
                </c:pt>
                <c:pt idx="61">
                  <c:v>567.65571901573003</c:v>
                </c:pt>
                <c:pt idx="62">
                  <c:v>567.65571901573003</c:v>
                </c:pt>
                <c:pt idx="63">
                  <c:v>567.65571901573003</c:v>
                </c:pt>
                <c:pt idx="64">
                  <c:v>567.65571901573003</c:v>
                </c:pt>
                <c:pt idx="65">
                  <c:v>567.65571901573003</c:v>
                </c:pt>
                <c:pt idx="66">
                  <c:v>567.65571901573003</c:v>
                </c:pt>
                <c:pt idx="67">
                  <c:v>567.65571901573003</c:v>
                </c:pt>
                <c:pt idx="68">
                  <c:v>567.65571901573003</c:v>
                </c:pt>
                <c:pt idx="69">
                  <c:v>567.65571901573003</c:v>
                </c:pt>
                <c:pt idx="70">
                  <c:v>567.65571901573003</c:v>
                </c:pt>
                <c:pt idx="71">
                  <c:v>567.65571901573003</c:v>
                </c:pt>
                <c:pt idx="72">
                  <c:v>567.65571901573003</c:v>
                </c:pt>
                <c:pt idx="73">
                  <c:v>567.65571901573003</c:v>
                </c:pt>
                <c:pt idx="74">
                  <c:v>567.65571901573003</c:v>
                </c:pt>
                <c:pt idx="75">
                  <c:v>567.65571901573003</c:v>
                </c:pt>
                <c:pt idx="76">
                  <c:v>567.65571901573003</c:v>
                </c:pt>
                <c:pt idx="77">
                  <c:v>567.65571901573003</c:v>
                </c:pt>
                <c:pt idx="78">
                  <c:v>567.65571901573003</c:v>
                </c:pt>
                <c:pt idx="79">
                  <c:v>567.65571901573003</c:v>
                </c:pt>
                <c:pt idx="80">
                  <c:v>567.65571901573003</c:v>
                </c:pt>
                <c:pt idx="81">
                  <c:v>567.65571901573003</c:v>
                </c:pt>
                <c:pt idx="82">
                  <c:v>567.65571901573003</c:v>
                </c:pt>
                <c:pt idx="83">
                  <c:v>567.65571901573003</c:v>
                </c:pt>
                <c:pt idx="84">
                  <c:v>567.65571901573003</c:v>
                </c:pt>
                <c:pt idx="85">
                  <c:v>567.65571901573003</c:v>
                </c:pt>
                <c:pt idx="86">
                  <c:v>567.65571901573003</c:v>
                </c:pt>
                <c:pt idx="87">
                  <c:v>567.65571901573003</c:v>
                </c:pt>
                <c:pt idx="88">
                  <c:v>567.65571901573003</c:v>
                </c:pt>
                <c:pt idx="89">
                  <c:v>567.65571901573003</c:v>
                </c:pt>
                <c:pt idx="90">
                  <c:v>567.65571901573003</c:v>
                </c:pt>
                <c:pt idx="91">
                  <c:v>567.65571901573003</c:v>
                </c:pt>
                <c:pt idx="92">
                  <c:v>567.65571901573003</c:v>
                </c:pt>
                <c:pt idx="93">
                  <c:v>567.65571901573003</c:v>
                </c:pt>
                <c:pt idx="94">
                  <c:v>567.65571901573003</c:v>
                </c:pt>
                <c:pt idx="95">
                  <c:v>567.65571901573003</c:v>
                </c:pt>
                <c:pt idx="96">
                  <c:v>567.65571901573003</c:v>
                </c:pt>
                <c:pt idx="97">
                  <c:v>567.65571901573003</c:v>
                </c:pt>
                <c:pt idx="98">
                  <c:v>567.65571901573003</c:v>
                </c:pt>
                <c:pt idx="99">
                  <c:v>567.65571901573003</c:v>
                </c:pt>
                <c:pt idx="100">
                  <c:v>567.65571901573003</c:v>
                </c:pt>
                <c:pt idx="101">
                  <c:v>567.65571901573003</c:v>
                </c:pt>
                <c:pt idx="102">
                  <c:v>567.65571901573003</c:v>
                </c:pt>
                <c:pt idx="103">
                  <c:v>567.65571901573003</c:v>
                </c:pt>
                <c:pt idx="104">
                  <c:v>567.65571901573003</c:v>
                </c:pt>
                <c:pt idx="105">
                  <c:v>567.65571901573003</c:v>
                </c:pt>
                <c:pt idx="106">
                  <c:v>567.65571901573003</c:v>
                </c:pt>
                <c:pt idx="107">
                  <c:v>567.65571901573003</c:v>
                </c:pt>
                <c:pt idx="108">
                  <c:v>567.65571901573003</c:v>
                </c:pt>
                <c:pt idx="109">
                  <c:v>567.65571901573003</c:v>
                </c:pt>
                <c:pt idx="110">
                  <c:v>567.65571901573003</c:v>
                </c:pt>
                <c:pt idx="111">
                  <c:v>567.65571901573003</c:v>
                </c:pt>
                <c:pt idx="112">
                  <c:v>567.65571901573003</c:v>
                </c:pt>
                <c:pt idx="113">
                  <c:v>567.65571901573003</c:v>
                </c:pt>
                <c:pt idx="114">
                  <c:v>567.65571901573003</c:v>
                </c:pt>
                <c:pt idx="115">
                  <c:v>567.65571901573003</c:v>
                </c:pt>
                <c:pt idx="116">
                  <c:v>567.65571901573003</c:v>
                </c:pt>
                <c:pt idx="117">
                  <c:v>567.65571901573003</c:v>
                </c:pt>
                <c:pt idx="118">
                  <c:v>567.65571901573003</c:v>
                </c:pt>
                <c:pt idx="119">
                  <c:v>567.65571901573003</c:v>
                </c:pt>
                <c:pt idx="120">
                  <c:v>567.65571901573003</c:v>
                </c:pt>
                <c:pt idx="121">
                  <c:v>567.65571901573003</c:v>
                </c:pt>
                <c:pt idx="122">
                  <c:v>567.65571901573003</c:v>
                </c:pt>
                <c:pt idx="123">
                  <c:v>567.65571901573003</c:v>
                </c:pt>
                <c:pt idx="124">
                  <c:v>567.65571901573003</c:v>
                </c:pt>
                <c:pt idx="125">
                  <c:v>567.65571901573003</c:v>
                </c:pt>
                <c:pt idx="126">
                  <c:v>567.65571901573003</c:v>
                </c:pt>
                <c:pt idx="127">
                  <c:v>567.65571901573003</c:v>
                </c:pt>
                <c:pt idx="128">
                  <c:v>567.65571901573003</c:v>
                </c:pt>
                <c:pt idx="129">
                  <c:v>567.65571901573003</c:v>
                </c:pt>
                <c:pt idx="130">
                  <c:v>567.65571901573003</c:v>
                </c:pt>
                <c:pt idx="131">
                  <c:v>567.65571901573003</c:v>
                </c:pt>
                <c:pt idx="132">
                  <c:v>567.65571901573003</c:v>
                </c:pt>
                <c:pt idx="133">
                  <c:v>567.65571901573003</c:v>
                </c:pt>
                <c:pt idx="134">
                  <c:v>567.65571901573003</c:v>
                </c:pt>
                <c:pt idx="135">
                  <c:v>567.65571901573003</c:v>
                </c:pt>
                <c:pt idx="136">
                  <c:v>567.65571901573003</c:v>
                </c:pt>
                <c:pt idx="137">
                  <c:v>567.65571901573003</c:v>
                </c:pt>
                <c:pt idx="138">
                  <c:v>567.65571901573003</c:v>
                </c:pt>
                <c:pt idx="139">
                  <c:v>567.65571901573003</c:v>
                </c:pt>
                <c:pt idx="140">
                  <c:v>567.65571901573003</c:v>
                </c:pt>
                <c:pt idx="141">
                  <c:v>567.65571901573003</c:v>
                </c:pt>
                <c:pt idx="142">
                  <c:v>567.65571901573003</c:v>
                </c:pt>
                <c:pt idx="143">
                  <c:v>567.65571901573003</c:v>
                </c:pt>
                <c:pt idx="144">
                  <c:v>567.65571901573003</c:v>
                </c:pt>
                <c:pt idx="145">
                  <c:v>567.65571901573003</c:v>
                </c:pt>
                <c:pt idx="146">
                  <c:v>567.65571901573003</c:v>
                </c:pt>
                <c:pt idx="147">
                  <c:v>567.65571901573003</c:v>
                </c:pt>
                <c:pt idx="148">
                  <c:v>567.65571901573003</c:v>
                </c:pt>
                <c:pt idx="149">
                  <c:v>567.65571901573003</c:v>
                </c:pt>
                <c:pt idx="150">
                  <c:v>567.65571901573003</c:v>
                </c:pt>
                <c:pt idx="151">
                  <c:v>567.65571901573003</c:v>
                </c:pt>
                <c:pt idx="152">
                  <c:v>567.65571901573003</c:v>
                </c:pt>
                <c:pt idx="153">
                  <c:v>567.65571901573003</c:v>
                </c:pt>
                <c:pt idx="154">
                  <c:v>567.65571901573003</c:v>
                </c:pt>
                <c:pt idx="155">
                  <c:v>567.65571901573003</c:v>
                </c:pt>
                <c:pt idx="156">
                  <c:v>567.65571901573003</c:v>
                </c:pt>
                <c:pt idx="157">
                  <c:v>567.65571901573003</c:v>
                </c:pt>
                <c:pt idx="158">
                  <c:v>567.65571901573003</c:v>
                </c:pt>
                <c:pt idx="159">
                  <c:v>567.65571901573003</c:v>
                </c:pt>
                <c:pt idx="160">
                  <c:v>567.65571901573003</c:v>
                </c:pt>
                <c:pt idx="161">
                  <c:v>567.65571901573003</c:v>
                </c:pt>
                <c:pt idx="162">
                  <c:v>567.65571901573003</c:v>
                </c:pt>
                <c:pt idx="163">
                  <c:v>567.65571901573003</c:v>
                </c:pt>
                <c:pt idx="164">
                  <c:v>567.65571901573003</c:v>
                </c:pt>
                <c:pt idx="165">
                  <c:v>567.65571901573003</c:v>
                </c:pt>
                <c:pt idx="166">
                  <c:v>567.65571901573003</c:v>
                </c:pt>
                <c:pt idx="167">
                  <c:v>567.65571901573003</c:v>
                </c:pt>
                <c:pt idx="168">
                  <c:v>567.65571901573003</c:v>
                </c:pt>
                <c:pt idx="169">
                  <c:v>567.65571901573003</c:v>
                </c:pt>
                <c:pt idx="170">
                  <c:v>567.65571901573003</c:v>
                </c:pt>
                <c:pt idx="171">
                  <c:v>567.65571901573003</c:v>
                </c:pt>
                <c:pt idx="172">
                  <c:v>567.65571901573003</c:v>
                </c:pt>
                <c:pt idx="173">
                  <c:v>567.65571901573003</c:v>
                </c:pt>
                <c:pt idx="174">
                  <c:v>567.65571901573003</c:v>
                </c:pt>
                <c:pt idx="175">
                  <c:v>567.65571901573003</c:v>
                </c:pt>
                <c:pt idx="176">
                  <c:v>567.65571901573003</c:v>
                </c:pt>
                <c:pt idx="177">
                  <c:v>567.65571901573003</c:v>
                </c:pt>
                <c:pt idx="178">
                  <c:v>567.65571901573003</c:v>
                </c:pt>
                <c:pt idx="179">
                  <c:v>567.65571901573003</c:v>
                </c:pt>
                <c:pt idx="180">
                  <c:v>567.65571901573003</c:v>
                </c:pt>
                <c:pt idx="181">
                  <c:v>567.65571901573003</c:v>
                </c:pt>
                <c:pt idx="182">
                  <c:v>567.65571901573003</c:v>
                </c:pt>
                <c:pt idx="183">
                  <c:v>567.65571901573003</c:v>
                </c:pt>
                <c:pt idx="184">
                  <c:v>567.65571901573003</c:v>
                </c:pt>
                <c:pt idx="185">
                  <c:v>567.65571901573003</c:v>
                </c:pt>
                <c:pt idx="186">
                  <c:v>567.65571901573003</c:v>
                </c:pt>
                <c:pt idx="187">
                  <c:v>567.65571901573003</c:v>
                </c:pt>
                <c:pt idx="188">
                  <c:v>567.65571901573003</c:v>
                </c:pt>
                <c:pt idx="189">
                  <c:v>567.65571901573003</c:v>
                </c:pt>
                <c:pt idx="190">
                  <c:v>567.65571901573003</c:v>
                </c:pt>
                <c:pt idx="191">
                  <c:v>567.65571901573003</c:v>
                </c:pt>
                <c:pt idx="192">
                  <c:v>567.65571901573003</c:v>
                </c:pt>
                <c:pt idx="193">
                  <c:v>567.65571901573003</c:v>
                </c:pt>
                <c:pt idx="194">
                  <c:v>567.65571901573003</c:v>
                </c:pt>
                <c:pt idx="195">
                  <c:v>567.65571901573003</c:v>
                </c:pt>
                <c:pt idx="196">
                  <c:v>567.65571901573003</c:v>
                </c:pt>
                <c:pt idx="197">
                  <c:v>567.65571901573003</c:v>
                </c:pt>
                <c:pt idx="198">
                  <c:v>567.65571901573003</c:v>
                </c:pt>
                <c:pt idx="199">
                  <c:v>567.65571901573003</c:v>
                </c:pt>
                <c:pt idx="200">
                  <c:v>567.65571901573003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2.9291547186093734</c:v>
                </c:pt>
                <c:pt idx="2">
                  <c:v>3.4826369254889804</c:v>
                </c:pt>
                <c:pt idx="3">
                  <c:v>4.1410880922983022</c:v>
                </c:pt>
                <c:pt idx="4">
                  <c:v>4.9244846797946549</c:v>
                </c:pt>
                <c:pt idx="5">
                  <c:v>5.8566171178123545</c:v>
                </c:pt>
                <c:pt idx="6">
                  <c:v>6.9658201627507745</c:v>
                </c:pt>
                <c:pt idx="7">
                  <c:v>8.2858435016673528</c:v>
                </c:pt>
                <c:pt idx="8">
                  <c:v>9.8568896020214911</c:v>
                </c:pt>
                <c:pt idx="9">
                  <c:v>11.726851015752223</c:v>
                </c:pt>
                <c:pt idx="10">
                  <c:v>13.952785563352601</c:v>
                </c:pt>
                <c:pt idx="11">
                  <c:v>16.602675243078181</c:v>
                </c:pt>
                <c:pt idx="12">
                  <c:v>19.757523565418307</c:v>
                </c:pt>
                <c:pt idx="13">
                  <c:v>23.513856581720827</c:v>
                </c:pt>
                <c:pt idx="14">
                  <c:v>27.986705490672346</c:v>
                </c:pt>
                <c:pt idx="15">
                  <c:v>33.313163764005132</c:v>
                </c:pt>
                <c:pt idx="16">
                  <c:v>39.656629707216233</c:v>
                </c:pt>
                <c:pt idx="17">
                  <c:v>47.211866828206638</c:v>
                </c:pt>
                <c:pt idx="18">
                  <c:v>56.211040002527092</c:v>
                </c:pt>
                <c:pt idx="19">
                  <c:v>66.930916005697313</c:v>
                </c:pt>
                <c:pt idx="20">
                  <c:v>79.70145349515748</c:v>
                </c:pt>
                <c:pt idx="21">
                  <c:v>94.91605111865556</c:v>
                </c:pt>
                <c:pt idx="22">
                  <c:v>113.04377447815318</c:v>
                </c:pt>
                <c:pt idx="23">
                  <c:v>134.6439448322142</c:v>
                </c:pt>
                <c:pt idx="24">
                  <c:v>160.38354663870118</c:v>
                </c:pt>
                <c:pt idx="25">
                  <c:v>191.05799966897897</c:v>
                </c:pt>
                <c:pt idx="26">
                  <c:v>162.12162451471718</c:v>
                </c:pt>
                <c:pt idx="27">
                  <c:v>191.89512559183018</c:v>
                </c:pt>
                <c:pt idx="28">
                  <c:v>221.56092883337803</c:v>
                </c:pt>
                <c:pt idx="29">
                  <c:v>251.13549453595022</c:v>
                </c:pt>
                <c:pt idx="30">
                  <c:v>280.63107851839726</c:v>
                </c:pt>
                <c:pt idx="31">
                  <c:v>257.78890626510469</c:v>
                </c:pt>
                <c:pt idx="32">
                  <c:v>284.77961020385538</c:v>
                </c:pt>
                <c:pt idx="33">
                  <c:v>311.71304479765791</c:v>
                </c:pt>
                <c:pt idx="34">
                  <c:v>338.59485058221645</c:v>
                </c:pt>
                <c:pt idx="35">
                  <c:v>365.42969930916388</c:v>
                </c:pt>
                <c:pt idx="36">
                  <c:v>335.28894123596257</c:v>
                </c:pt>
                <c:pt idx="37">
                  <c:v>360.8915414955336</c:v>
                </c:pt>
                <c:pt idx="38">
                  <c:v>386.45443417821753</c:v>
                </c:pt>
                <c:pt idx="39">
                  <c:v>411.9806126915733</c:v>
                </c:pt>
                <c:pt idx="40">
                  <c:v>437.47266945596539</c:v>
                </c:pt>
                <c:pt idx="41">
                  <c:v>395.1043725179066</c:v>
                </c:pt>
                <c:pt idx="42">
                  <c:v>418.56237841300003</c:v>
                </c:pt>
                <c:pt idx="43">
                  <c:v>441.9920660109978</c:v>
                </c:pt>
                <c:pt idx="44">
                  <c:v>465.39514621826999</c:v>
                </c:pt>
                <c:pt idx="45">
                  <c:v>488.77314396648103</c:v>
                </c:pt>
                <c:pt idx="46">
                  <c:v>446.09974862279796</c:v>
                </c:pt>
                <c:pt idx="47">
                  <c:v>467.03650905023113</c:v>
                </c:pt>
                <c:pt idx="48">
                  <c:v>487.95327237630516</c:v>
                </c:pt>
                <c:pt idx="49">
                  <c:v>508.85101573406126</c:v>
                </c:pt>
                <c:pt idx="50">
                  <c:v>529.73062951367581</c:v>
                </c:pt>
                <c:pt idx="51">
                  <c:v>485.08349118260935</c:v>
                </c:pt>
                <c:pt idx="52">
                  <c:v>501.88715799172331</c:v>
                </c:pt>
                <c:pt idx="53">
                  <c:v>518.6789232966388</c:v>
                </c:pt>
                <c:pt idx="54">
                  <c:v>535.45922644605059</c:v>
                </c:pt>
                <c:pt idx="55">
                  <c:v>552.22847702156605</c:v>
                </c:pt>
                <c:pt idx="56">
                  <c:v>505.98379058152028</c:v>
                </c:pt>
                <c:pt idx="57">
                  <c:v>521.13528328406107</c:v>
                </c:pt>
                <c:pt idx="58">
                  <c:v>536.27749188826908</c:v>
                </c:pt>
                <c:pt idx="59">
                  <c:v>551.41071534837454</c:v>
                </c:pt>
                <c:pt idx="60">
                  <c:v>566.53523487867619</c:v>
                </c:pt>
                <c:pt idx="61">
                  <c:v>511.30836546390015</c:v>
                </c:pt>
                <c:pt idx="62">
                  <c:v>511.30836546390015</c:v>
                </c:pt>
                <c:pt idx="63">
                  <c:v>511.30836546390015</c:v>
                </c:pt>
                <c:pt idx="64">
                  <c:v>511.30836546390015</c:v>
                </c:pt>
                <c:pt idx="65">
                  <c:v>511.30836546390015</c:v>
                </c:pt>
                <c:pt idx="66">
                  <c:v>511.30836546390015</c:v>
                </c:pt>
                <c:pt idx="67">
                  <c:v>511.30836546390015</c:v>
                </c:pt>
                <c:pt idx="68">
                  <c:v>511.30836546390015</c:v>
                </c:pt>
                <c:pt idx="69">
                  <c:v>511.30836546390015</c:v>
                </c:pt>
                <c:pt idx="70">
                  <c:v>511.30836546390015</c:v>
                </c:pt>
                <c:pt idx="71">
                  <c:v>511.30836546390015</c:v>
                </c:pt>
                <c:pt idx="72">
                  <c:v>511.30836546390015</c:v>
                </c:pt>
                <c:pt idx="73">
                  <c:v>511.30836546390015</c:v>
                </c:pt>
                <c:pt idx="74">
                  <c:v>511.30836546390015</c:v>
                </c:pt>
                <c:pt idx="75">
                  <c:v>511.30836546390015</c:v>
                </c:pt>
                <c:pt idx="76">
                  <c:v>511.30836546390015</c:v>
                </c:pt>
                <c:pt idx="77">
                  <c:v>511.30836546390015</c:v>
                </c:pt>
                <c:pt idx="78">
                  <c:v>511.30836546390015</c:v>
                </c:pt>
                <c:pt idx="79">
                  <c:v>511.30836546390015</c:v>
                </c:pt>
                <c:pt idx="80">
                  <c:v>511.30836546390015</c:v>
                </c:pt>
                <c:pt idx="81">
                  <c:v>511.30836546390015</c:v>
                </c:pt>
                <c:pt idx="82">
                  <c:v>511.30836546390015</c:v>
                </c:pt>
                <c:pt idx="83">
                  <c:v>511.30836546390015</c:v>
                </c:pt>
                <c:pt idx="84">
                  <c:v>511.30836546390015</c:v>
                </c:pt>
                <c:pt idx="85">
                  <c:v>511.30836546390015</c:v>
                </c:pt>
                <c:pt idx="86">
                  <c:v>511.30836546390015</c:v>
                </c:pt>
                <c:pt idx="87">
                  <c:v>511.30836546390015</c:v>
                </c:pt>
                <c:pt idx="88">
                  <c:v>511.30836546390015</c:v>
                </c:pt>
                <c:pt idx="89">
                  <c:v>511.30836546390015</c:v>
                </c:pt>
                <c:pt idx="90">
                  <c:v>511.30836546390015</c:v>
                </c:pt>
                <c:pt idx="91">
                  <c:v>511.30836546390015</c:v>
                </c:pt>
                <c:pt idx="92">
                  <c:v>511.30836546390015</c:v>
                </c:pt>
                <c:pt idx="93">
                  <c:v>511.30836546390015</c:v>
                </c:pt>
                <c:pt idx="94">
                  <c:v>511.30836546390015</c:v>
                </c:pt>
                <c:pt idx="95">
                  <c:v>511.30836546390015</c:v>
                </c:pt>
                <c:pt idx="96">
                  <c:v>511.30836546390015</c:v>
                </c:pt>
                <c:pt idx="97">
                  <c:v>511.30836546390015</c:v>
                </c:pt>
                <c:pt idx="98">
                  <c:v>511.30836546390015</c:v>
                </c:pt>
                <c:pt idx="99">
                  <c:v>511.30836546390015</c:v>
                </c:pt>
                <c:pt idx="100">
                  <c:v>511.30836546390015</c:v>
                </c:pt>
                <c:pt idx="101">
                  <c:v>511.30836546390015</c:v>
                </c:pt>
                <c:pt idx="102">
                  <c:v>511.30836546390015</c:v>
                </c:pt>
                <c:pt idx="103">
                  <c:v>511.30836546390015</c:v>
                </c:pt>
                <c:pt idx="104">
                  <c:v>511.30836546390015</c:v>
                </c:pt>
                <c:pt idx="105">
                  <c:v>511.30836546390015</c:v>
                </c:pt>
                <c:pt idx="106">
                  <c:v>511.30836546390015</c:v>
                </c:pt>
                <c:pt idx="107">
                  <c:v>511.30836546390015</c:v>
                </c:pt>
                <c:pt idx="108">
                  <c:v>511.30836546390015</c:v>
                </c:pt>
                <c:pt idx="109">
                  <c:v>511.30836546390015</c:v>
                </c:pt>
                <c:pt idx="110">
                  <c:v>511.30836546390015</c:v>
                </c:pt>
                <c:pt idx="111">
                  <c:v>511.30836546390015</c:v>
                </c:pt>
                <c:pt idx="112">
                  <c:v>511.30836546390015</c:v>
                </c:pt>
                <c:pt idx="113">
                  <c:v>511.30836546390015</c:v>
                </c:pt>
                <c:pt idx="114">
                  <c:v>511.30836546390015</c:v>
                </c:pt>
                <c:pt idx="115">
                  <c:v>511.30836546390015</c:v>
                </c:pt>
                <c:pt idx="116">
                  <c:v>511.30836546390015</c:v>
                </c:pt>
                <c:pt idx="117">
                  <c:v>511.30836546390015</c:v>
                </c:pt>
                <c:pt idx="118">
                  <c:v>511.30836546390015</c:v>
                </c:pt>
                <c:pt idx="119">
                  <c:v>511.30836546390015</c:v>
                </c:pt>
                <c:pt idx="120">
                  <c:v>511.30836546390015</c:v>
                </c:pt>
                <c:pt idx="121">
                  <c:v>511.30836546390015</c:v>
                </c:pt>
                <c:pt idx="122">
                  <c:v>511.30836546390015</c:v>
                </c:pt>
                <c:pt idx="123">
                  <c:v>511.30836546390015</c:v>
                </c:pt>
                <c:pt idx="124">
                  <c:v>511.30836546390015</c:v>
                </c:pt>
                <c:pt idx="125">
                  <c:v>511.30836546390015</c:v>
                </c:pt>
                <c:pt idx="126">
                  <c:v>511.30836546390015</c:v>
                </c:pt>
                <c:pt idx="127">
                  <c:v>511.30836546390015</c:v>
                </c:pt>
                <c:pt idx="128">
                  <c:v>511.30836546390015</c:v>
                </c:pt>
                <c:pt idx="129">
                  <c:v>511.30836546390015</c:v>
                </c:pt>
                <c:pt idx="130">
                  <c:v>511.30836546390015</c:v>
                </c:pt>
                <c:pt idx="131">
                  <c:v>511.30836546390015</c:v>
                </c:pt>
                <c:pt idx="132">
                  <c:v>511.30836546390015</c:v>
                </c:pt>
                <c:pt idx="133">
                  <c:v>511.30836546390015</c:v>
                </c:pt>
                <c:pt idx="134">
                  <c:v>511.30836546390015</c:v>
                </c:pt>
                <c:pt idx="135">
                  <c:v>511.30836546390015</c:v>
                </c:pt>
                <c:pt idx="136">
                  <c:v>511.30836546390015</c:v>
                </c:pt>
                <c:pt idx="137">
                  <c:v>511.30836546390015</c:v>
                </c:pt>
                <c:pt idx="138">
                  <c:v>511.30836546390015</c:v>
                </c:pt>
                <c:pt idx="139">
                  <c:v>511.30836546390015</c:v>
                </c:pt>
                <c:pt idx="140">
                  <c:v>511.30836546390015</c:v>
                </c:pt>
                <c:pt idx="141">
                  <c:v>511.30836546390015</c:v>
                </c:pt>
                <c:pt idx="142">
                  <c:v>511.30836546390015</c:v>
                </c:pt>
                <c:pt idx="143">
                  <c:v>511.30836546390015</c:v>
                </c:pt>
                <c:pt idx="144">
                  <c:v>511.30836546390015</c:v>
                </c:pt>
                <c:pt idx="145">
                  <c:v>511.30836546390015</c:v>
                </c:pt>
                <c:pt idx="146">
                  <c:v>511.30836546390015</c:v>
                </c:pt>
                <c:pt idx="147">
                  <c:v>511.30836546390015</c:v>
                </c:pt>
                <c:pt idx="148">
                  <c:v>511.30836546390015</c:v>
                </c:pt>
                <c:pt idx="149">
                  <c:v>511.30836546390015</c:v>
                </c:pt>
                <c:pt idx="150">
                  <c:v>511.30836546390015</c:v>
                </c:pt>
                <c:pt idx="151">
                  <c:v>511.30836546390015</c:v>
                </c:pt>
                <c:pt idx="152">
                  <c:v>511.30836546390015</c:v>
                </c:pt>
                <c:pt idx="153">
                  <c:v>511.30836546390015</c:v>
                </c:pt>
                <c:pt idx="154">
                  <c:v>511.30836546390015</c:v>
                </c:pt>
                <c:pt idx="155">
                  <c:v>511.30836546390015</c:v>
                </c:pt>
                <c:pt idx="156">
                  <c:v>511.30836546390015</c:v>
                </c:pt>
                <c:pt idx="157">
                  <c:v>511.30836546390015</c:v>
                </c:pt>
                <c:pt idx="158">
                  <c:v>511.30836546390015</c:v>
                </c:pt>
                <c:pt idx="159">
                  <c:v>511.30836546390015</c:v>
                </c:pt>
                <c:pt idx="160">
                  <c:v>511.30836546390015</c:v>
                </c:pt>
                <c:pt idx="161">
                  <c:v>511.30836546390015</c:v>
                </c:pt>
                <c:pt idx="162">
                  <c:v>511.30836546390015</c:v>
                </c:pt>
                <c:pt idx="163">
                  <c:v>511.30836546390015</c:v>
                </c:pt>
                <c:pt idx="164">
                  <c:v>511.30836546390015</c:v>
                </c:pt>
                <c:pt idx="165">
                  <c:v>511.30836546390015</c:v>
                </c:pt>
                <c:pt idx="166">
                  <c:v>511.30836546390015</c:v>
                </c:pt>
                <c:pt idx="167">
                  <c:v>511.30836546390015</c:v>
                </c:pt>
                <c:pt idx="168">
                  <c:v>511.30836546390015</c:v>
                </c:pt>
                <c:pt idx="169">
                  <c:v>511.30836546390015</c:v>
                </c:pt>
                <c:pt idx="170">
                  <c:v>511.30836546390015</c:v>
                </c:pt>
                <c:pt idx="171">
                  <c:v>511.30836546390015</c:v>
                </c:pt>
                <c:pt idx="172">
                  <c:v>511.30836546390015</c:v>
                </c:pt>
                <c:pt idx="173">
                  <c:v>511.30836546390015</c:v>
                </c:pt>
                <c:pt idx="174">
                  <c:v>511.30836546390015</c:v>
                </c:pt>
                <c:pt idx="175">
                  <c:v>511.30836546390015</c:v>
                </c:pt>
                <c:pt idx="176">
                  <c:v>511.30836546390015</c:v>
                </c:pt>
                <c:pt idx="177">
                  <c:v>511.30836546390015</c:v>
                </c:pt>
                <c:pt idx="178">
                  <c:v>511.30836546390015</c:v>
                </c:pt>
                <c:pt idx="179">
                  <c:v>511.30836546390015</c:v>
                </c:pt>
                <c:pt idx="180">
                  <c:v>511.30836546390015</c:v>
                </c:pt>
                <c:pt idx="181">
                  <c:v>511.30836546390015</c:v>
                </c:pt>
                <c:pt idx="182">
                  <c:v>511.30836546390015</c:v>
                </c:pt>
                <c:pt idx="183">
                  <c:v>511.30836546390015</c:v>
                </c:pt>
                <c:pt idx="184">
                  <c:v>511.30836546390015</c:v>
                </c:pt>
                <c:pt idx="185">
                  <c:v>511.30836546390015</c:v>
                </c:pt>
                <c:pt idx="186">
                  <c:v>511.30836546390015</c:v>
                </c:pt>
                <c:pt idx="187">
                  <c:v>511.30836546390015</c:v>
                </c:pt>
                <c:pt idx="188">
                  <c:v>511.30836546390015</c:v>
                </c:pt>
                <c:pt idx="189">
                  <c:v>511.30836546390015</c:v>
                </c:pt>
                <c:pt idx="190">
                  <c:v>511.30836546390015</c:v>
                </c:pt>
                <c:pt idx="191">
                  <c:v>511.30836546390015</c:v>
                </c:pt>
                <c:pt idx="192">
                  <c:v>511.30836546390015</c:v>
                </c:pt>
                <c:pt idx="193">
                  <c:v>511.30836546390015</c:v>
                </c:pt>
                <c:pt idx="194">
                  <c:v>511.30836546390015</c:v>
                </c:pt>
                <c:pt idx="195">
                  <c:v>511.30836546390015</c:v>
                </c:pt>
                <c:pt idx="196">
                  <c:v>511.30836546390015</c:v>
                </c:pt>
                <c:pt idx="197">
                  <c:v>511.30836546390015</c:v>
                </c:pt>
                <c:pt idx="198">
                  <c:v>511.30836546390015</c:v>
                </c:pt>
                <c:pt idx="199">
                  <c:v>511.30836546390015</c:v>
                </c:pt>
                <c:pt idx="200">
                  <c:v>511.30836546390015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1" zoomScale="80" zoomScaleNormal="80" workbookViewId="0">
      <selection activeCell="F76" sqref="F7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6.8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14</v>
      </c>
      <c r="C9" s="32">
        <v>0.4</v>
      </c>
      <c r="D9" s="33">
        <f t="shared" ref="D9:D18" si="0">C9*$C$5</f>
        <v>2.72</v>
      </c>
      <c r="E9" s="34">
        <v>115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35</v>
      </c>
      <c r="C10" s="32">
        <v>0.4</v>
      </c>
      <c r="D10" s="33">
        <f t="shared" si="0"/>
        <v>2.72</v>
      </c>
      <c r="E10" s="34">
        <v>64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29</v>
      </c>
      <c r="C11" s="32">
        <v>0.1</v>
      </c>
      <c r="D11" s="33">
        <f t="shared" si="0"/>
        <v>0.68</v>
      </c>
      <c r="E11" s="34">
        <v>60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52</v>
      </c>
      <c r="C12" s="32">
        <v>0.05</v>
      </c>
      <c r="D12" s="33">
        <f t="shared" si="0"/>
        <v>0.34</v>
      </c>
      <c r="E12" s="34">
        <v>60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</v>
      </c>
      <c r="C13" s="32">
        <v>0.05</v>
      </c>
      <c r="D13" s="33">
        <f t="shared" si="0"/>
        <v>0.34</v>
      </c>
      <c r="E13" s="34">
        <v>60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6.8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20</v>
      </c>
      <c r="B36" s="60">
        <v>73</v>
      </c>
      <c r="C36" s="60">
        <v>1</v>
      </c>
      <c r="D36" s="60">
        <v>6</v>
      </c>
      <c r="E36" s="51"/>
      <c r="F36" s="51"/>
      <c r="G36" s="51"/>
      <c r="H36" s="51">
        <v>1</v>
      </c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25</v>
      </c>
      <c r="B37" s="60">
        <v>103</v>
      </c>
      <c r="C37" s="60">
        <v>2</v>
      </c>
      <c r="D37" s="60">
        <v>28</v>
      </c>
      <c r="E37" s="51"/>
      <c r="F37" s="51"/>
      <c r="G37" s="51"/>
      <c r="H37" s="51">
        <v>1</v>
      </c>
      <c r="I37" s="53">
        <f t="shared" ref="I37:I55" si="1">IF(A37&lt;&gt;0,(B37-(B36-D36))/(A37-A36),"")</f>
        <v>7.2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30</v>
      </c>
      <c r="B38" s="60">
        <v>121</v>
      </c>
      <c r="C38" s="60">
        <v>3</v>
      </c>
      <c r="D38" s="60">
        <v>28</v>
      </c>
      <c r="E38" s="51"/>
      <c r="F38" s="51"/>
      <c r="G38" s="51"/>
      <c r="H38" s="51">
        <v>1</v>
      </c>
      <c r="I38" s="53">
        <f t="shared" si="1"/>
        <v>9.1999999999999993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35</v>
      </c>
      <c r="B39" s="60">
        <v>147</v>
      </c>
      <c r="C39" s="60">
        <v>4</v>
      </c>
      <c r="D39" s="60">
        <v>28</v>
      </c>
      <c r="E39" s="51">
        <v>0.4</v>
      </c>
      <c r="F39" s="51">
        <v>0.08</v>
      </c>
      <c r="G39" s="51">
        <v>0.12</v>
      </c>
      <c r="H39" s="51">
        <v>0.4</v>
      </c>
      <c r="I39" s="49">
        <f t="shared" si="1"/>
        <v>10.8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40</v>
      </c>
      <c r="B40" s="60">
        <v>175</v>
      </c>
      <c r="C40" s="60">
        <v>5</v>
      </c>
      <c r="D40" s="60">
        <v>28</v>
      </c>
      <c r="E40" s="51">
        <v>0.4</v>
      </c>
      <c r="F40" s="51">
        <v>0.08</v>
      </c>
      <c r="G40" s="51">
        <v>0.12</v>
      </c>
      <c r="H40" s="51">
        <v>0.4</v>
      </c>
      <c r="I40" s="49">
        <f t="shared" si="1"/>
        <v>11.2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45</v>
      </c>
      <c r="B41" s="60">
        <v>204</v>
      </c>
      <c r="C41" s="60">
        <v>6</v>
      </c>
      <c r="D41" s="60">
        <v>28</v>
      </c>
      <c r="E41" s="51">
        <v>0.6</v>
      </c>
      <c r="F41" s="51">
        <v>0.04</v>
      </c>
      <c r="G41" s="51">
        <v>0.06</v>
      </c>
      <c r="H41" s="51">
        <v>0.3</v>
      </c>
      <c r="I41" s="53">
        <f t="shared" si="1"/>
        <v>11.4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50</v>
      </c>
      <c r="B42" s="60">
        <v>231</v>
      </c>
      <c r="C42" s="60">
        <v>7</v>
      </c>
      <c r="D42" s="60">
        <v>28</v>
      </c>
      <c r="E42" s="51">
        <v>0.6</v>
      </c>
      <c r="F42" s="51">
        <v>0.04</v>
      </c>
      <c r="G42" s="51">
        <v>0.06</v>
      </c>
      <c r="H42" s="51">
        <v>0.3</v>
      </c>
      <c r="I42" s="53">
        <f t="shared" si="1"/>
        <v>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55</v>
      </c>
      <c r="B43" s="60">
        <v>254</v>
      </c>
      <c r="C43" s="60">
        <v>8</v>
      </c>
      <c r="D43" s="60">
        <v>28</v>
      </c>
      <c r="E43" s="51">
        <v>0.8</v>
      </c>
      <c r="F43" s="51">
        <v>0.04</v>
      </c>
      <c r="G43" s="51">
        <v>0.06</v>
      </c>
      <c r="H43" s="51">
        <v>0.1</v>
      </c>
      <c r="I43" s="49">
        <f t="shared" si="1"/>
        <v>10.199999999999999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60</v>
      </c>
      <c r="B44" s="60">
        <v>273</v>
      </c>
      <c r="C44" s="60">
        <v>9</v>
      </c>
      <c r="D44" s="60">
        <v>28</v>
      </c>
      <c r="E44" s="51">
        <v>0.8</v>
      </c>
      <c r="F44" s="51">
        <v>0.04</v>
      </c>
      <c r="G44" s="51">
        <v>0.06</v>
      </c>
      <c r="H44" s="51">
        <v>0.1</v>
      </c>
      <c r="I44" s="49">
        <f t="shared" si="1"/>
        <v>9.4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65</v>
      </c>
      <c r="B45" s="60">
        <v>289</v>
      </c>
      <c r="C45" s="60">
        <v>10</v>
      </c>
      <c r="D45" s="60">
        <v>28</v>
      </c>
      <c r="E45" s="51">
        <v>0.8</v>
      </c>
      <c r="F45" s="51">
        <v>0.04</v>
      </c>
      <c r="G45" s="51">
        <v>0.06</v>
      </c>
      <c r="H45" s="51">
        <v>0.1</v>
      </c>
      <c r="I45" s="49">
        <f t="shared" si="1"/>
        <v>8.8000000000000007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70</v>
      </c>
      <c r="B46" s="60">
        <v>302</v>
      </c>
      <c r="C46" s="60">
        <v>11</v>
      </c>
      <c r="D46" s="60">
        <v>28</v>
      </c>
      <c r="E46" s="51">
        <v>0.8</v>
      </c>
      <c r="F46" s="51">
        <v>0.04</v>
      </c>
      <c r="G46" s="51">
        <v>0.06</v>
      </c>
      <c r="H46" s="51">
        <v>0.1</v>
      </c>
      <c r="I46" s="49">
        <f t="shared" si="1"/>
        <v>8.1999999999999993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>
        <v>75</v>
      </c>
      <c r="B47" s="60">
        <v>312</v>
      </c>
      <c r="C47" s="60">
        <v>12</v>
      </c>
      <c r="D47" s="60">
        <v>28</v>
      </c>
      <c r="E47" s="51">
        <v>0.8</v>
      </c>
      <c r="F47" s="51">
        <v>0.04</v>
      </c>
      <c r="G47" s="51">
        <v>0.06</v>
      </c>
      <c r="H47" s="51">
        <v>0.1</v>
      </c>
      <c r="I47" s="49">
        <f t="shared" si="1"/>
        <v>7.6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>
        <v>80</v>
      </c>
      <c r="B48" s="60">
        <v>320</v>
      </c>
      <c r="C48" s="60">
        <v>13</v>
      </c>
      <c r="D48" s="60">
        <v>28</v>
      </c>
      <c r="E48" s="51">
        <v>0.8</v>
      </c>
      <c r="F48" s="51">
        <v>0.04</v>
      </c>
      <c r="G48" s="51">
        <v>0.06</v>
      </c>
      <c r="H48" s="51">
        <v>0.1</v>
      </c>
      <c r="I48" s="49">
        <f t="shared" si="1"/>
        <v>7.2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>
        <v>85</v>
      </c>
      <c r="B49" s="60">
        <v>326</v>
      </c>
      <c r="C49" s="60">
        <v>14</v>
      </c>
      <c r="D49" s="60">
        <v>28</v>
      </c>
      <c r="E49" s="51">
        <v>0.8</v>
      </c>
      <c r="F49" s="51">
        <v>0.04</v>
      </c>
      <c r="G49" s="51">
        <v>0.06</v>
      </c>
      <c r="H49" s="51">
        <v>0.1</v>
      </c>
      <c r="I49" s="49">
        <f t="shared" si="1"/>
        <v>6.8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>
        <v>90</v>
      </c>
      <c r="B50" s="50">
        <v>330</v>
      </c>
      <c r="C50" s="50">
        <v>15</v>
      </c>
      <c r="D50" s="50">
        <v>28</v>
      </c>
      <c r="E50" s="51">
        <v>0.8</v>
      </c>
      <c r="F50" s="51">
        <v>0.04</v>
      </c>
      <c r="G50" s="51">
        <v>0.06</v>
      </c>
      <c r="H50" s="51">
        <v>0.1</v>
      </c>
      <c r="I50" s="49">
        <f t="shared" si="1"/>
        <v>6.4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>
        <v>95</v>
      </c>
      <c r="B51" s="50">
        <v>333</v>
      </c>
      <c r="C51" s="50">
        <v>16</v>
      </c>
      <c r="D51" s="50">
        <v>28</v>
      </c>
      <c r="E51" s="51">
        <v>0.8</v>
      </c>
      <c r="F51" s="51">
        <v>0.04</v>
      </c>
      <c r="G51" s="51">
        <v>0.06</v>
      </c>
      <c r="H51" s="51">
        <v>0.1</v>
      </c>
      <c r="I51" s="49">
        <f t="shared" si="1"/>
        <v>6.2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>
        <v>100</v>
      </c>
      <c r="B52" s="50">
        <v>333</v>
      </c>
      <c r="C52" s="50">
        <v>17</v>
      </c>
      <c r="D52" s="50">
        <v>27</v>
      </c>
      <c r="E52" s="51">
        <v>0.8</v>
      </c>
      <c r="F52" s="51">
        <v>0.04</v>
      </c>
      <c r="G52" s="51">
        <v>0.06</v>
      </c>
      <c r="H52" s="51">
        <v>0.1</v>
      </c>
      <c r="I52" s="49">
        <f t="shared" si="1"/>
        <v>5.6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>
        <v>105</v>
      </c>
      <c r="B53" s="50">
        <v>333</v>
      </c>
      <c r="C53" s="50">
        <v>18</v>
      </c>
      <c r="D53" s="50">
        <v>26</v>
      </c>
      <c r="E53" s="51">
        <v>0.8</v>
      </c>
      <c r="F53" s="51">
        <v>0.04</v>
      </c>
      <c r="G53" s="51">
        <v>0.06</v>
      </c>
      <c r="H53" s="51">
        <v>0.1</v>
      </c>
      <c r="I53" s="49">
        <f t="shared" si="1"/>
        <v>5.4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>
        <v>110</v>
      </c>
      <c r="B54" s="50">
        <v>332</v>
      </c>
      <c r="C54" s="50">
        <v>19</v>
      </c>
      <c r="D54" s="50">
        <v>25</v>
      </c>
      <c r="E54" s="51">
        <v>0.8</v>
      </c>
      <c r="F54" s="51">
        <v>0.04</v>
      </c>
      <c r="G54" s="51">
        <v>0.06</v>
      </c>
      <c r="H54" s="51">
        <v>0.1</v>
      </c>
      <c r="I54" s="49">
        <f t="shared" si="1"/>
        <v>5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>
        <v>115</v>
      </c>
      <c r="B55" s="50">
        <v>331</v>
      </c>
      <c r="C55" s="50">
        <v>20</v>
      </c>
      <c r="D55" s="50">
        <v>24</v>
      </c>
      <c r="E55" s="51">
        <v>0.8</v>
      </c>
      <c r="F55" s="51">
        <v>0.04</v>
      </c>
      <c r="G55" s="51">
        <v>0.06</v>
      </c>
      <c r="H55" s="51">
        <v>0.1</v>
      </c>
      <c r="I55" s="49">
        <f t="shared" si="1"/>
        <v>4.8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laricio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18</v>
      </c>
      <c r="B62" s="60">
        <f>127-D62</f>
        <v>82</v>
      </c>
      <c r="C62" s="60">
        <v>1</v>
      </c>
      <c r="D62" s="60">
        <v>45</v>
      </c>
      <c r="E62" s="51"/>
      <c r="F62" s="51">
        <v>0.6</v>
      </c>
      <c r="G62" s="51">
        <v>0.4</v>
      </c>
      <c r="H62" s="51"/>
      <c r="I62" s="53">
        <f>IFERROR(B62/A62,"")</f>
        <v>4.5555555555555554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23</v>
      </c>
      <c r="B63" s="60">
        <f>239-D63</f>
        <v>188</v>
      </c>
      <c r="C63" s="60">
        <v>2</v>
      </c>
      <c r="D63" s="60">
        <v>51</v>
      </c>
      <c r="E63" s="51">
        <v>0.3</v>
      </c>
      <c r="F63" s="51">
        <v>0.42</v>
      </c>
      <c r="G63" s="51">
        <v>0.28000000000000003</v>
      </c>
      <c r="H63" s="51"/>
      <c r="I63" s="49">
        <f>IF(A63&lt;&gt;0,(B63-(B62-D62))/(A63-A62),"")</f>
        <v>30.2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29</v>
      </c>
      <c r="B64" s="60">
        <f>382-D64</f>
        <v>305</v>
      </c>
      <c r="C64" s="60">
        <v>3</v>
      </c>
      <c r="D64" s="60">
        <v>77</v>
      </c>
      <c r="E64" s="51">
        <v>0.5</v>
      </c>
      <c r="F64" s="51">
        <v>0.3</v>
      </c>
      <c r="G64" s="51">
        <v>0.2</v>
      </c>
      <c r="H64" s="51"/>
      <c r="I64" s="49">
        <f>IF(A64&lt;&gt;0,(B64-(B63-D63))/(A64-A63),"")</f>
        <v>28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36</v>
      </c>
      <c r="B65" s="60">
        <f>548-D65</f>
        <v>464</v>
      </c>
      <c r="C65" s="60">
        <v>4</v>
      </c>
      <c r="D65" s="60">
        <v>84</v>
      </c>
      <c r="E65" s="51">
        <v>0.5</v>
      </c>
      <c r="F65" s="51">
        <v>0.3</v>
      </c>
      <c r="G65" s="51">
        <v>0.2</v>
      </c>
      <c r="H65" s="51"/>
      <c r="I65" s="49">
        <f>IF(A65&lt;&gt;0,(B65-(B64-D64))/(A65-A64),"")</f>
        <v>33.714285714285715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44</v>
      </c>
      <c r="B66" s="60">
        <f>736-D66</f>
        <v>648</v>
      </c>
      <c r="C66" s="60">
        <v>5</v>
      </c>
      <c r="D66" s="60">
        <v>88</v>
      </c>
      <c r="E66" s="51">
        <v>0.5</v>
      </c>
      <c r="F66" s="51">
        <v>0.3</v>
      </c>
      <c r="G66" s="51">
        <v>0.2</v>
      </c>
      <c r="H66" s="51"/>
      <c r="I66" s="49">
        <f t="shared" ref="I66:I81" si="2">IF(A66&lt;&gt;0,(B66-(B65-D65))/(A66-A65),"")</f>
        <v>33.5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54</v>
      </c>
      <c r="B67" s="60">
        <f>959-D67</f>
        <v>864</v>
      </c>
      <c r="C67" s="60">
        <v>6</v>
      </c>
      <c r="D67" s="60">
        <v>95</v>
      </c>
      <c r="E67" s="51">
        <v>0.5</v>
      </c>
      <c r="F67" s="51">
        <v>0.3</v>
      </c>
      <c r="G67" s="51">
        <v>0.2</v>
      </c>
      <c r="H67" s="51"/>
      <c r="I67" s="49">
        <f t="shared" si="2"/>
        <v>30.4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64</v>
      </c>
      <c r="B68" s="60">
        <f>1158-D68</f>
        <v>1065</v>
      </c>
      <c r="C68" s="60">
        <v>7</v>
      </c>
      <c r="D68" s="60">
        <v>93</v>
      </c>
      <c r="E68" s="51">
        <v>0.5</v>
      </c>
      <c r="F68" s="51">
        <v>0.3</v>
      </c>
      <c r="G68" s="51">
        <v>0.2</v>
      </c>
      <c r="H68" s="51"/>
      <c r="I68" s="49">
        <f t="shared" si="2"/>
        <v>29.6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Merisier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v>117</v>
      </c>
      <c r="C88" s="60">
        <v>1</v>
      </c>
      <c r="D88" s="60">
        <v>27</v>
      </c>
      <c r="E88" s="51"/>
      <c r="F88" s="51"/>
      <c r="G88" s="51"/>
      <c r="H88" s="87">
        <v>1</v>
      </c>
      <c r="I88" s="53">
        <f>IFERROR(B88/A88,"")</f>
        <v>5.85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25</v>
      </c>
      <c r="B89" s="60">
        <v>140</v>
      </c>
      <c r="C89" s="60">
        <v>2</v>
      </c>
      <c r="D89" s="60">
        <v>16</v>
      </c>
      <c r="E89" s="51"/>
      <c r="F89" s="51"/>
      <c r="G89" s="51"/>
      <c r="H89" s="87">
        <v>1</v>
      </c>
      <c r="I89" s="53">
        <f t="shared" ref="I89:I107" si="3">IF(A89&lt;&gt;0,(B89-(B88-D88))/(A89-A88),"")</f>
        <v>10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30</v>
      </c>
      <c r="B90" s="60">
        <v>178</v>
      </c>
      <c r="C90" s="60">
        <v>3</v>
      </c>
      <c r="D90" s="60">
        <v>23</v>
      </c>
      <c r="E90" s="87">
        <v>0.5</v>
      </c>
      <c r="F90" s="87">
        <v>0.1</v>
      </c>
      <c r="G90" s="87">
        <v>0.15</v>
      </c>
      <c r="H90" s="87">
        <v>0.25</v>
      </c>
      <c r="I90" s="53">
        <f t="shared" si="3"/>
        <v>10.8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35</v>
      </c>
      <c r="B91" s="60">
        <v>213</v>
      </c>
      <c r="C91" s="60">
        <v>4</v>
      </c>
      <c r="D91" s="60">
        <v>29</v>
      </c>
      <c r="E91" s="87">
        <v>0.5</v>
      </c>
      <c r="F91" s="87">
        <v>0.1</v>
      </c>
      <c r="G91" s="87">
        <v>0.15</v>
      </c>
      <c r="H91" s="87">
        <v>0.25</v>
      </c>
      <c r="I91" s="53">
        <f t="shared" si="3"/>
        <v>11.6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40</v>
      </c>
      <c r="B92" s="60">
        <v>241</v>
      </c>
      <c r="C92" s="60">
        <v>5</v>
      </c>
      <c r="D92" s="60">
        <v>32</v>
      </c>
      <c r="E92" s="87">
        <v>0.5</v>
      </c>
      <c r="F92" s="87">
        <v>0.1</v>
      </c>
      <c r="G92" s="87">
        <v>0.15</v>
      </c>
      <c r="H92" s="87">
        <v>0.25</v>
      </c>
      <c r="I92" s="53">
        <f t="shared" si="3"/>
        <v>11.4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45</v>
      </c>
      <c r="B93" s="60">
        <v>263</v>
      </c>
      <c r="C93" s="60">
        <v>6</v>
      </c>
      <c r="D93" s="60">
        <v>36</v>
      </c>
      <c r="E93" s="87">
        <v>0.5</v>
      </c>
      <c r="F93" s="87">
        <v>0.1</v>
      </c>
      <c r="G93" s="87">
        <v>0.15</v>
      </c>
      <c r="H93" s="87">
        <v>0.25</v>
      </c>
      <c r="I93" s="53">
        <f t="shared" si="3"/>
        <v>10.8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50</v>
      </c>
      <c r="B94" s="60">
        <v>283</v>
      </c>
      <c r="C94" s="60">
        <v>7</v>
      </c>
      <c r="D94" s="60">
        <v>35</v>
      </c>
      <c r="E94" s="87">
        <v>0.5</v>
      </c>
      <c r="F94" s="87">
        <v>0.1</v>
      </c>
      <c r="G94" s="87">
        <v>0.15</v>
      </c>
      <c r="H94" s="87">
        <v>0.25</v>
      </c>
      <c r="I94" s="53">
        <f t="shared" si="3"/>
        <v>11.2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55</v>
      </c>
      <c r="B95" s="60">
        <v>297</v>
      </c>
      <c r="C95" s="60">
        <v>8</v>
      </c>
      <c r="D95" s="60">
        <v>35</v>
      </c>
      <c r="E95" s="87">
        <v>0.5</v>
      </c>
      <c r="F95" s="87">
        <v>0.1</v>
      </c>
      <c r="G95" s="87">
        <v>0.15</v>
      </c>
      <c r="H95" s="87">
        <v>0.25</v>
      </c>
      <c r="I95" s="53">
        <f t="shared" si="3"/>
        <v>9.8000000000000007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60</v>
      </c>
      <c r="B96" s="60">
        <v>310</v>
      </c>
      <c r="C96" s="60">
        <v>9</v>
      </c>
      <c r="D96" s="60">
        <v>37</v>
      </c>
      <c r="E96" s="87">
        <v>0.5</v>
      </c>
      <c r="F96" s="87">
        <v>0.1</v>
      </c>
      <c r="G96" s="87">
        <v>0.15</v>
      </c>
      <c r="H96" s="87">
        <v>0.25</v>
      </c>
      <c r="I96" s="53">
        <f t="shared" si="3"/>
        <v>9.6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Cormier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25</v>
      </c>
      <c r="B114" s="60">
        <v>89</v>
      </c>
      <c r="C114" s="50">
        <v>1</v>
      </c>
      <c r="D114" s="60">
        <v>28</v>
      </c>
      <c r="E114" s="51"/>
      <c r="F114" s="51"/>
      <c r="G114" s="51"/>
      <c r="H114" s="51">
        <v>1</v>
      </c>
      <c r="I114" s="53">
        <f>IFERROR(B114/A114,"")</f>
        <v>3.56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30</v>
      </c>
      <c r="B115" s="60">
        <v>132</v>
      </c>
      <c r="C115" s="50">
        <v>2</v>
      </c>
      <c r="D115" s="60">
        <v>24</v>
      </c>
      <c r="E115" s="51"/>
      <c r="F115" s="51"/>
      <c r="G115" s="51"/>
      <c r="H115" s="51">
        <v>1</v>
      </c>
      <c r="I115" s="53">
        <f t="shared" ref="I115:I133" si="4">IF(A115&lt;&gt;0,(B115-(B114-D114))/(A115-A114),"")</f>
        <v>14.2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35</v>
      </c>
      <c r="B116" s="60">
        <v>173</v>
      </c>
      <c r="C116" s="50">
        <v>3</v>
      </c>
      <c r="D116" s="60">
        <v>27</v>
      </c>
      <c r="E116" s="51">
        <v>0.5</v>
      </c>
      <c r="F116" s="51">
        <v>0.1</v>
      </c>
      <c r="G116" s="51">
        <v>0.15</v>
      </c>
      <c r="H116" s="51">
        <v>0.25</v>
      </c>
      <c r="I116" s="53">
        <f t="shared" si="4"/>
        <v>13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40</v>
      </c>
      <c r="B117" s="60">
        <v>208</v>
      </c>
      <c r="C117" s="50">
        <v>4</v>
      </c>
      <c r="D117" s="60">
        <v>32</v>
      </c>
      <c r="E117" s="51">
        <v>0.5</v>
      </c>
      <c r="F117" s="51">
        <v>0.1</v>
      </c>
      <c r="G117" s="51">
        <v>0.15</v>
      </c>
      <c r="H117" s="51">
        <v>0.25</v>
      </c>
      <c r="I117" s="53">
        <f t="shared" si="4"/>
        <v>12.4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45</v>
      </c>
      <c r="B118" s="60">
        <v>233</v>
      </c>
      <c r="C118" s="50">
        <v>5</v>
      </c>
      <c r="D118" s="60">
        <v>31</v>
      </c>
      <c r="E118" s="51">
        <v>0.5</v>
      </c>
      <c r="F118" s="51">
        <v>0.1</v>
      </c>
      <c r="G118" s="51">
        <v>0.15</v>
      </c>
      <c r="H118" s="51">
        <v>0.25</v>
      </c>
      <c r="I118" s="53">
        <f t="shared" si="4"/>
        <v>11.4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50</v>
      </c>
      <c r="B119" s="60">
        <v>253</v>
      </c>
      <c r="C119" s="50">
        <v>6</v>
      </c>
      <c r="D119" s="60">
        <v>30</v>
      </c>
      <c r="E119" s="51">
        <v>0.5</v>
      </c>
      <c r="F119" s="51">
        <v>0.1</v>
      </c>
      <c r="G119" s="51">
        <v>0.15</v>
      </c>
      <c r="H119" s="51">
        <v>0.25</v>
      </c>
      <c r="I119" s="53">
        <f t="shared" si="4"/>
        <v>10.199999999999999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55</v>
      </c>
      <c r="B120" s="60">
        <v>264</v>
      </c>
      <c r="C120" s="60">
        <v>7</v>
      </c>
      <c r="D120" s="60">
        <v>30</v>
      </c>
      <c r="E120" s="87">
        <v>0.5</v>
      </c>
      <c r="F120" s="87">
        <v>0.1</v>
      </c>
      <c r="G120" s="87">
        <v>0.15</v>
      </c>
      <c r="H120" s="87">
        <v>0.25</v>
      </c>
      <c r="I120" s="53">
        <f t="shared" si="4"/>
        <v>8.1999999999999993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60</v>
      </c>
      <c r="B121" s="60">
        <v>271</v>
      </c>
      <c r="C121" s="60">
        <v>8</v>
      </c>
      <c r="D121" s="60">
        <v>27</v>
      </c>
      <c r="E121" s="87">
        <v>0.5</v>
      </c>
      <c r="F121" s="87">
        <v>0.1</v>
      </c>
      <c r="G121" s="87">
        <v>0.15</v>
      </c>
      <c r="H121" s="87">
        <v>0.25</v>
      </c>
      <c r="I121" s="53">
        <f t="shared" si="4"/>
        <v>7.4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Alisier torminal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25</v>
      </c>
      <c r="B140" s="60">
        <v>89</v>
      </c>
      <c r="C140" s="50">
        <v>1</v>
      </c>
      <c r="D140" s="60">
        <v>28</v>
      </c>
      <c r="E140" s="51"/>
      <c r="F140" s="51"/>
      <c r="G140" s="51"/>
      <c r="H140" s="51">
        <v>1</v>
      </c>
      <c r="I140" s="57">
        <f>IFERROR(B140/A140,"")</f>
        <v>3.56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30</v>
      </c>
      <c r="B141" s="60">
        <v>132</v>
      </c>
      <c r="C141" s="50">
        <v>2</v>
      </c>
      <c r="D141" s="60">
        <v>24</v>
      </c>
      <c r="E141" s="51"/>
      <c r="F141" s="51"/>
      <c r="G141" s="51"/>
      <c r="H141" s="51">
        <v>1</v>
      </c>
      <c r="I141" s="57">
        <f t="shared" ref="I141:I159" si="5">IF(A141&lt;&gt;0,(B141-(B140-D140))/(A141-A140),"")</f>
        <v>14.2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35</v>
      </c>
      <c r="B142" s="60">
        <v>173</v>
      </c>
      <c r="C142" s="50">
        <v>3</v>
      </c>
      <c r="D142" s="60">
        <v>27</v>
      </c>
      <c r="E142" s="51">
        <v>0.5</v>
      </c>
      <c r="F142" s="51">
        <v>0.1</v>
      </c>
      <c r="G142" s="51">
        <v>0.15</v>
      </c>
      <c r="H142" s="51">
        <v>0.25</v>
      </c>
      <c r="I142" s="57">
        <f t="shared" si="5"/>
        <v>13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40</v>
      </c>
      <c r="B143" s="60">
        <v>208</v>
      </c>
      <c r="C143" s="50">
        <v>4</v>
      </c>
      <c r="D143" s="60">
        <v>32</v>
      </c>
      <c r="E143" s="51">
        <v>0.5</v>
      </c>
      <c r="F143" s="51">
        <v>0.1</v>
      </c>
      <c r="G143" s="51">
        <v>0.15</v>
      </c>
      <c r="H143" s="51">
        <v>0.25</v>
      </c>
      <c r="I143" s="57">
        <f t="shared" si="5"/>
        <v>12.4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45</v>
      </c>
      <c r="B144" s="60">
        <v>233</v>
      </c>
      <c r="C144" s="50">
        <v>5</v>
      </c>
      <c r="D144" s="60">
        <v>31</v>
      </c>
      <c r="E144" s="51">
        <v>0.5</v>
      </c>
      <c r="F144" s="51">
        <v>0.1</v>
      </c>
      <c r="G144" s="51">
        <v>0.15</v>
      </c>
      <c r="H144" s="51">
        <v>0.25</v>
      </c>
      <c r="I144" s="57">
        <f t="shared" si="5"/>
        <v>11.4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50</v>
      </c>
      <c r="B145" s="60">
        <v>253</v>
      </c>
      <c r="C145" s="50">
        <v>6</v>
      </c>
      <c r="D145" s="60">
        <v>30</v>
      </c>
      <c r="E145" s="51">
        <v>0.5</v>
      </c>
      <c r="F145" s="51">
        <v>0.1</v>
      </c>
      <c r="G145" s="51">
        <v>0.15</v>
      </c>
      <c r="H145" s="51">
        <v>0.25</v>
      </c>
      <c r="I145" s="57">
        <f t="shared" si="5"/>
        <v>10.199999999999999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55</v>
      </c>
      <c r="B146" s="60">
        <v>264</v>
      </c>
      <c r="C146" s="50">
        <v>7</v>
      </c>
      <c r="D146" s="60">
        <v>30</v>
      </c>
      <c r="E146" s="51">
        <v>0.5</v>
      </c>
      <c r="F146" s="51">
        <v>0.1</v>
      </c>
      <c r="G146" s="51">
        <v>0.15</v>
      </c>
      <c r="H146" s="51">
        <v>0.25</v>
      </c>
      <c r="I146" s="57">
        <f t="shared" si="5"/>
        <v>8.1999999999999993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60</v>
      </c>
      <c r="B147" s="60">
        <v>271</v>
      </c>
      <c r="C147" s="50">
        <v>8</v>
      </c>
      <c r="D147" s="60">
        <v>27</v>
      </c>
      <c r="E147" s="51">
        <v>0.5</v>
      </c>
      <c r="F147" s="51">
        <v>0.1</v>
      </c>
      <c r="G147" s="51">
        <v>0.15</v>
      </c>
      <c r="H147" s="51">
        <v>0.25</v>
      </c>
      <c r="I147" s="57">
        <f>IF(A147&lt;&gt;0,(B147-(B146-D146))/(A147-A146),"")</f>
        <v>7.4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Normal="100" workbookViewId="0">
      <selection activeCell="H16" sqref="H16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51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laricio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Merisier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Cormier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Alisier torminal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330.30341204367602</v>
      </c>
      <c r="T3" s="59">
        <f>IF('Données projet'!E9&gt;30,$R$33-$H$33,LOOKUP('Données projet'!$E$9,$A$3:$A$203,R3:R203)-LOOKUP('Données projet'!$E$9,$A$3:$A$203,$H$3:$H$203))</f>
        <v>200.36653694091007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465.77577582457678</v>
      </c>
      <c r="AO3" s="59">
        <f>IF('Données projet'!E10&gt;30,$AM$33-$H$33,LOOKUP('Données projet'!$E$10,$A$3:$A$203,AM3:AM203)-LOOKUP('Données projet'!$E$10,$A$3:$A$203,$H$3:$H$203))</f>
        <v>301.15495784503042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219.5868031007679</v>
      </c>
      <c r="BJ3" s="59">
        <f>IF('Données projet'!E11&gt;30,$BH$33-$H$33,LOOKUP('Données projet'!$E$11,$A$3:$A$203,BH3:BH203)-LOOKUP('Données projet'!$E$11,$A$3:$A$203,$H$3:$H$203))</f>
        <v>263.3830219837742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244.7364260963538</v>
      </c>
      <c r="CE3" s="59">
        <f>IF('Données projet'!E12&gt;30,$CC$33-$H$33,LOOKUP('Données projet'!$E$12,$A$3:$A$203,CC3:CC203)-LOOKUP('Données projet'!$E$12,$A$3:$A$203,$H$3:$H$203))</f>
        <v>270.32853612539299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216.39536568500222</v>
      </c>
      <c r="CZ3" s="59">
        <f>IF('Données projet'!E13&gt;30,$CX$33-$H$33,LOOKUP('Données projet'!$E$13,$A$3:$A$203,CX3:CX203)-LOOKUP('Données projet'!$E$13,$A$3:$A$203,$H$3:$H$203))</f>
        <v>239.44686980897467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0.59279999999999999</v>
      </c>
      <c r="D4" s="11">
        <f>IFERROR(EXP(-1.0587+0.8836*LN(C4)+0.284),0)</f>
        <v>0.29033122460920363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6.8171533127727999</v>
      </c>
      <c r="H4" s="67">
        <f t="shared" ref="H4:H67" si="1">(B4+E4+F4)*44/12+(C4+D4)*0.475*44/12</f>
        <v>294.8714535495277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1.1212920291467359</v>
      </c>
      <c r="P4" s="13">
        <f>EXP(-1.0587+0.8836*LN(O4)+0.284)</f>
        <v>0.50989827066551541</v>
      </c>
      <c r="Q4" s="20">
        <f t="shared" ref="Q4:Q34" si="2">(O4+P4)*0.475*44/12</f>
        <v>2.8409897721730037</v>
      </c>
      <c r="R4" s="59">
        <f t="shared" si="0"/>
        <v>296.17432310550635</v>
      </c>
      <c r="S4" s="59">
        <f ca="1">AVERAGE(OFFSET($R$3,0,0,'Données projet'!$E$9+1,1))-AVERAGE(OFFSET($H$3,0,0,'Données projet'!$E$9+1,1))</f>
        <v>330.30341204367602</v>
      </c>
      <c r="T4" s="59">
        <f>$T$3</f>
        <v>200.36653694091007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4.5555555555555554</v>
      </c>
      <c r="AI4" s="13">
        <f>IF('Données projet'!$A$62&gt;35,AI3+AH4-AQ3,IF(A4&lt;'Données projet'!$A$62,$AF$205^A4,IF(A4='Données projet'!$A$62,'Données projet'!$B$62,AI3+AH4-AQ3)))</f>
        <v>1.2773884700017502</v>
      </c>
      <c r="AJ4" s="13">
        <f>AI4*VLOOKUP('Données projet'!$B$10,Paramètres!$A$1:$I$89,3,0)*VLOOKUP('Données projet'!$B$10,Paramètres!$A$1:$I$89,5,0)</f>
        <v>0.76387830506104659</v>
      </c>
      <c r="AK4" s="13">
        <f>EXP(-1.0587+0.8836*LN(AJ4)+0.284)</f>
        <v>0.36323879525702257</v>
      </c>
      <c r="AL4" s="20">
        <f t="shared" ref="AL4:AL67" si="4">(AJ4+AK4)*0.475*44/12</f>
        <v>1.9630622830539701</v>
      </c>
      <c r="AM4" s="59">
        <f t="shared" ref="AM4:AM67" si="5">AL4+(AD4+AE4)*44/12</f>
        <v>295.29639561638726</v>
      </c>
      <c r="AN4" s="59">
        <f ca="1">AVERAGE(OFFSET($AM$3,0,0,'Données projet'!$E$10+1,1))-AVERAGE(OFFSET($H$3,0,0,'Données projet'!$E$10+1,1))</f>
        <v>465.77577582457678</v>
      </c>
      <c r="AO4" s="59">
        <f>$AO$3</f>
        <v>301.15495784503042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5.85</v>
      </c>
      <c r="BD4" s="12">
        <f>IF('Données projet'!$A$88&gt;35,BD3+BC4-BL3,IF(A4&lt;'Données projet'!$A$88,$BA$205^A4,IF(A4='Données projet'!$A$88,'Données projet'!$B$88,BD3+BC4-BL3)))</f>
        <v>1.2688471048731957</v>
      </c>
      <c r="BE4" s="13">
        <f>BD4*VLOOKUP('Données projet'!$B$11,Paramètres!$A$1:$I$89,3,0)*VLOOKUP('Données projet'!$B$11,Paramètres!$A$1:$I$89,5,0)</f>
        <v>0.98970074180109269</v>
      </c>
      <c r="BF4" s="13">
        <f>EXP(-1.0587+0.8836*LN(BE4)+0.284)</f>
        <v>0.45664563134517483</v>
      </c>
      <c r="BG4" s="20">
        <f t="shared" ref="BG4:BG67" si="7">(BE4+BF4)*0.475*44/12</f>
        <v>2.5190532665630827</v>
      </c>
      <c r="BH4" s="59">
        <f t="shared" ref="BH4:BH67" si="8">BG4+(AY4+AZ4)*44/12</f>
        <v>295.85238659989642</v>
      </c>
      <c r="BI4" s="59">
        <f ca="1">AVERAGE(OFFSET($BH$3,0,0,'Données projet'!$E$11+1,1))-AVERAGE(OFFSET($H$3,0,0,'Données projet'!$E$11+1,1))</f>
        <v>219.5868031007679</v>
      </c>
      <c r="BJ4" s="59">
        <f>$BJ$3</f>
        <v>263.3830219837742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3.56</v>
      </c>
      <c r="BY4" s="12">
        <f>IF('Données projet'!$A$114&gt;35,BY3+BX4-CG3,IF(A4&lt;'Données projet'!$A$114,$BV$205^A4,IF(A4='Données projet'!$A$114,'Données projet'!$B$114,BY3+BX4-CG3)))</f>
        <v>1.1966732973638288</v>
      </c>
      <c r="BZ4" s="13">
        <f>BY4*VLOOKUP('Données projet'!$B$12,Paramètres!$A$1:$I$89,3,0)*VLOOKUP('Données projet'!$B$12,Paramètres!$A$1:$I$89,5,0)</f>
        <v>1.2880991372824253</v>
      </c>
      <c r="CA4" s="13">
        <f>EXP(-1.0587+0.8836*LN(BZ4)+0.284)</f>
        <v>0.57637250723928224</v>
      </c>
      <c r="CB4" s="20">
        <f t="shared" ref="CB4:CB67" si="10">(BZ4+CA4)*0.475*44/12</f>
        <v>3.2472881142086405</v>
      </c>
      <c r="CC4" s="59">
        <f t="shared" ref="CC4:CC67" si="11">CB4+(BT4+BU4)*44/12</f>
        <v>296.58062144754194</v>
      </c>
      <c r="CD4" s="59">
        <f ca="1">AVERAGE(OFFSET($CC$3,0,0,'Données projet'!$E$12+1,1))-AVERAGE(OFFSET($H$3,0,0,'Données projet'!$E$12+1,1))</f>
        <v>244.7364260963538</v>
      </c>
      <c r="CE4" s="59">
        <f>$CE$3</f>
        <v>270.32853612539299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3.56</v>
      </c>
      <c r="CT4" s="12">
        <f>IF('Données projet'!$A$140&gt;35,CT3+CS4-DB3,IF(A4&lt;'Données projet'!$A$140,$CQ$205^A4,IF(A4='Données projet'!$A$140,'Données projet'!$B$140,CT3+CS4-DB3)))</f>
        <v>1.1966732973638288</v>
      </c>
      <c r="CU4" s="17">
        <f>CT4*VLOOKUP('Données projet'!$B$13,Paramètres!$A$1:$I$89,3,0)*VLOOKUP('Données projet'!$B$13,Paramètres!$A$1:$I$89,5,0)</f>
        <v>1.1574224132102953</v>
      </c>
      <c r="CV4" s="13">
        <f>EXP(-1.0587+0.8836*LN(CU4)+0.284)</f>
        <v>0.5243889084792972</v>
      </c>
      <c r="CW4" s="20">
        <f t="shared" ref="CW4:CW67" si="13">(CU4+CV4)*0.475*44/12</f>
        <v>2.9291547186093734</v>
      </c>
      <c r="CX4" s="59">
        <f t="shared" ref="CX4:CX67" si="14">CW4+(CO4+CP4)*44/12</f>
        <v>296.26248805194268</v>
      </c>
      <c r="CY4" s="59">
        <f ca="1">AVERAGE(OFFSET($CX$3,0,0,'Données projet'!$E$13+1,1))-AVERAGE(OFFSET($H$3,0,0,'Données projet'!$E$13+1,1))</f>
        <v>216.39536568500222</v>
      </c>
      <c r="CZ4" s="59">
        <f>$CZ$3</f>
        <v>239.44686980897467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1.1856</v>
      </c>
      <c r="D5" s="11">
        <f t="shared" ref="D5:D68" si="32">IFERROR(EXP(-1.0587+0.8836*LN(C5)+0.284),0)</f>
        <v>0.53565338053965594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13.286868200656995</v>
      </c>
      <c r="H5" s="67">
        <f t="shared" si="1"/>
        <v>296.33118297110656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1.3895842336737447</v>
      </c>
      <c r="P5" s="13">
        <f t="shared" ref="P5:P68" si="33">EXP(-1.0587+0.8836*LN(O5)+0.284)</f>
        <v>0.61631841327304715</v>
      </c>
      <c r="Q5" s="20">
        <f t="shared" si="2"/>
        <v>3.4936137767656628</v>
      </c>
      <c r="R5" s="59">
        <f t="shared" si="0"/>
        <v>296.82694711009896</v>
      </c>
      <c r="S5" s="59">
        <f ca="1">AVERAGE(OFFSET($R$3,0,0,'Données projet'!$E$9+1,1))-AVERAGE(OFFSET($H$3,0,0,'Données projet'!$E$9+1,1))</f>
        <v>330.30341204367602</v>
      </c>
      <c r="T5" s="59">
        <f t="shared" ref="T5:T68" si="34">$T$3</f>
        <v>200.36653694091007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4.5555555555555554</v>
      </c>
      <c r="AI5" s="13">
        <f>IF('Données projet'!$A$62&gt;35,AI4+AH5-AQ4,IF(A5&lt;'Données projet'!$A$62,$AF$205^A5,IF(A5='Données projet'!$A$62,'Données projet'!$B$62,AI4+AH5-AQ4)))</f>
        <v>1.6317213032934121</v>
      </c>
      <c r="AJ5" s="13">
        <f>AI5*VLOOKUP('Données projet'!$B$10,Paramètres!$A$1:$I$89,3,0)*VLOOKUP('Données projet'!$B$10,Paramètres!$A$1:$I$89,5,0)</f>
        <v>0.97576933936946042</v>
      </c>
      <c r="AK5" s="13">
        <f t="shared" ref="AK5:AK68" si="35">EXP(-1.0587+0.8836*LN(AJ5)+0.284)</f>
        <v>0.4509612464001207</v>
      </c>
      <c r="AL5" s="20">
        <f t="shared" si="4"/>
        <v>2.4848891035486869</v>
      </c>
      <c r="AM5" s="59">
        <f t="shared" si="5"/>
        <v>295.81822243688202</v>
      </c>
      <c r="AN5" s="59">
        <f ca="1">AVERAGE(OFFSET($AM$3,0,0,'Données projet'!$E$10+1,1))-AVERAGE(OFFSET($H$3,0,0,'Données projet'!$E$10+1,1))</f>
        <v>465.77577582457678</v>
      </c>
      <c r="AO5" s="59">
        <f t="shared" ref="AO5:AO68" si="36">$AO$3</f>
        <v>301.15495784503042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5.85</v>
      </c>
      <c r="BD5" s="12">
        <f>IF('Données projet'!$A$88&gt;35,BD4+BC5-BL4,IF(A5&lt;'Données projet'!$A$88,$BA$205^A5,IF(A5='Données projet'!$A$88,'Données projet'!$B$88,BD4+BC5-BL4)))</f>
        <v>1.6099729755450907</v>
      </c>
      <c r="BE5" s="13">
        <f>BD5*VLOOKUP('Données projet'!$B$11,Paramètres!$A$1:$I$89,3,0)*VLOOKUP('Données projet'!$B$11,Paramètres!$A$1:$I$89,5,0)</f>
        <v>1.2557789209251708</v>
      </c>
      <c r="BF5" s="13">
        <f t="shared" ref="BF5:BF68" si="37">EXP(-1.0587+0.8836*LN(BE5)+0.284)</f>
        <v>0.56357505040869538</v>
      </c>
      <c r="BG5" s="20">
        <f t="shared" si="7"/>
        <v>3.1687081667398167</v>
      </c>
      <c r="BH5" s="59">
        <f t="shared" si="8"/>
        <v>296.50204150007312</v>
      </c>
      <c r="BI5" s="59">
        <f ca="1">AVERAGE(OFFSET($BH$3,0,0,'Données projet'!$E$11+1,1))-AVERAGE(OFFSET($H$3,0,0,'Données projet'!$E$11+1,1))</f>
        <v>219.5868031007679</v>
      </c>
      <c r="BJ5" s="59">
        <f t="shared" ref="BJ5:BJ68" si="38">$BJ$3</f>
        <v>263.3830219837742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3.56</v>
      </c>
      <c r="BY5" s="12">
        <f>IF('Données projet'!$A$114&gt;35,BY4+BX5-CG4,IF(A5&lt;'Données projet'!$A$114,$BV$205^A5,IF(A5='Données projet'!$A$114,'Données projet'!$B$114,BY4+BX5-CG4)))</f>
        <v>1.4320269806236186</v>
      </c>
      <c r="BZ5" s="13">
        <f>BY5*VLOOKUP('Données projet'!$B$12,Paramètres!$A$1:$I$89,3,0)*VLOOKUP('Données projet'!$B$12,Paramètres!$A$1:$I$89,5,0)</f>
        <v>1.5414338419432629</v>
      </c>
      <c r="CA5" s="13">
        <f t="shared" ref="CA5:CA68" si="39">EXP(-1.0587+0.8836*LN(BZ5)+0.284)</f>
        <v>0.67546445077223538</v>
      </c>
      <c r="CB5" s="20">
        <f t="shared" si="10"/>
        <v>3.8610978598128267</v>
      </c>
      <c r="CC5" s="59">
        <f t="shared" si="11"/>
        <v>297.19443119314616</v>
      </c>
      <c r="CD5" s="59">
        <f ca="1">AVERAGE(OFFSET($CC$3,0,0,'Données projet'!$E$12+1,1))-AVERAGE(OFFSET($H$3,0,0,'Données projet'!$E$12+1,1))</f>
        <v>244.7364260963538</v>
      </c>
      <c r="CE5" s="59">
        <f t="shared" ref="CE5:CE68" si="40">$CE$3</f>
        <v>270.32853612539299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3.56</v>
      </c>
      <c r="CT5" s="12">
        <f>IF('Données projet'!$A$140&gt;35,CT4+CS5-DB4,IF(A5&lt;'Données projet'!$A$140,$CQ$205^A5,IF(A5='Données projet'!$A$140,'Données projet'!$B$140,CT4+CS5-DB4)))</f>
        <v>1.4320269806236186</v>
      </c>
      <c r="CU5" s="17">
        <f>CT5*VLOOKUP('Données projet'!$B$13,Paramètres!$A$1:$I$89,3,0)*VLOOKUP('Données projet'!$B$13,Paramètres!$A$1:$I$89,5,0)</f>
        <v>1.385056495659164</v>
      </c>
      <c r="CV5" s="13">
        <f t="shared" ref="CV5:CV68" si="41">EXP(-1.0587+0.8836*LN(CU5)+0.284)</f>
        <v>0.61454365294694935</v>
      </c>
      <c r="CW5" s="20">
        <f t="shared" si="13"/>
        <v>3.4826369254889804</v>
      </c>
      <c r="CX5" s="59">
        <f t="shared" si="14"/>
        <v>296.81597025882229</v>
      </c>
      <c r="CY5" s="59">
        <f ca="1">AVERAGE(OFFSET($CX$3,0,0,'Données projet'!$E$13+1,1))-AVERAGE(OFFSET($H$3,0,0,'Données projet'!$E$13+1,1))</f>
        <v>216.39536568500222</v>
      </c>
      <c r="CZ5" s="59">
        <f t="shared" ref="CZ5:CZ68" si="42">$CZ$3</f>
        <v>239.44686980897467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6" s="11">
        <f t="shared" si="32"/>
        <v>0.76643986660078545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19.644377917620098</v>
      </c>
      <c r="H6" s="67">
        <f t="shared" si="1"/>
        <v>297.76559610099633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1.7220708720671365</v>
      </c>
      <c r="P6" s="13">
        <f t="shared" si="33"/>
        <v>0.74494935243383209</v>
      </c>
      <c r="Q6" s="20">
        <f t="shared" si="2"/>
        <v>4.2967268910058536</v>
      </c>
      <c r="R6" s="59">
        <f t="shared" si="0"/>
        <v>297.63006022433916</v>
      </c>
      <c r="S6" s="59">
        <f ca="1">AVERAGE(OFFSET($R$3,0,0,'Données projet'!$E$9+1,1))-AVERAGE(OFFSET($H$3,0,0,'Données projet'!$E$9+1,1))</f>
        <v>330.30341204367602</v>
      </c>
      <c r="T6" s="59">
        <f t="shared" si="34"/>
        <v>200.36653694091007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4.5555555555555554</v>
      </c>
      <c r="AI6" s="13">
        <f>IF('Données projet'!$A$62&gt;35,AI5+AH6-AQ5,IF(A6&lt;'Données projet'!$A$62,$AF$205^A6,IF(A6='Données projet'!$A$62,'Données projet'!$B$62,AI5+AH6-AQ5)))</f>
        <v>2.0843419790832334</v>
      </c>
      <c r="AJ6" s="13">
        <f>AI6*VLOOKUP('Données projet'!$B$10,Paramètres!$A$1:$I$89,3,0)*VLOOKUP('Données projet'!$B$10,Paramètres!$A$1:$I$89,5,0)</f>
        <v>1.2464365034917737</v>
      </c>
      <c r="AK6" s="13">
        <f t="shared" si="35"/>
        <v>0.55986873761887535</v>
      </c>
      <c r="AL6" s="20">
        <f t="shared" si="4"/>
        <v>3.1459816282677138</v>
      </c>
      <c r="AM6" s="59">
        <f t="shared" si="5"/>
        <v>296.47931496160101</v>
      </c>
      <c r="AN6" s="59">
        <f ca="1">AVERAGE(OFFSET($AM$3,0,0,'Données projet'!$E$10+1,1))-AVERAGE(OFFSET($H$3,0,0,'Données projet'!$E$10+1,1))</f>
        <v>465.77577582457678</v>
      </c>
      <c r="AO6" s="59">
        <f t="shared" si="36"/>
        <v>301.15495784503042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5.85</v>
      </c>
      <c r="BD6" s="12">
        <f>IF('Données projet'!$A$88&gt;35,BD5+BC6-BL5,IF(A6&lt;'Données projet'!$A$88,$BA$205^A6,IF(A6='Données projet'!$A$88,'Données projet'!$B$88,BD5+BC6-BL5)))</f>
        <v>2.0428095489444726</v>
      </c>
      <c r="BE6" s="13">
        <f>BD6*VLOOKUP('Données projet'!$B$11,Paramètres!$A$1:$I$89,3,0)*VLOOKUP('Données projet'!$B$11,Paramètres!$A$1:$I$89,5,0)</f>
        <v>1.5933914481766887</v>
      </c>
      <c r="BF6" s="13">
        <f t="shared" si="37"/>
        <v>0.69554336150668106</v>
      </c>
      <c r="BG6" s="20">
        <f t="shared" si="7"/>
        <v>3.9865614601985349</v>
      </c>
      <c r="BH6" s="59">
        <f t="shared" si="8"/>
        <v>297.31989479353183</v>
      </c>
      <c r="BI6" s="59">
        <f ca="1">AVERAGE(OFFSET($BH$3,0,0,'Données projet'!$E$11+1,1))-AVERAGE(OFFSET($H$3,0,0,'Données projet'!$E$11+1,1))</f>
        <v>219.5868031007679</v>
      </c>
      <c r="BJ6" s="59">
        <f t="shared" si="38"/>
        <v>263.3830219837742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3.56</v>
      </c>
      <c r="BY6" s="12">
        <f>IF('Données projet'!$A$114&gt;35,BY5+BX6-CG5,IF(A6&lt;'Données projet'!$A$114,$BV$205^A6,IF(A6='Données projet'!$A$114,'Données projet'!$B$114,BY5+BX6-CG5)))</f>
        <v>1.7136684488168334</v>
      </c>
      <c r="BZ6" s="13">
        <f>BY6*VLOOKUP('Données projet'!$B$12,Paramètres!$A$1:$I$89,3,0)*VLOOKUP('Données projet'!$B$12,Paramètres!$A$1:$I$89,5,0)</f>
        <v>1.8445927183064394</v>
      </c>
      <c r="CA6" s="13">
        <f t="shared" si="39"/>
        <v>0.79159262200482383</v>
      </c>
      <c r="CB6" s="20">
        <f t="shared" si="10"/>
        <v>4.5913561343754496</v>
      </c>
      <c r="CC6" s="59">
        <f t="shared" si="11"/>
        <v>297.92468946770879</v>
      </c>
      <c r="CD6" s="59">
        <f ca="1">AVERAGE(OFFSET($CC$3,0,0,'Données projet'!$E$12+1,1))-AVERAGE(OFFSET($H$3,0,0,'Données projet'!$E$12+1,1))</f>
        <v>244.7364260963538</v>
      </c>
      <c r="CE6" s="59">
        <f t="shared" si="40"/>
        <v>270.32853612539299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3.56</v>
      </c>
      <c r="CT6" s="12">
        <f>IF('Données projet'!$A$140&gt;35,CT5+CS6-DB5,IF(A6&lt;'Données projet'!$A$140,$CQ$205^A6,IF(A6='Données projet'!$A$140,'Données projet'!$B$140,CT5+CS6-DB5)))</f>
        <v>1.7136684488168334</v>
      </c>
      <c r="CU6" s="17">
        <f>CT6*VLOOKUP('Données projet'!$B$13,Paramètres!$A$1:$I$89,3,0)*VLOOKUP('Données projet'!$B$13,Paramètres!$A$1:$I$89,5,0)</f>
        <v>1.6574601236956414</v>
      </c>
      <c r="CV6" s="13">
        <f t="shared" si="41"/>
        <v>0.72019811111678123</v>
      </c>
      <c r="CW6" s="20">
        <f t="shared" si="13"/>
        <v>4.1410880922983022</v>
      </c>
      <c r="CX6" s="59">
        <f t="shared" si="14"/>
        <v>297.47442142563159</v>
      </c>
      <c r="CY6" s="59">
        <f ca="1">AVERAGE(OFFSET($CX$3,0,0,'Données projet'!$E$13+1,1))-AVERAGE(OFFSET($H$3,0,0,'Données projet'!$E$13+1,1))</f>
        <v>216.39536568500222</v>
      </c>
      <c r="CZ6" s="59">
        <f t="shared" si="42"/>
        <v>239.44686980897467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2.3712</v>
      </c>
      <c r="D7" s="11">
        <f t="shared" si="32"/>
        <v>0.98826622754673499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25.932721756501113</v>
      </c>
      <c r="H7" s="67">
        <f t="shared" si="1"/>
        <v>299.18440367964388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2.1341117843442179</v>
      </c>
      <c r="P7" s="13">
        <f t="shared" si="33"/>
        <v>0.90042667189585779</v>
      </c>
      <c r="Q7" s="20">
        <f t="shared" si="2"/>
        <v>5.2851544779514645</v>
      </c>
      <c r="R7" s="59">
        <f t="shared" si="0"/>
        <v>298.61848781128475</v>
      </c>
      <c r="S7" s="59">
        <f ca="1">AVERAGE(OFFSET($R$3,0,0,'Données projet'!$E$9+1,1))-AVERAGE(OFFSET($H$3,0,0,'Données projet'!$E$9+1,1))</f>
        <v>330.30341204367602</v>
      </c>
      <c r="T7" s="59">
        <f t="shared" si="34"/>
        <v>200.36653694091007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4.5555555555555554</v>
      </c>
      <c r="AI7" s="13">
        <f>IF('Données projet'!$A$62&gt;35,AI6+AH7-AQ6,IF(A7&lt;'Données projet'!$A$62,$AF$205^A7,IF(A7='Données projet'!$A$62,'Données projet'!$B$62,AI6+AH7-AQ6)))</f>
        <v>2.6625144116215513</v>
      </c>
      <c r="AJ7" s="13">
        <f>AI7*VLOOKUP('Données projet'!$B$10,Paramètres!$A$1:$I$89,3,0)*VLOOKUP('Données projet'!$B$10,Paramètres!$A$1:$I$89,5,0)</f>
        <v>1.5921836181496878</v>
      </c>
      <c r="AK7" s="13">
        <f t="shared" si="35"/>
        <v>0.695077472543701</v>
      </c>
      <c r="AL7" s="20">
        <f t="shared" si="4"/>
        <v>3.9836463996243183</v>
      </c>
      <c r="AM7" s="59">
        <f t="shared" si="5"/>
        <v>297.31697973295763</v>
      </c>
      <c r="AN7" s="59">
        <f ca="1">AVERAGE(OFFSET($AM$3,0,0,'Données projet'!$E$10+1,1))-AVERAGE(OFFSET($H$3,0,0,'Données projet'!$E$10+1,1))</f>
        <v>465.77577582457678</v>
      </c>
      <c r="AO7" s="59">
        <f t="shared" si="36"/>
        <v>301.15495784503042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5.85</v>
      </c>
      <c r="BD7" s="12">
        <f>IF('Données projet'!$A$88&gt;35,BD6+BC7-BL6,IF(A7&lt;'Données projet'!$A$88,$BA$205^A7,IF(A7='Données projet'!$A$88,'Données projet'!$B$88,BD6+BC7-BL6)))</f>
        <v>2.5920129819855133</v>
      </c>
      <c r="BE7" s="13">
        <f>BD7*VLOOKUP('Données projet'!$B$11,Paramètres!$A$1:$I$89,3,0)*VLOOKUP('Données projet'!$B$11,Paramètres!$A$1:$I$89,5,0)</f>
        <v>2.0217701259487004</v>
      </c>
      <c r="BF7" s="13">
        <f t="shared" si="37"/>
        <v>0.85841374167501538</v>
      </c>
      <c r="BG7" s="20">
        <f t="shared" si="7"/>
        <v>5.0163202361113051</v>
      </c>
      <c r="BH7" s="59">
        <f t="shared" si="8"/>
        <v>298.34965356944463</v>
      </c>
      <c r="BI7" s="59">
        <f ca="1">AVERAGE(OFFSET($BH$3,0,0,'Données projet'!$E$11+1,1))-AVERAGE(OFFSET($H$3,0,0,'Données projet'!$E$11+1,1))</f>
        <v>219.5868031007679</v>
      </c>
      <c r="BJ7" s="59">
        <f t="shared" si="38"/>
        <v>263.3830219837742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3.56</v>
      </c>
      <c r="BY7" s="12">
        <f>IF('Données projet'!$A$114&gt;35,BY6+BX7-CG6,IF(A7&lt;'Données projet'!$A$114,$BV$205^A7,IF(A7='Données projet'!$A$114,'Données projet'!$B$114,BY6+BX7-CG6)))</f>
        <v>2.0507012732339978</v>
      </c>
      <c r="BZ7" s="13">
        <f>BY7*VLOOKUP('Données projet'!$B$12,Paramètres!$A$1:$I$89,3,0)*VLOOKUP('Données projet'!$B$12,Paramètres!$A$1:$I$89,5,0)</f>
        <v>2.2073748505090749</v>
      </c>
      <c r="CA7" s="13">
        <f t="shared" si="39"/>
        <v>0.9276859477890802</v>
      </c>
      <c r="CB7" s="20">
        <f t="shared" si="10"/>
        <v>5.460230890369286</v>
      </c>
      <c r="CC7" s="59">
        <f t="shared" si="11"/>
        <v>298.79356422370262</v>
      </c>
      <c r="CD7" s="59">
        <f ca="1">AVERAGE(OFFSET($CC$3,0,0,'Données projet'!$E$12+1,1))-AVERAGE(OFFSET($H$3,0,0,'Données projet'!$E$12+1,1))</f>
        <v>244.7364260963538</v>
      </c>
      <c r="CE7" s="59">
        <f t="shared" si="40"/>
        <v>270.32853612539299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3.56</v>
      </c>
      <c r="CT7" s="12">
        <f>IF('Données projet'!$A$140&gt;35,CT6+CS7-DB6,IF(A7&lt;'Données projet'!$A$140,$CQ$205^A7,IF(A7='Données projet'!$A$140,'Données projet'!$B$140,CT6+CS7-DB6)))</f>
        <v>2.0507012732339978</v>
      </c>
      <c r="CU7" s="17">
        <f>CT7*VLOOKUP('Données projet'!$B$13,Paramètres!$A$1:$I$89,3,0)*VLOOKUP('Données projet'!$B$13,Paramètres!$A$1:$I$89,5,0)</f>
        <v>1.9834382714719228</v>
      </c>
      <c r="CV7" s="13">
        <f t="shared" si="41"/>
        <v>0.84401704707046299</v>
      </c>
      <c r="CW7" s="20">
        <f t="shared" si="13"/>
        <v>4.9244846797946549</v>
      </c>
      <c r="CX7" s="59">
        <f t="shared" si="14"/>
        <v>298.25781801312797</v>
      </c>
      <c r="CY7" s="59">
        <f ca="1">AVERAGE(OFFSET($CX$3,0,0,'Données projet'!$E$13+1,1))-AVERAGE(OFFSET($H$3,0,0,'Données projet'!$E$13+1,1))</f>
        <v>216.39536568500222</v>
      </c>
      <c r="CZ7" s="59">
        <f t="shared" si="42"/>
        <v>239.44686980897467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2.964</v>
      </c>
      <c r="D8" s="11">
        <f t="shared" si="32"/>
        <v>1.2036594830385248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32.17140653573599</v>
      </c>
      <c r="H8" s="67">
        <f t="shared" si="1"/>
        <v>300.59200693295872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2.6447419684939089</v>
      </c>
      <c r="P8" s="13">
        <f t="shared" si="33"/>
        <v>1.0883534414958294</v>
      </c>
      <c r="Q8" s="20">
        <f t="shared" si="2"/>
        <v>6.5018078390654601</v>
      </c>
      <c r="R8" s="59">
        <f t="shared" si="0"/>
        <v>299.83514117239878</v>
      </c>
      <c r="S8" s="59">
        <f ca="1">AVERAGE(OFFSET($R$3,0,0,'Données projet'!$E$9+1,1))-AVERAGE(OFFSET($H$3,0,0,'Données projet'!$E$9+1,1))</f>
        <v>330.30341204367602</v>
      </c>
      <c r="T8" s="59">
        <f t="shared" si="34"/>
        <v>200.36653694091007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4.5555555555555554</v>
      </c>
      <c r="AI8" s="13">
        <f>IF('Données projet'!$A$62&gt;35,AI7+AH8-AQ7,IF(A8&lt;'Données projet'!$A$62,$AF$205^A8,IF(A8='Données projet'!$A$62,'Données projet'!$B$62,AI7+AH8-AQ7)))</f>
        <v>3.4010652106188637</v>
      </c>
      <c r="AJ8" s="13">
        <f>AI8*VLOOKUP('Données projet'!$B$10,Paramètres!$A$1:$I$89,3,0)*VLOOKUP('Données projet'!$B$10,Paramètres!$A$1:$I$89,5,0)</f>
        <v>2.0338369959500806</v>
      </c>
      <c r="AK8" s="13">
        <f t="shared" si="35"/>
        <v>0.86293922195496275</v>
      </c>
      <c r="AL8" s="20">
        <f t="shared" si="4"/>
        <v>5.0452185795179503</v>
      </c>
      <c r="AM8" s="59">
        <f t="shared" si="5"/>
        <v>298.37855191285126</v>
      </c>
      <c r="AN8" s="59">
        <f ca="1">AVERAGE(OFFSET($AM$3,0,0,'Données projet'!$E$10+1,1))-AVERAGE(OFFSET($H$3,0,0,'Données projet'!$E$10+1,1))</f>
        <v>465.77577582457678</v>
      </c>
      <c r="AO8" s="59">
        <f t="shared" si="36"/>
        <v>301.15495784503042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5.85</v>
      </c>
      <c r="BD8" s="12">
        <f>IF('Données projet'!$A$88&gt;35,BD7+BC8-BL7,IF(A8&lt;'Données projet'!$A$88,$BA$205^A8,IF(A8='Données projet'!$A$88,'Données projet'!$B$88,BD7+BC8-BL7)))</f>
        <v>3.2888681679860574</v>
      </c>
      <c r="BE8" s="13">
        <f>BD8*VLOOKUP('Données projet'!$B$11,Paramètres!$A$1:$I$89,3,0)*VLOOKUP('Données projet'!$B$11,Paramètres!$A$1:$I$89,5,0)</f>
        <v>2.5653171710291249</v>
      </c>
      <c r="BF8" s="13">
        <f t="shared" si="37"/>
        <v>1.0594223058937526</v>
      </c>
      <c r="BG8" s="20">
        <f t="shared" si="7"/>
        <v>6.3130879223073455</v>
      </c>
      <c r="BH8" s="59">
        <f t="shared" si="8"/>
        <v>299.64642125564063</v>
      </c>
      <c r="BI8" s="59">
        <f ca="1">AVERAGE(OFFSET($BH$3,0,0,'Données projet'!$E$11+1,1))-AVERAGE(OFFSET($H$3,0,0,'Données projet'!$E$11+1,1))</f>
        <v>219.5868031007679</v>
      </c>
      <c r="BJ8" s="59">
        <f t="shared" si="38"/>
        <v>263.3830219837742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3.56</v>
      </c>
      <c r="BY8" s="12">
        <f>IF('Données projet'!$A$114&gt;35,BY7+BX8-CG7,IF(A8&lt;'Données projet'!$A$114,$BV$205^A8,IF(A8='Données projet'!$A$114,'Données projet'!$B$114,BY7+BX8-CG7)))</f>
        <v>2.4540194545491301</v>
      </c>
      <c r="BZ8" s="13">
        <f>BY8*VLOOKUP('Données projet'!$B$12,Paramètres!$A$1:$I$89,3,0)*VLOOKUP('Données projet'!$B$12,Paramètres!$A$1:$I$89,5,0)</f>
        <v>2.6415065408766836</v>
      </c>
      <c r="CA8" s="13">
        <f t="shared" si="39"/>
        <v>1.0871769061537309</v>
      </c>
      <c r="CB8" s="20">
        <f t="shared" si="10"/>
        <v>6.4941236702446394</v>
      </c>
      <c r="CC8" s="59">
        <f t="shared" si="11"/>
        <v>299.82745700357793</v>
      </c>
      <c r="CD8" s="59">
        <f ca="1">AVERAGE(OFFSET($CC$3,0,0,'Données projet'!$E$12+1,1))-AVERAGE(OFFSET($H$3,0,0,'Données projet'!$E$12+1,1))</f>
        <v>244.7364260963538</v>
      </c>
      <c r="CE8" s="59">
        <f t="shared" si="40"/>
        <v>270.32853612539299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3.56</v>
      </c>
      <c r="CT8" s="12">
        <f>IF('Données projet'!$A$140&gt;35,CT7+CS8-DB7,IF(A8&lt;'Données projet'!$A$140,$CQ$205^A8,IF(A8='Données projet'!$A$140,'Données projet'!$B$140,CT7+CS8-DB7)))</f>
        <v>2.4540194545491301</v>
      </c>
      <c r="CU8" s="17">
        <f>CT8*VLOOKUP('Données projet'!$B$13,Paramètres!$A$1:$I$89,3,0)*VLOOKUP('Données projet'!$B$13,Paramètres!$A$1:$I$89,5,0)</f>
        <v>2.3735276164399188</v>
      </c>
      <c r="CV8" s="13">
        <f t="shared" si="41"/>
        <v>0.98912336029444692</v>
      </c>
      <c r="CW8" s="20">
        <f t="shared" si="13"/>
        <v>5.8566171178123545</v>
      </c>
      <c r="CX8" s="59">
        <f t="shared" si="14"/>
        <v>299.18995045114565</v>
      </c>
      <c r="CY8" s="59">
        <f ca="1">AVERAGE(OFFSET($CX$3,0,0,'Données projet'!$E$13+1,1))-AVERAGE(OFFSET($H$3,0,0,'Données projet'!$E$13+1,1))</f>
        <v>216.39536568500222</v>
      </c>
      <c r="CZ8" s="59">
        <f t="shared" si="42"/>
        <v>239.44686980897467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9" s="11">
        <f t="shared" si="32"/>
        <v>1.4140611505968179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38.37155975899298</v>
      </c>
      <c r="H9" s="67">
        <f t="shared" si="1"/>
        <v>301.9909165039561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3.2775509376901719</v>
      </c>
      <c r="P9" s="13">
        <f t="shared" si="33"/>
        <v>1.315502139804245</v>
      </c>
      <c r="Q9" s="20">
        <f t="shared" si="2"/>
        <v>7.9995674433027766</v>
      </c>
      <c r="R9" s="59">
        <f t="shared" si="0"/>
        <v>301.33290077663611</v>
      </c>
      <c r="S9" s="59">
        <f ca="1">AVERAGE(OFFSET($R$3,0,0,'Données projet'!$E$9+1,1))-AVERAGE(OFFSET($H$3,0,0,'Données projet'!$E$9+1,1))</f>
        <v>330.30341204367602</v>
      </c>
      <c r="T9" s="59">
        <f t="shared" si="34"/>
        <v>200.36653694091007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4.5555555555555554</v>
      </c>
      <c r="AI9" s="13">
        <f>IF('Données projet'!$A$62&gt;35,AI8+AH9-AQ8,IF(A9&lt;'Données projet'!$A$62,$AF$205^A9,IF(A9='Données projet'!$A$62,'Données projet'!$B$62,AI8+AH9-AQ8)))</f>
        <v>4.3444814857686103</v>
      </c>
      <c r="AJ9" s="13">
        <f>AI9*VLOOKUP('Données projet'!$B$10,Paramètres!$A$1:$I$89,3,0)*VLOOKUP('Données projet'!$B$10,Paramètres!$A$1:$I$89,5,0)</f>
        <v>2.5979999284896289</v>
      </c>
      <c r="AK9" s="13">
        <f t="shared" si="35"/>
        <v>1.0713397142092214</v>
      </c>
      <c r="AL9" s="20">
        <f t="shared" si="4"/>
        <v>6.390766544367164</v>
      </c>
      <c r="AM9" s="59">
        <f t="shared" si="5"/>
        <v>299.7240998777005</v>
      </c>
      <c r="AN9" s="59">
        <f ca="1">AVERAGE(OFFSET($AM$3,0,0,'Données projet'!$E$10+1,1))-AVERAGE(OFFSET($H$3,0,0,'Données projet'!$E$10+1,1))</f>
        <v>465.77577582457678</v>
      </c>
      <c r="AO9" s="59">
        <f t="shared" si="36"/>
        <v>301.15495784503042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5.85</v>
      </c>
      <c r="BD9" s="12">
        <f>IF('Données projet'!$A$88&gt;35,BD8+BC9-BL8,IF(A9&lt;'Données projet'!$A$88,$BA$205^A9,IF(A9='Données projet'!$A$88,'Données projet'!$B$88,BD8+BC9-BL8)))</f>
        <v>4.1730708532587206</v>
      </c>
      <c r="BE9" s="13">
        <f>BD9*VLOOKUP('Données projet'!$B$11,Paramètres!$A$1:$I$89,3,0)*VLOOKUP('Données projet'!$B$11,Paramètres!$A$1:$I$89,5,0)</f>
        <v>3.2549952655418024</v>
      </c>
      <c r="BF9" s="13">
        <f t="shared" si="37"/>
        <v>1.3074995980786071</v>
      </c>
      <c r="BG9" s="20">
        <f t="shared" si="7"/>
        <v>7.9463452208055463</v>
      </c>
      <c r="BH9" s="59">
        <f t="shared" si="8"/>
        <v>301.27967855413885</v>
      </c>
      <c r="BI9" s="59">
        <f ca="1">AVERAGE(OFFSET($BH$3,0,0,'Données projet'!$E$11+1,1))-AVERAGE(OFFSET($H$3,0,0,'Données projet'!$E$11+1,1))</f>
        <v>219.5868031007679</v>
      </c>
      <c r="BJ9" s="59">
        <f t="shared" si="38"/>
        <v>263.3830219837742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3.56</v>
      </c>
      <c r="BY9" s="12">
        <f>IF('Données projet'!$A$114&gt;35,BY8+BX9-CG8,IF(A9&lt;'Données projet'!$A$114,$BV$205^A9,IF(A9='Données projet'!$A$114,'Données projet'!$B$114,BY8+BX9-CG8)))</f>
        <v>2.9366595524702919</v>
      </c>
      <c r="BZ9" s="13">
        <f>BY9*VLOOKUP('Données projet'!$B$12,Paramètres!$A$1:$I$89,3,0)*VLOOKUP('Données projet'!$B$12,Paramètres!$A$1:$I$89,5,0)</f>
        <v>3.1610203422790217</v>
      </c>
      <c r="CA9" s="13">
        <f t="shared" si="39"/>
        <v>1.2740880985541549</v>
      </c>
      <c r="CB9" s="20">
        <f t="shared" si="10"/>
        <v>7.7244805344511152</v>
      </c>
      <c r="CC9" s="59">
        <f t="shared" si="11"/>
        <v>301.05781386778443</v>
      </c>
      <c r="CD9" s="59">
        <f ca="1">AVERAGE(OFFSET($CC$3,0,0,'Données projet'!$E$12+1,1))-AVERAGE(OFFSET($H$3,0,0,'Données projet'!$E$12+1,1))</f>
        <v>244.7364260963538</v>
      </c>
      <c r="CE9" s="59">
        <f t="shared" si="40"/>
        <v>270.32853612539299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3.56</v>
      </c>
      <c r="CT9" s="12">
        <f>IF('Données projet'!$A$140&gt;35,CT8+CS9-DB8,IF(A9&lt;'Données projet'!$A$140,$CQ$205^A9,IF(A9='Données projet'!$A$140,'Données projet'!$B$140,CT8+CS9-DB8)))</f>
        <v>2.9366595524702919</v>
      </c>
      <c r="CU9" s="17">
        <f>CT9*VLOOKUP('Données projet'!$B$13,Paramètres!$A$1:$I$89,3,0)*VLOOKUP('Données projet'!$B$13,Paramètres!$A$1:$I$89,5,0)</f>
        <v>2.8403371191492663</v>
      </c>
      <c r="CV9" s="13">
        <f t="shared" si="41"/>
        <v>1.1591768498942405</v>
      </c>
      <c r="CW9" s="20">
        <f t="shared" si="13"/>
        <v>6.9658201627507745</v>
      </c>
      <c r="CX9" s="59">
        <f t="shared" si="14"/>
        <v>300.2991534960841</v>
      </c>
      <c r="CY9" s="59">
        <f ca="1">AVERAGE(OFFSET($CX$3,0,0,'Données projet'!$E$13+1,1))-AVERAGE(OFFSET($H$3,0,0,'Données projet'!$E$13+1,1))</f>
        <v>216.39536568500222</v>
      </c>
      <c r="CZ9" s="59">
        <f t="shared" si="42"/>
        <v>239.44686980897467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4.1495999999999995</v>
      </c>
      <c r="D10" s="11">
        <f t="shared" si="32"/>
        <v>1.6204005208300996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44.540354897635858</v>
      </c>
      <c r="H10" s="67">
        <f t="shared" si="1"/>
        <v>303.38275090711238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4.0617724818240486</v>
      </c>
      <c r="P10" s="13">
        <f t="shared" si="33"/>
        <v>1.590058719758437</v>
      </c>
      <c r="Q10" s="20">
        <f t="shared" si="2"/>
        <v>9.8436060094228282</v>
      </c>
      <c r="R10" s="59">
        <f t="shared" si="0"/>
        <v>303.17693934275616</v>
      </c>
      <c r="S10" s="59">
        <f ca="1">AVERAGE(OFFSET($R$3,0,0,'Données projet'!$E$9+1,1))-AVERAGE(OFFSET($H$3,0,0,'Données projet'!$E$9+1,1))</f>
        <v>330.30341204367602</v>
      </c>
      <c r="T10" s="59">
        <f t="shared" si="34"/>
        <v>200.36653694091007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4.5555555555555554</v>
      </c>
      <c r="AI10" s="13">
        <f>IF('Données projet'!$A$62&gt;35,AI9+AH10-AQ9,IF(A10&lt;'Données projet'!$A$62,$AF$205^A10,IF(A10='Données projet'!$A$62,'Données projet'!$B$62,AI9+AH10-AQ9)))</f>
        <v>5.5495905580568952</v>
      </c>
      <c r="AJ10" s="13">
        <f>AI10*VLOOKUP('Données projet'!$B$10,Paramètres!$A$1:$I$89,3,0)*VLOOKUP('Données projet'!$B$10,Paramètres!$A$1:$I$89,5,0)</f>
        <v>3.3186551537180233</v>
      </c>
      <c r="AK10" s="13">
        <f t="shared" si="35"/>
        <v>1.3300690871851442</v>
      </c>
      <c r="AL10" s="20">
        <f t="shared" si="4"/>
        <v>8.0965280529063506</v>
      </c>
      <c r="AM10" s="59">
        <f t="shared" si="5"/>
        <v>301.42986138623968</v>
      </c>
      <c r="AN10" s="59">
        <f ca="1">AVERAGE(OFFSET($AM$3,0,0,'Données projet'!$E$10+1,1))-AVERAGE(OFFSET($H$3,0,0,'Données projet'!$E$10+1,1))</f>
        <v>465.77577582457678</v>
      </c>
      <c r="AO10" s="59">
        <f t="shared" si="36"/>
        <v>301.15495784503042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5.85</v>
      </c>
      <c r="BD10" s="12">
        <f>IF('Données projet'!$A$88&gt;35,BD9+BC10-BL9,IF(A10&lt;'Données projet'!$A$88,$BA$205^A10,IF(A10='Données projet'!$A$88,'Données projet'!$B$88,BD9+BC10-BL9)))</f>
        <v>5.2949888705880443</v>
      </c>
      <c r="BE10" s="13">
        <f>BD10*VLOOKUP('Données projet'!$B$11,Paramètres!$A$1:$I$89,3,0)*VLOOKUP('Données projet'!$B$11,Paramètres!$A$1:$I$89,5,0)</f>
        <v>4.1300913190586748</v>
      </c>
      <c r="BF10" s="13">
        <f t="shared" si="37"/>
        <v>1.6136673633027767</v>
      </c>
      <c r="BG10" s="20">
        <f t="shared" si="7"/>
        <v>10.003713038446195</v>
      </c>
      <c r="BH10" s="59">
        <f t="shared" si="8"/>
        <v>303.33704637177954</v>
      </c>
      <c r="BI10" s="59">
        <f ca="1">AVERAGE(OFFSET($BH$3,0,0,'Données projet'!$E$11+1,1))-AVERAGE(OFFSET($H$3,0,0,'Données projet'!$E$11+1,1))</f>
        <v>219.5868031007679</v>
      </c>
      <c r="BJ10" s="59">
        <f t="shared" si="38"/>
        <v>263.3830219837742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3.56</v>
      </c>
      <c r="BY10" s="12">
        <f>IF('Données projet'!$A$114&gt;35,BY9+BX10-CG9,IF(A10&lt;'Données projet'!$A$114,$BV$205^A10,IF(A10='Données projet'!$A$114,'Données projet'!$B$114,BY9+BX10-CG9)))</f>
        <v>3.5142220698896103</v>
      </c>
      <c r="BZ10" s="13">
        <f>BY10*VLOOKUP('Données projet'!$B$12,Paramètres!$A$1:$I$89,3,0)*VLOOKUP('Données projet'!$B$12,Paramètres!$A$1:$I$89,5,0)</f>
        <v>3.7827086360291764</v>
      </c>
      <c r="CA10" s="13">
        <f t="shared" si="39"/>
        <v>1.493133705921271</v>
      </c>
      <c r="CB10" s="20">
        <f t="shared" si="10"/>
        <v>9.1887587455636961</v>
      </c>
      <c r="CC10" s="59">
        <f t="shared" si="11"/>
        <v>302.522092078897</v>
      </c>
      <c r="CD10" s="59">
        <f ca="1">AVERAGE(OFFSET($CC$3,0,0,'Données projet'!$E$12+1,1))-AVERAGE(OFFSET($H$3,0,0,'Données projet'!$E$12+1,1))</f>
        <v>244.7364260963538</v>
      </c>
      <c r="CE10" s="59">
        <f t="shared" si="40"/>
        <v>270.32853612539299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3.56</v>
      </c>
      <c r="CT10" s="12">
        <f>IF('Données projet'!$A$140&gt;35,CT9+CS10-DB9,IF(A10&lt;'Données projet'!$A$140,$CQ$205^A10,IF(A10='Données projet'!$A$140,'Données projet'!$B$140,CT9+CS10-DB9)))</f>
        <v>3.5142220698896103</v>
      </c>
      <c r="CU10" s="17">
        <f>CT10*VLOOKUP('Données projet'!$B$13,Paramètres!$A$1:$I$89,3,0)*VLOOKUP('Données projet'!$B$13,Paramètres!$A$1:$I$89,5,0)</f>
        <v>3.3989555859972311</v>
      </c>
      <c r="CV10" s="13">
        <f t="shared" si="41"/>
        <v>1.3584665202232593</v>
      </c>
      <c r="CW10" s="20">
        <f t="shared" si="13"/>
        <v>8.2858435016673528</v>
      </c>
      <c r="CX10" s="59">
        <f t="shared" si="14"/>
        <v>301.61917683500064</v>
      </c>
      <c r="CY10" s="59">
        <f ca="1">AVERAGE(OFFSET($CX$3,0,0,'Données projet'!$E$13+1,1))-AVERAGE(OFFSET($H$3,0,0,'Données projet'!$E$13+1,1))</f>
        <v>216.39536568500222</v>
      </c>
      <c r="CZ10" s="59">
        <f t="shared" si="42"/>
        <v>239.44686980897467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4.7423999999999999</v>
      </c>
      <c r="D11" s="11">
        <f t="shared" si="32"/>
        <v>1.8233248813355514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50.682788557677945</v>
      </c>
      <c r="H11" s="67">
        <f t="shared" si="1"/>
        <v>304.76863750165938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5.0336351769196082</v>
      </c>
      <c r="P11" s="13">
        <f t="shared" si="33"/>
        <v>1.9219176128866391</v>
      </c>
      <c r="Q11" s="20">
        <f t="shared" si="2"/>
        <v>12.11425444224588</v>
      </c>
      <c r="R11" s="59">
        <f t="shared" si="0"/>
        <v>305.44758777557922</v>
      </c>
      <c r="S11" s="59">
        <f ca="1">AVERAGE(OFFSET($R$3,0,0,'Données projet'!$E$9+1,1))-AVERAGE(OFFSET($H$3,0,0,'Données projet'!$E$9+1,1))</f>
        <v>330.30341204367602</v>
      </c>
      <c r="T11" s="59">
        <f t="shared" si="34"/>
        <v>200.36653694091007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4.5555555555555554</v>
      </c>
      <c r="AI11" s="13">
        <f>IF('Données projet'!$A$62&gt;35,AI10+AH11-AQ10,IF(A11&lt;'Données projet'!$A$62,$AF$205^A11,IF(A11='Données projet'!$A$62,'Données projet'!$B$62,AI10+AH11-AQ10)))</f>
        <v>7.0889829920924559</v>
      </c>
      <c r="AJ11" s="13">
        <f>AI11*VLOOKUP('Données projet'!$B$10,Paramètres!$A$1:$I$89,3,0)*VLOOKUP('Données projet'!$B$10,Paramètres!$A$1:$I$89,5,0)</f>
        <v>4.239211829271289</v>
      </c>
      <c r="AK11" s="13">
        <f t="shared" si="35"/>
        <v>1.6512818046620454</v>
      </c>
      <c r="AL11" s="20">
        <f t="shared" si="4"/>
        <v>10.25927641243389</v>
      </c>
      <c r="AM11" s="59">
        <f t="shared" si="5"/>
        <v>303.59260974576722</v>
      </c>
      <c r="AN11" s="59">
        <f ca="1">AVERAGE(OFFSET($AM$3,0,0,'Données projet'!$E$10+1,1))-AVERAGE(OFFSET($H$3,0,0,'Données projet'!$E$10+1,1))</f>
        <v>465.77577582457678</v>
      </c>
      <c r="AO11" s="59">
        <f t="shared" si="36"/>
        <v>301.15495784503042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5.85</v>
      </c>
      <c r="BD11" s="12">
        <f>IF('Données projet'!$A$88&gt;35,BD10+BC11-BL10,IF(A11&lt;'Données projet'!$A$88,$BA$205^A11,IF(A11='Données projet'!$A$88,'Données projet'!$B$88,BD10+BC11-BL10)))</f>
        <v>6.718531298781433</v>
      </c>
      <c r="BE11" s="13">
        <f>BD11*VLOOKUP('Données projet'!$B$11,Paramètres!$A$1:$I$89,3,0)*VLOOKUP('Données projet'!$B$11,Paramètres!$A$1:$I$89,5,0)</f>
        <v>5.2404544130495179</v>
      </c>
      <c r="BF11" s="13">
        <f t="shared" si="37"/>
        <v>1.9915282293126844</v>
      </c>
      <c r="BG11" s="20">
        <f t="shared" si="7"/>
        <v>12.59570310211417</v>
      </c>
      <c r="BH11" s="59">
        <f t="shared" si="8"/>
        <v>305.92903643544747</v>
      </c>
      <c r="BI11" s="59">
        <f ca="1">AVERAGE(OFFSET($BH$3,0,0,'Données projet'!$E$11+1,1))-AVERAGE(OFFSET($H$3,0,0,'Données projet'!$E$11+1,1))</f>
        <v>219.5868031007679</v>
      </c>
      <c r="BJ11" s="59">
        <f t="shared" si="38"/>
        <v>263.3830219837742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3.56</v>
      </c>
      <c r="BY11" s="12">
        <f>IF('Données projet'!$A$114&gt;35,BY10+BX11-CG10,IF(A11&lt;'Données projet'!$A$114,$BV$205^A11,IF(A11='Données projet'!$A$114,'Données projet'!$B$114,BY10+BX11-CG10)))</f>
        <v>4.2053757120435398</v>
      </c>
      <c r="BZ11" s="13">
        <f>BY11*VLOOKUP('Données projet'!$B$12,Paramètres!$A$1:$I$89,3,0)*VLOOKUP('Données projet'!$B$12,Paramètres!$A$1:$I$89,5,0)</f>
        <v>4.5266664164436659</v>
      </c>
      <c r="CA11" s="13">
        <f t="shared" si="39"/>
        <v>1.7498383873832459</v>
      </c>
      <c r="CB11" s="20">
        <f t="shared" si="10"/>
        <v>10.931579199998538</v>
      </c>
      <c r="CC11" s="59">
        <f t="shared" si="11"/>
        <v>304.26491253333188</v>
      </c>
      <c r="CD11" s="59">
        <f ca="1">AVERAGE(OFFSET($CC$3,0,0,'Données projet'!$E$12+1,1))-AVERAGE(OFFSET($H$3,0,0,'Données projet'!$E$12+1,1))</f>
        <v>244.7364260963538</v>
      </c>
      <c r="CE11" s="59">
        <f t="shared" si="40"/>
        <v>270.32853612539299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3.56</v>
      </c>
      <c r="CT11" s="12">
        <f>IF('Données projet'!$A$140&gt;35,CT10+CS11-DB10,IF(A11&lt;'Données projet'!$A$140,$CQ$205^A11,IF(A11='Données projet'!$A$140,'Données projet'!$B$140,CT10+CS11-DB10)))</f>
        <v>4.2053757120435398</v>
      </c>
      <c r="CU11" s="17">
        <f>CT11*VLOOKUP('Données projet'!$B$13,Paramètres!$A$1:$I$89,3,0)*VLOOKUP('Données projet'!$B$13,Paramètres!$A$1:$I$89,5,0)</f>
        <v>4.0674393886885118</v>
      </c>
      <c r="CV11" s="13">
        <f t="shared" si="41"/>
        <v>1.5920187560128227</v>
      </c>
      <c r="CW11" s="20">
        <f t="shared" si="13"/>
        <v>9.8568896020214911</v>
      </c>
      <c r="CX11" s="59">
        <f t="shared" si="14"/>
        <v>303.19022293535483</v>
      </c>
      <c r="CY11" s="59">
        <f ca="1">AVERAGE(OFFSET($CX$3,0,0,'Données projet'!$E$13+1,1))-AVERAGE(OFFSET($H$3,0,0,'Données projet'!$E$13+1,1))</f>
        <v>216.39536568500222</v>
      </c>
      <c r="CZ11" s="59">
        <f t="shared" si="42"/>
        <v>239.44686980897467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5.3352000000000004</v>
      </c>
      <c r="D12" s="11">
        <f t="shared" si="32"/>
        <v>2.0233099967312582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56.802533308100955</v>
      </c>
      <c r="H12" s="67">
        <f t="shared" si="1"/>
        <v>306.1494049109736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6.2380360317336141</v>
      </c>
      <c r="P12" s="13">
        <f t="shared" si="33"/>
        <v>2.3230383034439352</v>
      </c>
      <c r="Q12" s="20">
        <f t="shared" si="2"/>
        <v>14.910537800434229</v>
      </c>
      <c r="R12" s="59">
        <f t="shared" si="0"/>
        <v>308.24387113376753</v>
      </c>
      <c r="S12" s="59">
        <f ca="1">AVERAGE(OFFSET($R$3,0,0,'Données projet'!$E$9+1,1))-AVERAGE(OFFSET($H$3,0,0,'Données projet'!$E$9+1,1))</f>
        <v>330.30341204367602</v>
      </c>
      <c r="T12" s="59">
        <f t="shared" si="34"/>
        <v>200.36653694091007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4.5555555555555554</v>
      </c>
      <c r="AI12" s="13">
        <f>IF('Données projet'!$A$62&gt;35,AI11+AH12-AQ11,IF(A12&lt;'Données projet'!$A$62,$AF$205^A12,IF(A12='Données projet'!$A$62,'Données projet'!$B$62,AI11+AH12-AQ11)))</f>
        <v>9.055385138137412</v>
      </c>
      <c r="AJ12" s="13">
        <f>AI12*VLOOKUP('Données projet'!$B$10,Paramètres!$A$1:$I$89,3,0)*VLOOKUP('Données projet'!$B$10,Paramètres!$A$1:$I$89,5,0)</f>
        <v>5.415120312606172</v>
      </c>
      <c r="AK12" s="13">
        <f t="shared" si="35"/>
        <v>2.0500676428610074</v>
      </c>
      <c r="AL12" s="20">
        <f t="shared" si="4"/>
        <v>13.001869022438671</v>
      </c>
      <c r="AM12" s="59">
        <f t="shared" si="5"/>
        <v>306.33520235577197</v>
      </c>
      <c r="AN12" s="59">
        <f ca="1">AVERAGE(OFFSET($AM$3,0,0,'Données projet'!$E$10+1,1))-AVERAGE(OFFSET($H$3,0,0,'Données projet'!$E$10+1,1))</f>
        <v>465.77577582457678</v>
      </c>
      <c r="AO12" s="59">
        <f t="shared" si="36"/>
        <v>301.15495784503042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5.85</v>
      </c>
      <c r="BD12" s="12">
        <f>IF('Données projet'!$A$88&gt;35,BD11+BC12-BL11,IF(A12&lt;'Données projet'!$A$88,$BA$205^A12,IF(A12='Données projet'!$A$88,'Données projet'!$B$88,BD11+BC12-BL11)))</f>
        <v>8.5247889874587734</v>
      </c>
      <c r="BE12" s="13">
        <f>BD12*VLOOKUP('Données projet'!$B$11,Paramètres!$A$1:$I$89,3,0)*VLOOKUP('Données projet'!$B$11,Paramètres!$A$1:$I$89,5,0)</f>
        <v>6.6493354102178435</v>
      </c>
      <c r="BF12" s="13">
        <f t="shared" si="37"/>
        <v>2.4578700532379361</v>
      </c>
      <c r="BG12" s="20">
        <f t="shared" si="7"/>
        <v>15.86171618218548</v>
      </c>
      <c r="BH12" s="59">
        <f t="shared" si="8"/>
        <v>309.1950495155188</v>
      </c>
      <c r="BI12" s="59">
        <f ca="1">AVERAGE(OFFSET($BH$3,0,0,'Données projet'!$E$11+1,1))-AVERAGE(OFFSET($H$3,0,0,'Données projet'!$E$11+1,1))</f>
        <v>219.5868031007679</v>
      </c>
      <c r="BJ12" s="59">
        <f t="shared" si="38"/>
        <v>263.3830219837742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3.56</v>
      </c>
      <c r="BY12" s="12">
        <f>IF('Données projet'!$A$114&gt;35,BY11+BX12-CG11,IF(A12&lt;'Données projet'!$A$114,$BV$205^A12,IF(A12='Données projet'!$A$114,'Données projet'!$B$114,BY11+BX12-CG11)))</f>
        <v>5.0324608199849017</v>
      </c>
      <c r="BZ12" s="13">
        <f>BY12*VLOOKUP('Données projet'!$B$12,Paramètres!$A$1:$I$89,3,0)*VLOOKUP('Données projet'!$B$12,Paramètres!$A$1:$I$89,5,0)</f>
        <v>5.4169408266317483</v>
      </c>
      <c r="CA12" s="13">
        <f t="shared" si="39"/>
        <v>2.050676620464321</v>
      </c>
      <c r="CB12" s="20">
        <f t="shared" si="10"/>
        <v>13.006100387025654</v>
      </c>
      <c r="CC12" s="59">
        <f t="shared" si="11"/>
        <v>306.33943372035895</v>
      </c>
      <c r="CD12" s="59">
        <f ca="1">AVERAGE(OFFSET($CC$3,0,0,'Données projet'!$E$12+1,1))-AVERAGE(OFFSET($H$3,0,0,'Données projet'!$E$12+1,1))</f>
        <v>244.7364260963538</v>
      </c>
      <c r="CE12" s="59">
        <f t="shared" si="40"/>
        <v>270.32853612539299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3.56</v>
      </c>
      <c r="CT12" s="12">
        <f>IF('Données projet'!$A$140&gt;35,CT11+CS12-DB11,IF(A12&lt;'Données projet'!$A$140,$CQ$205^A12,IF(A12='Données projet'!$A$140,'Données projet'!$B$140,CT11+CS12-DB11)))</f>
        <v>5.0324608199849017</v>
      </c>
      <c r="CU12" s="17">
        <f>CT12*VLOOKUP('Données projet'!$B$13,Paramètres!$A$1:$I$89,3,0)*VLOOKUP('Données projet'!$B$13,Paramètres!$A$1:$I$89,5,0)</f>
        <v>4.867396105089397</v>
      </c>
      <c r="CV12" s="13">
        <f t="shared" si="41"/>
        <v>1.8657240953425009</v>
      </c>
      <c r="CW12" s="20">
        <f t="shared" si="13"/>
        <v>11.726851015752223</v>
      </c>
      <c r="CX12" s="59">
        <f t="shared" si="14"/>
        <v>305.06018434908555</v>
      </c>
      <c r="CY12" s="59">
        <f ca="1">AVERAGE(OFFSET($CX$3,0,0,'Données projet'!$E$13+1,1))-AVERAGE(OFFSET($H$3,0,0,'Données projet'!$E$13+1,1))</f>
        <v>216.39536568500222</v>
      </c>
      <c r="CZ12" s="59">
        <f t="shared" si="42"/>
        <v>239.44686980897467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5.9280000000000008</v>
      </c>
      <c r="D13" s="11">
        <f t="shared" si="32"/>
        <v>2.2207197037661026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62.902397713282205</v>
      </c>
      <c r="H13" s="67">
        <f t="shared" si="1"/>
        <v>307.52568681739263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7.7306145887633031</v>
      </c>
      <c r="P13" s="13">
        <f t="shared" si="33"/>
        <v>2.8078763226288115</v>
      </c>
      <c r="Q13" s="20">
        <f t="shared" si="2"/>
        <v>18.354538337341264</v>
      </c>
      <c r="R13" s="59">
        <f t="shared" si="0"/>
        <v>311.68787167067455</v>
      </c>
      <c r="S13" s="59">
        <f ca="1">AVERAGE(OFFSET($R$3,0,0,'Données projet'!$E$9+1,1))-AVERAGE(OFFSET($H$3,0,0,'Données projet'!$E$9+1,1))</f>
        <v>330.30341204367602</v>
      </c>
      <c r="T13" s="59">
        <f t="shared" si="34"/>
        <v>200.36653694091007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4.5555555555555554</v>
      </c>
      <c r="AI13" s="13">
        <f>IF('Données projet'!$A$62&gt;35,AI12+AH13-AQ12,IF(A13&lt;'Données projet'!$A$62,$AF$205^A13,IF(A13='Données projet'!$A$62,'Données projet'!$B$62,AI12+AH13-AQ12)))</f>
        <v>11.567244566881934</v>
      </c>
      <c r="AJ13" s="13">
        <f>AI13*VLOOKUP('Données projet'!$B$10,Paramètres!$A$1:$I$89,3,0)*VLOOKUP('Données projet'!$B$10,Paramètres!$A$1:$I$89,5,0)</f>
        <v>6.9172122509953979</v>
      </c>
      <c r="AK13" s="13">
        <f t="shared" si="35"/>
        <v>2.5451605706791147</v>
      </c>
      <c r="AL13" s="20">
        <f t="shared" si="4"/>
        <v>16.48029933108311</v>
      </c>
      <c r="AM13" s="59">
        <f t="shared" si="5"/>
        <v>309.81363266441645</v>
      </c>
      <c r="AN13" s="59">
        <f ca="1">AVERAGE(OFFSET($AM$3,0,0,'Données projet'!$E$10+1,1))-AVERAGE(OFFSET($H$3,0,0,'Données projet'!$E$10+1,1))</f>
        <v>465.77577582457678</v>
      </c>
      <c r="AO13" s="59">
        <f t="shared" si="36"/>
        <v>301.15495784503042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5.85</v>
      </c>
      <c r="BD13" s="12">
        <f>IF('Données projet'!$A$88&gt;35,BD12+BC13-BL12,IF(A13&lt;'Données projet'!$A$88,$BA$205^A13,IF(A13='Données projet'!$A$88,'Données projet'!$B$88,BD12+BC13-BL12)))</f>
        <v>10.816653826391967</v>
      </c>
      <c r="BE13" s="13">
        <f>BD13*VLOOKUP('Données projet'!$B$11,Paramètres!$A$1:$I$89,3,0)*VLOOKUP('Données projet'!$B$11,Paramètres!$A$1:$I$89,5,0)</f>
        <v>8.4369899845857343</v>
      </c>
      <c r="BF13" s="13">
        <f t="shared" si="37"/>
        <v>3.0334117838182832</v>
      </c>
      <c r="BG13" s="20">
        <f t="shared" si="7"/>
        <v>19.977616413303661</v>
      </c>
      <c r="BH13" s="59">
        <f t="shared" si="8"/>
        <v>313.31094974663699</v>
      </c>
      <c r="BI13" s="59">
        <f ca="1">AVERAGE(OFFSET($BH$3,0,0,'Données projet'!$E$11+1,1))-AVERAGE(OFFSET($H$3,0,0,'Données projet'!$E$11+1,1))</f>
        <v>219.5868031007679</v>
      </c>
      <c r="BJ13" s="59">
        <f t="shared" si="38"/>
        <v>263.3830219837742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3.56</v>
      </c>
      <c r="BY13" s="12">
        <f>IF('Données projet'!$A$114&gt;35,BY12+BX13-CG12,IF(A13&lt;'Données projet'!$A$114,$BV$205^A13,IF(A13='Données projet'!$A$114,'Données projet'!$B$114,BY12+BX13-CG12)))</f>
        <v>6.0222114833056102</v>
      </c>
      <c r="BZ13" s="13">
        <f>BY13*VLOOKUP('Données projet'!$B$12,Paramètres!$A$1:$I$89,3,0)*VLOOKUP('Données projet'!$B$12,Paramètres!$A$1:$I$89,5,0)</f>
        <v>6.4823084406301588</v>
      </c>
      <c r="CA13" s="13">
        <f t="shared" si="39"/>
        <v>2.4032359971297943</v>
      </c>
      <c r="CB13" s="20">
        <f t="shared" si="10"/>
        <v>15.47565656243192</v>
      </c>
      <c r="CC13" s="59">
        <f t="shared" si="11"/>
        <v>308.80898989576525</v>
      </c>
      <c r="CD13" s="59">
        <f ca="1">AVERAGE(OFFSET($CC$3,0,0,'Données projet'!$E$12+1,1))-AVERAGE(OFFSET($H$3,0,0,'Données projet'!$E$12+1,1))</f>
        <v>244.7364260963538</v>
      </c>
      <c r="CE13" s="59">
        <f t="shared" si="40"/>
        <v>270.32853612539299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3.56</v>
      </c>
      <c r="CT13" s="12">
        <f>IF('Données projet'!$A$140&gt;35,CT12+CS13-DB12,IF(A13&lt;'Données projet'!$A$140,$CQ$205^A13,IF(A13='Données projet'!$A$140,'Données projet'!$B$140,CT12+CS13-DB12)))</f>
        <v>6.0222114833056102</v>
      </c>
      <c r="CU13" s="17">
        <f>CT13*VLOOKUP('Données projet'!$B$13,Paramètres!$A$1:$I$89,3,0)*VLOOKUP('Données projet'!$B$13,Paramètres!$A$1:$I$89,5,0)</f>
        <v>5.8246829466531862</v>
      </c>
      <c r="CV13" s="13">
        <f t="shared" si="41"/>
        <v>2.1864857978554846</v>
      </c>
      <c r="CW13" s="20">
        <f t="shared" si="13"/>
        <v>13.952785563352601</v>
      </c>
      <c r="CX13" s="59">
        <f t="shared" si="14"/>
        <v>307.28611889668593</v>
      </c>
      <c r="CY13" s="59">
        <f ca="1">AVERAGE(OFFSET($CX$3,0,0,'Données projet'!$E$13+1,1))-AVERAGE(OFFSET($H$3,0,0,'Données projet'!$E$13+1,1))</f>
        <v>216.39536568500222</v>
      </c>
      <c r="CZ13" s="59">
        <f t="shared" si="42"/>
        <v>239.44686980897467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6.5208000000000013</v>
      </c>
      <c r="D14" s="11">
        <f t="shared" si="32"/>
        <v>2.4158408609871413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68.984596119900758</v>
      </c>
      <c r="H14" s="67">
        <f t="shared" si="1"/>
        <v>308.89798283288593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9.5803232966244067</v>
      </c>
      <c r="P14" s="13">
        <f t="shared" si="33"/>
        <v>3.3939041949894282</v>
      </c>
      <c r="Q14" s="20">
        <f t="shared" si="2"/>
        <v>22.596779547894098</v>
      </c>
      <c r="R14" s="59">
        <f t="shared" si="0"/>
        <v>315.93011288122739</v>
      </c>
      <c r="S14" s="59">
        <f ca="1">AVERAGE(OFFSET($R$3,0,0,'Données projet'!$E$9+1,1))-AVERAGE(OFFSET($H$3,0,0,'Données projet'!$E$9+1,1))</f>
        <v>330.30341204367602</v>
      </c>
      <c r="T14" s="59">
        <f t="shared" si="34"/>
        <v>200.36653694091007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4.5555555555555554</v>
      </c>
      <c r="AI14" s="13">
        <f>IF('Données projet'!$A$62&gt;35,AI13+AH14-AQ13,IF(A14&lt;'Données projet'!$A$62,$AF$205^A14,IF(A14='Données projet'!$A$62,'Données projet'!$B$62,AI13+AH14-AQ13)))</f>
        <v>14.77586483942537</v>
      </c>
      <c r="AJ14" s="13">
        <f>AI14*VLOOKUP('Données projet'!$B$10,Paramètres!$A$1:$I$89,3,0)*VLOOKUP('Données projet'!$B$10,Paramètres!$A$1:$I$89,5,0)</f>
        <v>8.8359671739763712</v>
      </c>
      <c r="AK14" s="13">
        <f t="shared" si="35"/>
        <v>3.1598188250507526</v>
      </c>
      <c r="AL14" s="20">
        <f t="shared" si="4"/>
        <v>20.89266061497224</v>
      </c>
      <c r="AM14" s="59">
        <f t="shared" si="5"/>
        <v>314.22599394830553</v>
      </c>
      <c r="AN14" s="59">
        <f ca="1">AVERAGE(OFFSET($AM$3,0,0,'Données projet'!$E$10+1,1))-AVERAGE(OFFSET($H$3,0,0,'Données projet'!$E$10+1,1))</f>
        <v>465.77577582457678</v>
      </c>
      <c r="AO14" s="59">
        <f t="shared" si="36"/>
        <v>301.15495784503042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5.85</v>
      </c>
      <c r="BD14" s="12">
        <f>IF('Données projet'!$A$88&gt;35,BD13+BC14-BL13,IF(A14&lt;'Données projet'!$A$88,$BA$205^A14,IF(A14='Données projet'!$A$88,'Données projet'!$B$88,BD13+BC14-BL13)))</f>
        <v>13.724679892033022</v>
      </c>
      <c r="BE14" s="13">
        <f>BD14*VLOOKUP('Données projet'!$B$11,Paramètres!$A$1:$I$89,3,0)*VLOOKUP('Données projet'!$B$11,Paramètres!$A$1:$I$89,5,0)</f>
        <v>10.705250315785758</v>
      </c>
      <c r="BF14" s="13">
        <f t="shared" si="37"/>
        <v>3.7437239768171127</v>
      </c>
      <c r="BG14" s="20">
        <f t="shared" si="7"/>
        <v>25.165296892949996</v>
      </c>
      <c r="BH14" s="59">
        <f t="shared" si="8"/>
        <v>318.4986302262833</v>
      </c>
      <c r="BI14" s="59">
        <f ca="1">AVERAGE(OFFSET($BH$3,0,0,'Données projet'!$E$11+1,1))-AVERAGE(OFFSET($H$3,0,0,'Données projet'!$E$11+1,1))</f>
        <v>219.5868031007679</v>
      </c>
      <c r="BJ14" s="59">
        <f t="shared" si="38"/>
        <v>263.3830219837742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3.56</v>
      </c>
      <c r="BY14" s="12">
        <f>IF('Données projet'!$A$114&gt;35,BY13+BX14-CG13,IF(A14&lt;'Données projet'!$A$114,$BV$205^A14,IF(A14='Données projet'!$A$114,'Données projet'!$B$114,BY13+BX14-CG13)))</f>
        <v>7.206619673149639</v>
      </c>
      <c r="BZ14" s="13">
        <f>BY14*VLOOKUP('Données projet'!$B$12,Paramètres!$A$1:$I$89,3,0)*VLOOKUP('Données projet'!$B$12,Paramètres!$A$1:$I$89,5,0)</f>
        <v>7.7572054161782713</v>
      </c>
      <c r="CA14" s="13">
        <f t="shared" si="39"/>
        <v>2.816408594248625</v>
      </c>
      <c r="CB14" s="20">
        <f t="shared" si="10"/>
        <v>18.415711068160174</v>
      </c>
      <c r="CC14" s="59">
        <f t="shared" si="11"/>
        <v>311.74904440149351</v>
      </c>
      <c r="CD14" s="59">
        <f ca="1">AVERAGE(OFFSET($CC$3,0,0,'Données projet'!$E$12+1,1))-AVERAGE(OFFSET($H$3,0,0,'Données projet'!$E$12+1,1))</f>
        <v>244.7364260963538</v>
      </c>
      <c r="CE14" s="59">
        <f t="shared" si="40"/>
        <v>270.32853612539299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3.56</v>
      </c>
      <c r="CT14" s="12">
        <f>IF('Données projet'!$A$140&gt;35,CT13+CS14-DB13,IF(A14&lt;'Données projet'!$A$140,$CQ$205^A14,IF(A14='Données projet'!$A$140,'Données projet'!$B$140,CT13+CS14-DB13)))</f>
        <v>7.206619673149639</v>
      </c>
      <c r="CU14" s="17">
        <f>CT14*VLOOKUP('Données projet'!$B$13,Paramètres!$A$1:$I$89,3,0)*VLOOKUP('Données projet'!$B$13,Paramètres!$A$1:$I$89,5,0)</f>
        <v>6.9702425478703312</v>
      </c>
      <c r="CV14" s="13">
        <f t="shared" si="41"/>
        <v>2.5623939553324542</v>
      </c>
      <c r="CW14" s="20">
        <f t="shared" si="13"/>
        <v>16.602675243078181</v>
      </c>
      <c r="CX14" s="59">
        <f t="shared" si="14"/>
        <v>309.9360085764115</v>
      </c>
      <c r="CY14" s="59">
        <f ca="1">AVERAGE(OFFSET($CX$3,0,0,'Données projet'!$E$13+1,1))-AVERAGE(OFFSET($H$3,0,0,'Données projet'!$E$13+1,1))</f>
        <v>216.39536568500222</v>
      </c>
      <c r="CZ14" s="59">
        <f t="shared" si="42"/>
        <v>239.44686980897467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7.1136000000000017</v>
      </c>
      <c r="D15" s="11">
        <f t="shared" si="32"/>
        <v>2.6089051793396729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75.050917173850124</v>
      </c>
      <c r="H15" s="67">
        <f t="shared" si="1"/>
        <v>310.26669652068324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11.872612896942668</v>
      </c>
      <c r="P15" s="13">
        <f t="shared" si="33"/>
        <v>4.1022411108131784</v>
      </c>
      <c r="Q15" s="20">
        <f t="shared" si="2"/>
        <v>27.822870730174767</v>
      </c>
      <c r="R15" s="59">
        <f t="shared" si="0"/>
        <v>321.15620406350808</v>
      </c>
      <c r="S15" s="59">
        <f ca="1">AVERAGE(OFFSET($R$3,0,0,'Données projet'!$E$9+1,1))-AVERAGE(OFFSET($H$3,0,0,'Données projet'!$E$9+1,1))</f>
        <v>330.30341204367602</v>
      </c>
      <c r="T15" s="59">
        <f t="shared" si="34"/>
        <v>200.36653694091007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4.5555555555555554</v>
      </c>
      <c r="AI15" s="13">
        <f>IF('Données projet'!$A$62&gt;35,AI14+AH15-AQ14,IF(A15&lt;'Données projet'!$A$62,$AF$205^A15,IF(A15='Données projet'!$A$62,'Données projet'!$B$62,AI14+AH15-AQ14)))</f>
        <v>18.874519380186229</v>
      </c>
      <c r="AJ15" s="13">
        <f>AI15*VLOOKUP('Données projet'!$B$10,Paramètres!$A$1:$I$89,3,0)*VLOOKUP('Données projet'!$B$10,Paramètres!$A$1:$I$89,5,0)</f>
        <v>11.286962589351367</v>
      </c>
      <c r="AK15" s="13">
        <f t="shared" si="35"/>
        <v>3.9229175251921369</v>
      </c>
      <c r="AL15" s="20">
        <f t="shared" si="4"/>
        <v>26.490541199496601</v>
      </c>
      <c r="AM15" s="59">
        <f t="shared" si="5"/>
        <v>319.8238745328299</v>
      </c>
      <c r="AN15" s="59">
        <f ca="1">AVERAGE(OFFSET($AM$3,0,0,'Données projet'!$E$10+1,1))-AVERAGE(OFFSET($H$3,0,0,'Données projet'!$E$10+1,1))</f>
        <v>465.77577582457678</v>
      </c>
      <c r="AO15" s="59">
        <f t="shared" si="36"/>
        <v>301.15495784503042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5.85</v>
      </c>
      <c r="BD15" s="12">
        <f>IF('Données projet'!$A$88&gt;35,BD14+BC15-BL14,IF(A15&lt;'Données projet'!$A$88,$BA$205^A15,IF(A15='Données projet'!$A$88,'Données projet'!$B$88,BD14+BC15-BL14)))</f>
        <v>17.414520346317467</v>
      </c>
      <c r="BE15" s="13">
        <f>BD15*VLOOKUP('Données projet'!$B$11,Paramètres!$A$1:$I$89,3,0)*VLOOKUP('Données projet'!$B$11,Paramètres!$A$1:$I$89,5,0)</f>
        <v>13.583325870127625</v>
      </c>
      <c r="BF15" s="13">
        <f t="shared" si="37"/>
        <v>4.6203648609004491</v>
      </c>
      <c r="BG15" s="20">
        <f t="shared" si="7"/>
        <v>31.704761356540562</v>
      </c>
      <c r="BH15" s="59">
        <f t="shared" si="8"/>
        <v>325.0380946898739</v>
      </c>
      <c r="BI15" s="59">
        <f ca="1">AVERAGE(OFFSET($BH$3,0,0,'Données projet'!$E$11+1,1))-AVERAGE(OFFSET($H$3,0,0,'Données projet'!$E$11+1,1))</f>
        <v>219.5868031007679</v>
      </c>
      <c r="BJ15" s="59">
        <f t="shared" si="38"/>
        <v>263.3830219837742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3.56</v>
      </c>
      <c r="BY15" s="12">
        <f>IF('Données projet'!$A$114&gt;35,BY14+BX15-CG14,IF(A15&lt;'Données projet'!$A$114,$BV$205^A15,IF(A15='Données projet'!$A$114,'Données projet'!$B$114,BY14+BX15-CG14)))</f>
        <v>8.6239693271150166</v>
      </c>
      <c r="BZ15" s="13">
        <f>BY15*VLOOKUP('Données projet'!$B$12,Paramètres!$A$1:$I$89,3,0)*VLOOKUP('Données projet'!$B$12,Paramètres!$A$1:$I$89,5,0)</f>
        <v>9.2828405837066033</v>
      </c>
      <c r="CA15" s="13">
        <f t="shared" si="39"/>
        <v>3.3006152451240567</v>
      </c>
      <c r="CB15" s="20">
        <f t="shared" si="10"/>
        <v>21.916185568546734</v>
      </c>
      <c r="CC15" s="59">
        <f t="shared" si="11"/>
        <v>315.24951890188004</v>
      </c>
      <c r="CD15" s="59">
        <f ca="1">AVERAGE(OFFSET($CC$3,0,0,'Données projet'!$E$12+1,1))-AVERAGE(OFFSET($H$3,0,0,'Données projet'!$E$12+1,1))</f>
        <v>244.7364260963538</v>
      </c>
      <c r="CE15" s="59">
        <f t="shared" si="40"/>
        <v>270.32853612539299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3.56</v>
      </c>
      <c r="CT15" s="12">
        <f>IF('Données projet'!$A$140&gt;35,CT14+CS15-DB14,IF(A15&lt;'Données projet'!$A$140,$CQ$205^A15,IF(A15='Données projet'!$A$140,'Données projet'!$B$140,CT14+CS15-DB14)))</f>
        <v>8.6239693271150166</v>
      </c>
      <c r="CU15" s="17">
        <f>CT15*VLOOKUP('Données projet'!$B$13,Paramètres!$A$1:$I$89,3,0)*VLOOKUP('Données projet'!$B$13,Paramètres!$A$1:$I$89,5,0)</f>
        <v>8.3411031331856442</v>
      </c>
      <c r="CV15" s="13">
        <f t="shared" si="41"/>
        <v>3.0029295359540535</v>
      </c>
      <c r="CW15" s="20">
        <f t="shared" si="13"/>
        <v>19.757523565418307</v>
      </c>
      <c r="CX15" s="59">
        <f t="shared" si="14"/>
        <v>313.09085689875161</v>
      </c>
      <c r="CY15" s="59">
        <f ca="1">AVERAGE(OFFSET($CX$3,0,0,'Données projet'!$E$13+1,1))-AVERAGE(OFFSET($H$3,0,0,'Données projet'!$E$13+1,1))</f>
        <v>216.39536568500222</v>
      </c>
      <c r="CZ15" s="59">
        <f t="shared" si="42"/>
        <v>239.44686980897467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7.7064000000000021</v>
      </c>
      <c r="D16" s="11">
        <f t="shared" si="32"/>
        <v>2.8001035490888233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81.102834414019014</v>
      </c>
      <c r="H16" s="67">
        <f t="shared" si="1"/>
        <v>311.63216034799638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14.713379980643843</v>
      </c>
      <c r="P16" s="13">
        <f t="shared" si="33"/>
        <v>4.9584140165447881</v>
      </c>
      <c r="Q16" s="20">
        <f t="shared" si="2"/>
        <v>34.261707878436859</v>
      </c>
      <c r="R16" s="59">
        <f t="shared" si="0"/>
        <v>327.59504121177019</v>
      </c>
      <c r="S16" s="59">
        <f ca="1">AVERAGE(OFFSET($R$3,0,0,'Données projet'!$E$9+1,1))-AVERAGE(OFFSET($H$3,0,0,'Données projet'!$E$9+1,1))</f>
        <v>330.30341204367602</v>
      </c>
      <c r="T16" s="59">
        <f t="shared" si="34"/>
        <v>200.36653694091007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4.5555555555555554</v>
      </c>
      <c r="AI16" s="13">
        <f>IF('Données projet'!$A$62&gt;35,AI15+AH16-AQ15,IF(A16&lt;'Données projet'!$A$62,$AF$205^A16,IF(A16='Données projet'!$A$62,'Données projet'!$B$62,AI15+AH16-AQ15)))</f>
        <v>24.110093433074471</v>
      </c>
      <c r="AJ16" s="13">
        <f>AI16*VLOOKUP('Données projet'!$B$10,Paramètres!$A$1:$I$89,3,0)*VLOOKUP('Données projet'!$B$10,Paramètres!$A$1:$I$89,5,0)</f>
        <v>14.417835872978534</v>
      </c>
      <c r="AK16" s="13">
        <f t="shared" si="35"/>
        <v>4.8703051540343978</v>
      </c>
      <c r="AL16" s="20">
        <f t="shared" si="4"/>
        <v>33.593512288714187</v>
      </c>
      <c r="AM16" s="59">
        <f t="shared" si="5"/>
        <v>326.92684562204749</v>
      </c>
      <c r="AN16" s="59">
        <f ca="1">AVERAGE(OFFSET($AM$3,0,0,'Données projet'!$E$10+1,1))-AVERAGE(OFFSET($H$3,0,0,'Données projet'!$E$10+1,1))</f>
        <v>465.77577582457678</v>
      </c>
      <c r="AO16" s="59">
        <f t="shared" si="36"/>
        <v>301.15495784503042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5.85</v>
      </c>
      <c r="BD16" s="12">
        <f>IF('Données projet'!$A$88&gt;35,BD15+BC16-BL15,IF(A16&lt;'Données projet'!$A$88,$BA$205^A16,IF(A16='Données projet'!$A$88,'Données projet'!$B$88,BD15+BC16-BL15)))</f>
        <v>22.096363724180279</v>
      </c>
      <c r="BE16" s="13">
        <f>BD16*VLOOKUP('Données projet'!$B$11,Paramètres!$A$1:$I$89,3,0)*VLOOKUP('Données projet'!$B$11,Paramètres!$A$1:$I$89,5,0)</f>
        <v>17.235163704860618</v>
      </c>
      <c r="BF16" s="13">
        <f t="shared" si="37"/>
        <v>5.7022824278817001</v>
      </c>
      <c r="BG16" s="20">
        <f t="shared" si="7"/>
        <v>39.949385347859533</v>
      </c>
      <c r="BH16" s="59">
        <f t="shared" si="8"/>
        <v>333.28271868119282</v>
      </c>
      <c r="BI16" s="59">
        <f ca="1">AVERAGE(OFFSET($BH$3,0,0,'Données projet'!$E$11+1,1))-AVERAGE(OFFSET($H$3,0,0,'Données projet'!$E$11+1,1))</f>
        <v>219.5868031007679</v>
      </c>
      <c r="BJ16" s="59">
        <f t="shared" si="38"/>
        <v>263.3830219837742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3.56</v>
      </c>
      <c r="BY16" s="12">
        <f>IF('Données projet'!$A$114&gt;35,BY15+BX16-CG15,IF(A16&lt;'Données projet'!$A$114,$BV$205^A16,IF(A16='Données projet'!$A$114,'Données projet'!$B$114,BY15+BX16-CG15)))</f>
        <v>10.320073811043248</v>
      </c>
      <c r="BZ16" s="13">
        <f>BY16*VLOOKUP('Données projet'!$B$12,Paramètres!$A$1:$I$89,3,0)*VLOOKUP('Données projet'!$B$12,Paramètres!$A$1:$I$89,5,0)</f>
        <v>11.108527450206951</v>
      </c>
      <c r="CA16" s="13">
        <f t="shared" si="39"/>
        <v>3.8680683685570538</v>
      </c>
      <c r="CB16" s="20">
        <f t="shared" si="10"/>
        <v>26.08423771768064</v>
      </c>
      <c r="CC16" s="59">
        <f t="shared" si="11"/>
        <v>319.41757105101397</v>
      </c>
      <c r="CD16" s="59">
        <f ca="1">AVERAGE(OFFSET($CC$3,0,0,'Données projet'!$E$12+1,1))-AVERAGE(OFFSET($H$3,0,0,'Données projet'!$E$12+1,1))</f>
        <v>244.7364260963538</v>
      </c>
      <c r="CE16" s="59">
        <f t="shared" si="40"/>
        <v>270.32853612539299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3.56</v>
      </c>
      <c r="CT16" s="12">
        <f>IF('Données projet'!$A$140&gt;35,CT15+CS16-DB15,IF(A16&lt;'Données projet'!$A$140,$CQ$205^A16,IF(A16='Données projet'!$A$140,'Données projet'!$B$140,CT15+CS16-DB15)))</f>
        <v>10.320073811043248</v>
      </c>
      <c r="CU16" s="17">
        <f>CT16*VLOOKUP('Données projet'!$B$13,Paramètres!$A$1:$I$89,3,0)*VLOOKUP('Données projet'!$B$13,Paramètres!$A$1:$I$89,5,0)</f>
        <v>9.9815753900410282</v>
      </c>
      <c r="CV16" s="13">
        <f t="shared" si="41"/>
        <v>3.5192035085546607</v>
      </c>
      <c r="CW16" s="20">
        <f t="shared" si="13"/>
        <v>23.513856581720827</v>
      </c>
      <c r="CX16" s="59">
        <f t="shared" si="14"/>
        <v>316.84718991505412</v>
      </c>
      <c r="CY16" s="59">
        <f ca="1">AVERAGE(OFFSET($CX$3,0,0,'Données projet'!$E$13+1,1))-AVERAGE(OFFSET($H$3,0,0,'Données projet'!$E$13+1,1))</f>
        <v>216.39536568500222</v>
      </c>
      <c r="CZ16" s="59">
        <f t="shared" si="42"/>
        <v>239.44686980897467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8.2992000000000026</v>
      </c>
      <c r="D17" s="11">
        <f t="shared" si="32"/>
        <v>2.9895958244904088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87.141581803083866</v>
      </c>
      <c r="H17" s="67">
        <f t="shared" si="1"/>
        <v>312.99465272765411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18.233859078363277</v>
      </c>
      <c r="P17" s="13">
        <f t="shared" si="33"/>
        <v>5.9932775513027368</v>
      </c>
      <c r="Q17" s="20">
        <f t="shared" si="2"/>
        <v>42.195596296668306</v>
      </c>
      <c r="R17" s="59">
        <f t="shared" si="0"/>
        <v>335.52892963000164</v>
      </c>
      <c r="S17" s="59">
        <f ca="1">AVERAGE(OFFSET($R$3,0,0,'Données projet'!$E$9+1,1))-AVERAGE(OFFSET($H$3,0,0,'Données projet'!$E$9+1,1))</f>
        <v>330.30341204367602</v>
      </c>
      <c r="T17" s="59">
        <f t="shared" si="34"/>
        <v>200.36653694091007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4.5555555555555554</v>
      </c>
      <c r="AI17" s="13">
        <f>IF('Données projet'!$A$62&gt;35,AI16+AH17-AQ16,IF(A17&lt;'Données projet'!$A$62,$AF$205^A17,IF(A17='Données projet'!$A$62,'Données projet'!$B$62,AI16+AH17-AQ16)))</f>
        <v>30.797955362074241</v>
      </c>
      <c r="AJ17" s="13">
        <f>AI17*VLOOKUP('Données projet'!$B$10,Paramètres!$A$1:$I$89,3,0)*VLOOKUP('Données projet'!$B$10,Paramètres!$A$1:$I$89,5,0)</f>
        <v>18.417177306520397</v>
      </c>
      <c r="AK17" s="13">
        <f t="shared" si="35"/>
        <v>6.0464876309762028</v>
      </c>
      <c r="AL17" s="20">
        <f t="shared" si="4"/>
        <v>42.607549766139904</v>
      </c>
      <c r="AM17" s="59">
        <f t="shared" si="5"/>
        <v>335.94088309947324</v>
      </c>
      <c r="AN17" s="59">
        <f ca="1">AVERAGE(OFFSET($AM$3,0,0,'Données projet'!$E$10+1,1))-AVERAGE(OFFSET($H$3,0,0,'Données projet'!$E$10+1,1))</f>
        <v>465.77577582457678</v>
      </c>
      <c r="AO17" s="59">
        <f t="shared" si="36"/>
        <v>301.15495784503042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5.85</v>
      </c>
      <c r="BD17" s="12">
        <f>IF('Données projet'!$A$88&gt;35,BD16+BC17-BL16,IF(A17&lt;'Données projet'!$A$88,$BA$205^A17,IF(A17='Données projet'!$A$88,'Données projet'!$B$88,BD16+BC17-BL16)))</f>
        <v>28.036907139651255</v>
      </c>
      <c r="BE17" s="13">
        <f>BD17*VLOOKUP('Données projet'!$B$11,Paramètres!$A$1:$I$89,3,0)*VLOOKUP('Données projet'!$B$11,Paramètres!$A$1:$I$89,5,0)</f>
        <v>21.868787568927981</v>
      </c>
      <c r="BF17" s="13">
        <f t="shared" si="37"/>
        <v>7.0375448403422114</v>
      </c>
      <c r="BG17" s="20">
        <f t="shared" si="7"/>
        <v>50.34519561281224</v>
      </c>
      <c r="BH17" s="59">
        <f t="shared" si="8"/>
        <v>343.67852894614555</v>
      </c>
      <c r="BI17" s="59">
        <f ca="1">AVERAGE(OFFSET($BH$3,0,0,'Données projet'!$E$11+1,1))-AVERAGE(OFFSET($H$3,0,0,'Données projet'!$E$11+1,1))</f>
        <v>219.5868031007679</v>
      </c>
      <c r="BJ17" s="59">
        <f t="shared" si="38"/>
        <v>263.3830219837742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3.56</v>
      </c>
      <c r="BY17" s="12">
        <f>IF('Données projet'!$A$114&gt;35,BY16+BX17-CG16,IF(A17&lt;'Données projet'!$A$114,$BV$205^A17,IF(A17='Données projet'!$A$114,'Données projet'!$B$114,BY16+BX17-CG16)))</f>
        <v>12.349756756499216</v>
      </c>
      <c r="BZ17" s="13">
        <f>BY17*VLOOKUP('Données projet'!$B$12,Paramètres!$A$1:$I$89,3,0)*VLOOKUP('Données projet'!$B$12,Paramètres!$A$1:$I$89,5,0)</f>
        <v>13.293278172695755</v>
      </c>
      <c r="CA17" s="13">
        <f t="shared" si="39"/>
        <v>4.5330799843861405</v>
      </c>
      <c r="CB17" s="20">
        <f t="shared" si="10"/>
        <v>31.047573790250965</v>
      </c>
      <c r="CC17" s="59">
        <f t="shared" si="11"/>
        <v>324.38090712358428</v>
      </c>
      <c r="CD17" s="59">
        <f ca="1">AVERAGE(OFFSET($CC$3,0,0,'Données projet'!$E$12+1,1))-AVERAGE(OFFSET($H$3,0,0,'Données projet'!$E$12+1,1))</f>
        <v>244.7364260963538</v>
      </c>
      <c r="CE17" s="59">
        <f t="shared" si="40"/>
        <v>270.32853612539299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3.56</v>
      </c>
      <c r="CT17" s="12">
        <f>IF('Données projet'!$A$140&gt;35,CT16+CS17-DB16,IF(A17&lt;'Données projet'!$A$140,$CQ$205^A17,IF(A17='Données projet'!$A$140,'Données projet'!$B$140,CT16+CS17-DB16)))</f>
        <v>12.349756756499216</v>
      </c>
      <c r="CU17" s="17">
        <f>CT17*VLOOKUP('Données projet'!$B$13,Paramètres!$A$1:$I$89,3,0)*VLOOKUP('Données projet'!$B$13,Paramètres!$A$1:$I$89,5,0)</f>
        <v>11.944684734886042</v>
      </c>
      <c r="CV17" s="13">
        <f t="shared" si="41"/>
        <v>4.1242370779401876</v>
      </c>
      <c r="CW17" s="20">
        <f t="shared" si="13"/>
        <v>27.986705490672346</v>
      </c>
      <c r="CX17" s="59">
        <f t="shared" si="14"/>
        <v>321.32003882400568</v>
      </c>
      <c r="CY17" s="59">
        <f ca="1">AVERAGE(OFFSET($CX$3,0,0,'Données projet'!$E$13+1,1))-AVERAGE(OFFSET($H$3,0,0,'Données projet'!$E$13+1,1))</f>
        <v>216.39536568500222</v>
      </c>
      <c r="CZ17" s="59">
        <f t="shared" si="42"/>
        <v>239.44686980897467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8.892000000000003</v>
      </c>
      <c r="D18" s="11">
        <f t="shared" si="32"/>
        <v>3.1775177294642694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93.168207034461076</v>
      </c>
      <c r="H18" s="67">
        <f t="shared" si="1"/>
        <v>314.35441004548358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22.596685284210423</v>
      </c>
      <c r="P18" s="13">
        <f t="shared" si="33"/>
        <v>7.2441259820371586</v>
      </c>
      <c r="Q18" s="20">
        <f t="shared" si="2"/>
        <v>51.972746288714539</v>
      </c>
      <c r="R18" s="59">
        <f t="shared" si="0"/>
        <v>345.30607962204783</v>
      </c>
      <c r="S18" s="59">
        <f ca="1">AVERAGE(OFFSET($R$3,0,0,'Données projet'!$E$9+1,1))-AVERAGE(OFFSET($H$3,0,0,'Données projet'!$E$9+1,1))</f>
        <v>330.30341204367602</v>
      </c>
      <c r="T18" s="59">
        <f t="shared" si="34"/>
        <v>200.36653694091007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4.5555555555555554</v>
      </c>
      <c r="AI18" s="13">
        <f>IF('Données projet'!$A$62&gt;35,AI17+AH18-AQ17,IF(A18&lt;'Données projet'!$A$62,$AF$205^A18,IF(A18='Données projet'!$A$62,'Données projet'!$B$62,AI17+AH18-AQ17)))</f>
        <v>39.34095307914221</v>
      </c>
      <c r="AJ18" s="13">
        <f>AI18*VLOOKUP('Données projet'!$B$10,Paramètres!$A$1:$I$89,3,0)*VLOOKUP('Données projet'!$B$10,Paramètres!$A$1:$I$89,5,0)</f>
        <v>23.525889941327044</v>
      </c>
      <c r="AK18" s="13">
        <f t="shared" si="35"/>
        <v>7.5067190895139522</v>
      </c>
      <c r="AL18" s="20">
        <f t="shared" si="4"/>
        <v>54.04846072871473</v>
      </c>
      <c r="AM18" s="59">
        <f t="shared" si="5"/>
        <v>347.38179406204802</v>
      </c>
      <c r="AN18" s="59">
        <f ca="1">AVERAGE(OFFSET($AM$3,0,0,'Données projet'!$E$10+1,1))-AVERAGE(OFFSET($H$3,0,0,'Données projet'!$E$10+1,1))</f>
        <v>465.77577582457678</v>
      </c>
      <c r="AO18" s="59">
        <f t="shared" si="36"/>
        <v>301.15495784503042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5.85</v>
      </c>
      <c r="BD18" s="12">
        <f>IF('Données projet'!$A$88&gt;35,BD17+BC18-BL17,IF(A18&lt;'Données projet'!$A$88,$BA$205^A18,IF(A18='Données projet'!$A$88,'Données projet'!$B$88,BD17+BC18-BL17)))</f>
        <v>35.574548453745123</v>
      </c>
      <c r="BE18" s="13">
        <f>BD18*VLOOKUP('Données projet'!$B$11,Paramètres!$A$1:$I$89,3,0)*VLOOKUP('Données projet'!$B$11,Paramètres!$A$1:$I$89,5,0)</f>
        <v>27.748147793921198</v>
      </c>
      <c r="BF18" s="13">
        <f t="shared" si="37"/>
        <v>8.6854760363431716</v>
      </c>
      <c r="BG18" s="20">
        <f t="shared" si="7"/>
        <v>63.455228171043764</v>
      </c>
      <c r="BH18" s="59">
        <f t="shared" si="8"/>
        <v>356.78856150437707</v>
      </c>
      <c r="BI18" s="59">
        <f ca="1">AVERAGE(OFFSET($BH$3,0,0,'Données projet'!$E$11+1,1))-AVERAGE(OFFSET($H$3,0,0,'Données projet'!$E$11+1,1))</f>
        <v>219.5868031007679</v>
      </c>
      <c r="BJ18" s="59">
        <f t="shared" si="38"/>
        <v>263.3830219837742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3.56</v>
      </c>
      <c r="BY18" s="12">
        <f>IF('Données projet'!$A$114&gt;35,BY17+BX18-CG17,IF(A18&lt;'Données projet'!$A$114,$BV$205^A18,IF(A18='Données projet'!$A$114,'Données projet'!$B$114,BY17+BX18-CG17)))</f>
        <v>14.778624139441142</v>
      </c>
      <c r="BZ18" s="13">
        <f>BY18*VLOOKUP('Données projet'!$B$12,Paramètres!$A$1:$I$89,3,0)*VLOOKUP('Données projet'!$B$12,Paramètres!$A$1:$I$89,5,0)</f>
        <v>15.907711023694443</v>
      </c>
      <c r="CA18" s="13">
        <f t="shared" si="39"/>
        <v>5.3124226841181192</v>
      </c>
      <c r="CB18" s="20">
        <f t="shared" si="10"/>
        <v>36.958399541106871</v>
      </c>
      <c r="CC18" s="59">
        <f t="shared" si="11"/>
        <v>330.29173287444019</v>
      </c>
      <c r="CD18" s="59">
        <f ca="1">AVERAGE(OFFSET($CC$3,0,0,'Données projet'!$E$12+1,1))-AVERAGE(OFFSET($H$3,0,0,'Données projet'!$E$12+1,1))</f>
        <v>244.7364260963538</v>
      </c>
      <c r="CE18" s="59">
        <f t="shared" si="40"/>
        <v>270.32853612539299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3.56</v>
      </c>
      <c r="CT18" s="12">
        <f>IF('Données projet'!$A$140&gt;35,CT17+CS18-DB17,IF(A18&lt;'Données projet'!$A$140,$CQ$205^A18,IF(A18='Données projet'!$A$140,'Données projet'!$B$140,CT17+CS18-DB17)))</f>
        <v>14.778624139441142</v>
      </c>
      <c r="CU18" s="17">
        <f>CT18*VLOOKUP('Données projet'!$B$13,Paramètres!$A$1:$I$89,3,0)*VLOOKUP('Données projet'!$B$13,Paramètres!$A$1:$I$89,5,0)</f>
        <v>14.293885267667472</v>
      </c>
      <c r="CV18" s="13">
        <f t="shared" si="41"/>
        <v>4.8332900992254277</v>
      </c>
      <c r="CW18" s="20">
        <f t="shared" si="13"/>
        <v>33.313163764005132</v>
      </c>
      <c r="CX18" s="59">
        <f t="shared" si="14"/>
        <v>326.64649709733845</v>
      </c>
      <c r="CY18" s="59">
        <f ca="1">AVERAGE(OFFSET($CX$3,0,0,'Données projet'!$E$13+1,1))-AVERAGE(OFFSET($H$3,0,0,'Données projet'!$E$13+1,1))</f>
        <v>216.39536568500222</v>
      </c>
      <c r="CZ18" s="59">
        <f t="shared" si="42"/>
        <v>239.44686980897467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9.4848000000000035</v>
      </c>
      <c r="D19" s="11">
        <f t="shared" si="32"/>
        <v>3.3639858676037644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99.183610206064188</v>
      </c>
      <c r="H19" s="67">
        <f t="shared" si="1"/>
        <v>315.71163538607652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28.003407487093821</v>
      </c>
      <c r="P19" s="13">
        <f t="shared" si="33"/>
        <v>8.7560372090925433</v>
      </c>
      <c r="Q19" s="20">
        <f t="shared" si="2"/>
        <v>64.022699512524582</v>
      </c>
      <c r="R19" s="59">
        <f t="shared" si="0"/>
        <v>357.3560328458579</v>
      </c>
      <c r="S19" s="59">
        <f ca="1">AVERAGE(OFFSET($R$3,0,0,'Données projet'!$E$9+1,1))-AVERAGE(OFFSET($H$3,0,0,'Données projet'!$E$9+1,1))</f>
        <v>330.30341204367602</v>
      </c>
      <c r="T19" s="59">
        <f t="shared" si="34"/>
        <v>200.36653694091007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4.5555555555555554</v>
      </c>
      <c r="AI19" s="13">
        <f>IF('Données projet'!$A$62&gt;35,AI18+AH19-AQ18,IF(A19&lt;'Données projet'!$A$62,$AF$205^A19,IF(A19='Données projet'!$A$62,'Données projet'!$B$62,AI18+AH19-AQ18)))</f>
        <v>50.253679862176106</v>
      </c>
      <c r="AJ19" s="13">
        <f>AI19*VLOOKUP('Données projet'!$B$10,Paramètres!$A$1:$I$89,3,0)*VLOOKUP('Données projet'!$B$10,Paramètres!$A$1:$I$89,5,0)</f>
        <v>30.051700557581313</v>
      </c>
      <c r="AK19" s="13">
        <f t="shared" si="35"/>
        <v>9.3195975792933758</v>
      </c>
      <c r="AL19" s="20">
        <f t="shared" si="4"/>
        <v>68.571677588390074</v>
      </c>
      <c r="AM19" s="59">
        <f t="shared" si="5"/>
        <v>361.90501092172337</v>
      </c>
      <c r="AN19" s="59">
        <f ca="1">AVERAGE(OFFSET($AM$3,0,0,'Données projet'!$E$10+1,1))-AVERAGE(OFFSET($H$3,0,0,'Données projet'!$E$10+1,1))</f>
        <v>465.77577582457678</v>
      </c>
      <c r="AO19" s="59">
        <f t="shared" si="36"/>
        <v>301.15495784503042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5.85</v>
      </c>
      <c r="BD19" s="12">
        <f>IF('Données projet'!$A$88&gt;35,BD18+BC19-BL18,IF(A19&lt;'Données projet'!$A$88,$BA$205^A19,IF(A19='Données projet'!$A$88,'Données projet'!$B$88,BD18+BC19-BL18)))</f>
        <v>45.138662812705725</v>
      </c>
      <c r="BE19" s="13">
        <f>BD19*VLOOKUP('Données projet'!$B$11,Paramètres!$A$1:$I$89,3,0)*VLOOKUP('Données projet'!$B$11,Paramètres!$A$1:$I$89,5,0)</f>
        <v>35.208156993910464</v>
      </c>
      <c r="BF19" s="13">
        <f t="shared" si="37"/>
        <v>10.71929141331386</v>
      </c>
      <c r="BG19" s="20">
        <f t="shared" si="7"/>
        <v>79.990305975915703</v>
      </c>
      <c r="BH19" s="59">
        <f t="shared" si="8"/>
        <v>373.32363930924902</v>
      </c>
      <c r="BI19" s="59">
        <f ca="1">AVERAGE(OFFSET($BH$3,0,0,'Données projet'!$E$11+1,1))-AVERAGE(OFFSET($H$3,0,0,'Données projet'!$E$11+1,1))</f>
        <v>219.5868031007679</v>
      </c>
      <c r="BJ19" s="59">
        <f t="shared" si="38"/>
        <v>263.3830219837742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3.56</v>
      </c>
      <c r="BY19" s="12">
        <f>IF('Données projet'!$A$114&gt;35,BY18+BX19-CG18,IF(A19&lt;'Données projet'!$A$114,$BV$205^A19,IF(A19='Données projet'!$A$114,'Données projet'!$B$114,BY18+BX19-CG18)))</f>
        <v>17.68518487944571</v>
      </c>
      <c r="BZ19" s="13">
        <f>BY19*VLOOKUP('Données projet'!$B$12,Paramètres!$A$1:$I$89,3,0)*VLOOKUP('Données projet'!$B$12,Paramètres!$A$1:$I$89,5,0)</f>
        <v>19.036333004235363</v>
      </c>
      <c r="CA19" s="13">
        <f t="shared" si="39"/>
        <v>6.2257526608709322</v>
      </c>
      <c r="CB19" s="20">
        <f t="shared" si="10"/>
        <v>43.998132533393459</v>
      </c>
      <c r="CC19" s="59">
        <f t="shared" si="11"/>
        <v>337.33146586672677</v>
      </c>
      <c r="CD19" s="59">
        <f ca="1">AVERAGE(OFFSET($CC$3,0,0,'Données projet'!$E$12+1,1))-AVERAGE(OFFSET($H$3,0,0,'Données projet'!$E$12+1,1))</f>
        <v>244.7364260963538</v>
      </c>
      <c r="CE19" s="59">
        <f t="shared" si="40"/>
        <v>270.32853612539299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3.56</v>
      </c>
      <c r="CT19" s="12">
        <f>IF('Données projet'!$A$140&gt;35,CT18+CS19-DB18,IF(A19&lt;'Données projet'!$A$140,$CQ$205^A19,IF(A19='Données projet'!$A$140,'Données projet'!$B$140,CT18+CS19-DB18)))</f>
        <v>17.68518487944571</v>
      </c>
      <c r="CU19" s="17">
        <f>CT19*VLOOKUP('Données projet'!$B$13,Paramètres!$A$1:$I$89,3,0)*VLOOKUP('Données projet'!$B$13,Paramètres!$A$1:$I$89,5,0)</f>
        <v>17.10511081539989</v>
      </c>
      <c r="CV19" s="13">
        <f t="shared" si="41"/>
        <v>5.6642459542936416</v>
      </c>
      <c r="CW19" s="20">
        <f t="shared" si="13"/>
        <v>39.656629707216233</v>
      </c>
      <c r="CX19" s="59">
        <f t="shared" si="14"/>
        <v>332.98996304054953</v>
      </c>
      <c r="CY19" s="59">
        <f ca="1">AVERAGE(OFFSET($CX$3,0,0,'Données projet'!$E$13+1,1))-AVERAGE(OFFSET($H$3,0,0,'Données projet'!$E$13+1,1))</f>
        <v>216.39536568500222</v>
      </c>
      <c r="CZ19" s="59">
        <f t="shared" si="42"/>
        <v>239.44686980897467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10.077600000000004</v>
      </c>
      <c r="D20" s="11">
        <f t="shared" si="32"/>
        <v>3.5491014432460419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105.18857254435544</v>
      </c>
      <c r="H20" s="67">
        <f t="shared" si="1"/>
        <v>317.06650501365351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34.703799297332367</v>
      </c>
      <c r="P20" s="13">
        <f t="shared" si="33"/>
        <v>10.583497277259243</v>
      </c>
      <c r="Q20" s="20">
        <f t="shared" si="2"/>
        <v>78.875374867413711</v>
      </c>
      <c r="R20" s="59">
        <f t="shared" si="0"/>
        <v>372.20870820074703</v>
      </c>
      <c r="S20" s="59">
        <f ca="1">AVERAGE(OFFSET($R$3,0,0,'Données projet'!$E$9+1,1))-AVERAGE(OFFSET($H$3,0,0,'Données projet'!$E$9+1,1))</f>
        <v>330.30341204367602</v>
      </c>
      <c r="T20" s="59">
        <f t="shared" si="34"/>
        <v>200.36653694091007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4.5555555555555554</v>
      </c>
      <c r="AI20" s="13">
        <f>IF('Données projet'!$A$62&gt;35,AI19+AH20-AQ19,IF(A20&lt;'Données projet'!$A$62,$AF$205^A20,IF(A20='Données projet'!$A$62,'Données projet'!$B$62,AI19+AH20-AQ19)))</f>
        <v>64.193471231102905</v>
      </c>
      <c r="AJ20" s="13">
        <f>AI20*VLOOKUP('Données projet'!$B$10,Paramètres!$A$1:$I$89,3,0)*VLOOKUP('Données projet'!$B$10,Paramètres!$A$1:$I$89,5,0)</f>
        <v>38.387695796199537</v>
      </c>
      <c r="AK20" s="13">
        <f t="shared" si="35"/>
        <v>11.570287632222385</v>
      </c>
      <c r="AL20" s="20">
        <f t="shared" si="4"/>
        <v>87.010154471168178</v>
      </c>
      <c r="AM20" s="59">
        <f t="shared" si="5"/>
        <v>380.34348780450148</v>
      </c>
      <c r="AN20" s="59">
        <f ca="1">AVERAGE(OFFSET($AM$3,0,0,'Données projet'!$E$10+1,1))-AVERAGE(OFFSET($H$3,0,0,'Données projet'!$E$10+1,1))</f>
        <v>465.77577582457678</v>
      </c>
      <c r="AO20" s="59">
        <f t="shared" si="36"/>
        <v>301.15495784503042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5.85</v>
      </c>
      <c r="BD20" s="12">
        <f>IF('Données projet'!$A$88&gt;35,BD19+BC20-BL19,IF(A20&lt;'Données projet'!$A$88,$BA$205^A20,IF(A20='Données projet'!$A$88,'Données projet'!$B$88,BD19+BC20-BL19)))</f>
        <v>57.274061627749042</v>
      </c>
      <c r="BE20" s="13">
        <f>BD20*VLOOKUP('Données projet'!$B$11,Paramètres!$A$1:$I$89,3,0)*VLOOKUP('Données projet'!$B$11,Paramètres!$A$1:$I$89,5,0)</f>
        <v>44.673768069644254</v>
      </c>
      <c r="BF20" s="13">
        <f t="shared" si="37"/>
        <v>13.229350691055696</v>
      </c>
      <c r="BG20" s="20">
        <f t="shared" si="7"/>
        <v>100.84793184155241</v>
      </c>
      <c r="BH20" s="59">
        <f t="shared" si="8"/>
        <v>394.18126517488571</v>
      </c>
      <c r="BI20" s="59">
        <f ca="1">AVERAGE(OFFSET($BH$3,0,0,'Données projet'!$E$11+1,1))-AVERAGE(OFFSET($H$3,0,0,'Données projet'!$E$11+1,1))</f>
        <v>219.5868031007679</v>
      </c>
      <c r="BJ20" s="59">
        <f t="shared" si="38"/>
        <v>263.3830219837742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3.56</v>
      </c>
      <c r="BY20" s="12">
        <f>IF('Données projet'!$A$114&gt;35,BY19+BX20-CG19,IF(A20&lt;'Données projet'!$A$114,$BV$205^A20,IF(A20='Données projet'!$A$114,'Données projet'!$B$114,BY19+BX20-CG19)))</f>
        <v>21.163388504175224</v>
      </c>
      <c r="BZ20" s="13">
        <f>BY20*VLOOKUP('Données projet'!$B$12,Paramètres!$A$1:$I$89,3,0)*VLOOKUP('Données projet'!$B$12,Paramètres!$A$1:$I$89,5,0)</f>
        <v>22.78027138589421</v>
      </c>
      <c r="CA20" s="13">
        <f t="shared" si="39"/>
        <v>7.2961054680790616</v>
      </c>
      <c r="CB20" s="20">
        <f t="shared" si="10"/>
        <v>52.383023020670116</v>
      </c>
      <c r="CC20" s="59">
        <f t="shared" si="11"/>
        <v>345.71635635400344</v>
      </c>
      <c r="CD20" s="59">
        <f ca="1">AVERAGE(OFFSET($CC$3,0,0,'Données projet'!$E$12+1,1))-AVERAGE(OFFSET($H$3,0,0,'Données projet'!$E$12+1,1))</f>
        <v>244.7364260963538</v>
      </c>
      <c r="CE20" s="59">
        <f t="shared" si="40"/>
        <v>270.32853612539299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3.56</v>
      </c>
      <c r="CT20" s="12">
        <f>IF('Données projet'!$A$140&gt;35,CT19+CS20-DB19,IF(A20&lt;'Données projet'!$A$140,$CQ$205^A20,IF(A20='Données projet'!$A$140,'Données projet'!$B$140,CT19+CS20-DB19)))</f>
        <v>21.163388504175224</v>
      </c>
      <c r="CU20" s="17">
        <f>CT20*VLOOKUP('Données projet'!$B$13,Paramètres!$A$1:$I$89,3,0)*VLOOKUP('Données projet'!$B$13,Paramètres!$A$1:$I$89,5,0)</f>
        <v>20.469229361238277</v>
      </c>
      <c r="CV20" s="13">
        <f t="shared" si="41"/>
        <v>6.6380625975406575</v>
      </c>
      <c r="CW20" s="20">
        <f t="shared" si="13"/>
        <v>47.211866828206638</v>
      </c>
      <c r="CX20" s="59">
        <f t="shared" si="14"/>
        <v>340.54520016153992</v>
      </c>
      <c r="CY20" s="59">
        <f ca="1">AVERAGE(OFFSET($CX$3,0,0,'Données projet'!$E$13+1,1))-AVERAGE(OFFSET($H$3,0,0,'Données projet'!$E$13+1,1))</f>
        <v>216.39536568500222</v>
      </c>
      <c r="CZ20" s="59">
        <f t="shared" si="42"/>
        <v>239.44686980897467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10.670400000000004</v>
      </c>
      <c r="D21" s="11">
        <f t="shared" si="32"/>
        <v>3.7329530817348471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111.18377817479535</v>
      </c>
      <c r="H21" s="67">
        <f t="shared" si="1"/>
        <v>318.4191732840215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43.007397804163212</v>
      </c>
      <c r="P21" s="13">
        <f t="shared" si="33"/>
        <v>12.792363936215189</v>
      </c>
      <c r="Q21" s="20">
        <f t="shared" si="2"/>
        <v>97.184585031159045</v>
      </c>
      <c r="R21" s="59">
        <f t="shared" si="0"/>
        <v>390.51791836449235</v>
      </c>
      <c r="S21" s="59">
        <f ca="1">AVERAGE(OFFSET($R$3,0,0,'Données projet'!$E$9+1,1))-AVERAGE(OFFSET($H$3,0,0,'Données projet'!$E$9+1,1))</f>
        <v>330.30341204367602</v>
      </c>
      <c r="T21" s="59">
        <f t="shared" si="34"/>
        <v>200.36653694091007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>
        <f>VLOOKUP(A21,'Données projet'!$A$61:$I$81,2,0)</f>
        <v>82</v>
      </c>
      <c r="AG21" s="12">
        <f>VLOOKUP(A21,'Données projet'!$A$61:$I$81,9,0)</f>
        <v>4.5555555555555554</v>
      </c>
      <c r="AH21" s="12">
        <f t="array" ref="AH21">INDEX(AG:AG,MIN(IF(ISNUMBER(AG21:AG217),ROW(AG21:AG217),"")))</f>
        <v>4.5555555555555554</v>
      </c>
      <c r="AI21" s="13">
        <f>IF('Données projet'!$A$62&gt;35,AI20+AH21-AQ20,IF(A21&lt;'Données projet'!$A$62,$AF$205^A21,IF(A21='Données projet'!$A$62,'Données projet'!$B$62,AI20+AH21-AQ20)))</f>
        <v>82</v>
      </c>
      <c r="AJ21" s="13">
        <f>AI21*VLOOKUP('Données projet'!$B$10,Paramètres!$A$1:$I$89,3,0)*VLOOKUP('Données projet'!$B$10,Paramètres!$A$1:$I$89,5,0)</f>
        <v>49.036000000000001</v>
      </c>
      <c r="AK21" s="13">
        <f t="shared" si="35"/>
        <v>14.364521080802803</v>
      </c>
      <c r="AL21" s="20">
        <f t="shared" si="4"/>
        <v>110.42257421573156</v>
      </c>
      <c r="AM21" s="59">
        <f t="shared" si="5"/>
        <v>403.75590754906489</v>
      </c>
      <c r="AN21" s="59">
        <f ca="1">AVERAGE(OFFSET($AM$3,0,0,'Données projet'!$E$10+1,1))-AVERAGE(OFFSET($H$3,0,0,'Données projet'!$E$10+1,1))</f>
        <v>465.77577582457678</v>
      </c>
      <c r="AO21" s="59">
        <f t="shared" si="36"/>
        <v>301.15495784503042</v>
      </c>
      <c r="AP21" s="15">
        <f>IF(ISNA(VLOOKUP(A21,'Données projet'!$A$61:$I$81,3,0)),0,VLOOKUP(A21,'Données projet'!$A$61:$I$81,3,0))</f>
        <v>1</v>
      </c>
      <c r="AQ21" s="15">
        <f>IF(ISNA(VLOOKUP(A21,'Données projet'!$A$61:$I$81,4,0)),0,VLOOKUP(A21,'Données projet'!$A$61:$I$81,4,0))</f>
        <v>45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0.27</v>
      </c>
      <c r="AT21" s="16">
        <f>IF(ISNA(VLOOKUP(A21,'Données projet'!$A$61:$I$81,7,0)),0%,VLOOKUP(A21,'Données projet'!$A$61:$I$81,7,0))</f>
        <v>0.4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9.6004692343257449</v>
      </c>
      <c r="AW21" s="21">
        <f>EXP(-LN(2)/2)*AW20+(1-EXP(-LN(2)/2))/(LN(2)/2)*AQ21*AT21*VLOOKUP('Données projet'!$B$10,Paramètres!$A$1:$I$89,3,0)*0.475*44/12</f>
        <v>12.187348450574879</v>
      </c>
      <c r="AX21" s="21">
        <f t="shared" si="6"/>
        <v>21.787817684900624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5.85</v>
      </c>
      <c r="BD21" s="12">
        <f>IF('Données projet'!$A$88&gt;35,BD20+BC21-BL20,IF(A21&lt;'Données projet'!$A$88,$BA$205^A21,IF(A21='Données projet'!$A$88,'Données projet'!$B$88,BD20+BC21-BL20)))</f>
        <v>72.672027280698373</v>
      </c>
      <c r="BE21" s="13">
        <f>BD21*VLOOKUP('Données projet'!$B$11,Paramètres!$A$1:$I$89,3,0)*VLOOKUP('Données projet'!$B$11,Paramètres!$A$1:$I$89,5,0)</f>
        <v>56.684181278944735</v>
      </c>
      <c r="BF21" s="13">
        <f t="shared" si="37"/>
        <v>16.327172474251263</v>
      </c>
      <c r="BG21" s="20">
        <f t="shared" si="7"/>
        <v>127.16144112014972</v>
      </c>
      <c r="BH21" s="59">
        <f t="shared" si="8"/>
        <v>420.49477445348305</v>
      </c>
      <c r="BI21" s="59">
        <f ca="1">AVERAGE(OFFSET($BH$3,0,0,'Données projet'!$E$11+1,1))-AVERAGE(OFFSET($H$3,0,0,'Données projet'!$E$11+1,1))</f>
        <v>219.5868031007679</v>
      </c>
      <c r="BJ21" s="59">
        <f t="shared" si="38"/>
        <v>263.3830219837742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3.56</v>
      </c>
      <c r="BY21" s="12">
        <f>IF('Données projet'!$A$114&gt;35,BY20+BX21-CG20,IF(A21&lt;'Données projet'!$A$114,$BV$205^A21,IF(A21='Données projet'!$A$114,'Données projet'!$B$114,BY20+BX21-CG20)))</f>
        <v>25.325661904683113</v>
      </c>
      <c r="BZ21" s="13">
        <f>BY21*VLOOKUP('Données projet'!$B$12,Paramètres!$A$1:$I$89,3,0)*VLOOKUP('Données projet'!$B$12,Paramètres!$A$1:$I$89,5,0)</f>
        <v>27.2605424742009</v>
      </c>
      <c r="CA21" s="13">
        <f t="shared" si="39"/>
        <v>8.5504770107404671</v>
      </c>
      <c r="CB21" s="20">
        <f t="shared" si="10"/>
        <v>62.370858936272889</v>
      </c>
      <c r="CC21" s="59">
        <f t="shared" si="11"/>
        <v>355.70419226960621</v>
      </c>
      <c r="CD21" s="59">
        <f ca="1">AVERAGE(OFFSET($CC$3,0,0,'Données projet'!$E$12+1,1))-AVERAGE(OFFSET($H$3,0,0,'Données projet'!$E$12+1,1))</f>
        <v>244.7364260963538</v>
      </c>
      <c r="CE21" s="59">
        <f t="shared" si="40"/>
        <v>270.32853612539299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3.56</v>
      </c>
      <c r="CT21" s="12">
        <f>IF('Données projet'!$A$140&gt;35,CT20+CS21-DB20,IF(A21&lt;'Données projet'!$A$140,$CQ$205^A21,IF(A21='Données projet'!$A$140,'Données projet'!$B$140,CT20+CS21-DB20)))</f>
        <v>25.325661904683113</v>
      </c>
      <c r="CU21" s="17">
        <f>CT21*VLOOKUP('Données projet'!$B$13,Paramètres!$A$1:$I$89,3,0)*VLOOKUP('Données projet'!$B$13,Paramètres!$A$1:$I$89,5,0)</f>
        <v>24.494980194209507</v>
      </c>
      <c r="CV21" s="13">
        <f t="shared" si="41"/>
        <v>7.779301146954376</v>
      </c>
      <c r="CW21" s="20">
        <f t="shared" si="13"/>
        <v>56.211040002527092</v>
      </c>
      <c r="CX21" s="59">
        <f t="shared" si="14"/>
        <v>349.54437333586043</v>
      </c>
      <c r="CY21" s="59">
        <f ca="1">AVERAGE(OFFSET($CX$3,0,0,'Données projet'!$E$13+1,1))-AVERAGE(OFFSET($H$3,0,0,'Données projet'!$E$13+1,1))</f>
        <v>216.39536568500222</v>
      </c>
      <c r="CZ21" s="59">
        <f t="shared" si="42"/>
        <v>239.44686980897467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11.263200000000005</v>
      </c>
      <c r="D22" s="11">
        <f t="shared" si="32"/>
        <v>3.9156190049906194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117.1698309157171</v>
      </c>
      <c r="H22" s="67">
        <f t="shared" si="1"/>
        <v>319.76977643369196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53.297803218557732</v>
      </c>
      <c r="P22" s="13">
        <f t="shared" si="33"/>
        <v>15.462240012873817</v>
      </c>
      <c r="Q22" s="20">
        <f t="shared" si="2"/>
        <v>119.75707529474329</v>
      </c>
      <c r="R22" s="59">
        <f t="shared" si="0"/>
        <v>413.0904086280766</v>
      </c>
      <c r="S22" s="59">
        <f ca="1">AVERAGE(OFFSET($R$3,0,0,'Données projet'!$E$9+1,1))-AVERAGE(OFFSET($H$3,0,0,'Données projet'!$E$9+1,1))</f>
        <v>330.30341204367602</v>
      </c>
      <c r="T22" s="59">
        <f t="shared" si="34"/>
        <v>200.36653694091007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30.2</v>
      </c>
      <c r="AI22" s="13">
        <f>IF('Données projet'!$A$62&gt;35,AI21+AH22-AQ21,IF(A22&lt;'Données projet'!$A$62,$AF$205^A22,IF(A22='Données projet'!$A$62,'Données projet'!$B$62,AI21+AH22-AQ21)))</f>
        <v>67.2</v>
      </c>
      <c r="AJ22" s="13">
        <f>AI22*VLOOKUP('Données projet'!$B$10,Paramètres!$A$1:$I$89,3,0)*VLOOKUP('Données projet'!$B$10,Paramètres!$A$1:$I$89,5,0)</f>
        <v>40.185600000000008</v>
      </c>
      <c r="AK22" s="13">
        <f t="shared" si="35"/>
        <v>12.047826945473735</v>
      </c>
      <c r="AL22" s="20">
        <f t="shared" si="4"/>
        <v>90.973218596700107</v>
      </c>
      <c r="AM22" s="59">
        <f t="shared" si="5"/>
        <v>384.30655193003344</v>
      </c>
      <c r="AN22" s="59">
        <f ca="1">AVERAGE(OFFSET($AM$3,0,0,'Données projet'!$E$10+1,1))-AVERAGE(OFFSET($H$3,0,0,'Données projet'!$E$10+1,1))</f>
        <v>465.77577582457678</v>
      </c>
      <c r="AO22" s="59">
        <f t="shared" si="36"/>
        <v>301.15495784503042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9.3379438982463725</v>
      </c>
      <c r="AW22" s="21">
        <f>EXP(-LN(2)/2)*AW21+(1-EXP(-LN(2)/2))/(LN(2)/2)*AQ22*AT22*VLOOKUP('Données projet'!$B$10,Paramètres!$A$1:$I$89,3,0)*0.475*44/12</f>
        <v>8.6177567340848604</v>
      </c>
      <c r="AX22" s="21">
        <f t="shared" si="6"/>
        <v>17.955700632331233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5.85</v>
      </c>
      <c r="BD22" s="12">
        <f>IF('Données projet'!$A$88&gt;35,BD21+BC22-BL21,IF(A22&lt;'Données projet'!$A$88,$BA$205^A22,IF(A22='Données projet'!$A$88,'Données projet'!$B$88,BD21+BC22-BL21)))</f>
        <v>92.209691420380025</v>
      </c>
      <c r="BE22" s="13">
        <f>BD22*VLOOKUP('Données projet'!$B$11,Paramètres!$A$1:$I$89,3,0)*VLOOKUP('Données projet'!$B$11,Paramètres!$A$1:$I$89,5,0)</f>
        <v>71.923559307896426</v>
      </c>
      <c r="BF22" s="13">
        <f t="shared" si="37"/>
        <v>20.150388876166009</v>
      </c>
      <c r="BG22" s="20">
        <f t="shared" si="7"/>
        <v>160.36212642057541</v>
      </c>
      <c r="BH22" s="59">
        <f t="shared" si="8"/>
        <v>453.69545975390872</v>
      </c>
      <c r="BI22" s="59">
        <f ca="1">AVERAGE(OFFSET($BH$3,0,0,'Données projet'!$E$11+1,1))-AVERAGE(OFFSET($H$3,0,0,'Données projet'!$E$11+1,1))</f>
        <v>219.5868031007679</v>
      </c>
      <c r="BJ22" s="59">
        <f t="shared" si="38"/>
        <v>263.3830219837742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3.56</v>
      </c>
      <c r="BY22" s="12">
        <f>IF('Données projet'!$A$114&gt;35,BY21+BX22-CG21,IF(A22&lt;'Données projet'!$A$114,$BV$205^A22,IF(A22='Données projet'!$A$114,'Données projet'!$B$114,BY21+BX22-CG21)))</f>
        <v>30.306543339398647</v>
      </c>
      <c r="BZ22" s="13">
        <f>BY22*VLOOKUP('Données projet'!$B$12,Paramètres!$A$1:$I$89,3,0)*VLOOKUP('Données projet'!$B$12,Paramètres!$A$1:$I$89,5,0)</f>
        <v>32.621963250528701</v>
      </c>
      <c r="CA22" s="13">
        <f t="shared" si="39"/>
        <v>10.020504422676616</v>
      </c>
      <c r="CB22" s="20">
        <f t="shared" si="10"/>
        <v>74.268964530832605</v>
      </c>
      <c r="CC22" s="59">
        <f t="shared" si="11"/>
        <v>367.60229786416591</v>
      </c>
      <c r="CD22" s="59">
        <f ca="1">AVERAGE(OFFSET($CC$3,0,0,'Données projet'!$E$12+1,1))-AVERAGE(OFFSET($H$3,0,0,'Données projet'!$E$12+1,1))</f>
        <v>244.7364260963538</v>
      </c>
      <c r="CE22" s="59">
        <f t="shared" si="40"/>
        <v>270.32853612539299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3.56</v>
      </c>
      <c r="CT22" s="12">
        <f>IF('Données projet'!$A$140&gt;35,CT21+CS22-DB21,IF(A22&lt;'Données projet'!$A$140,$CQ$205^A22,IF(A22='Données projet'!$A$140,'Données projet'!$B$140,CT21+CS22-DB21)))</f>
        <v>30.306543339398647</v>
      </c>
      <c r="CU22" s="17">
        <f>CT22*VLOOKUP('Données projet'!$B$13,Paramètres!$A$1:$I$89,3,0)*VLOOKUP('Données projet'!$B$13,Paramètres!$A$1:$I$89,5,0)</f>
        <v>29.312488717866373</v>
      </c>
      <c r="CV22" s="13">
        <f t="shared" si="41"/>
        <v>9.1167453523904527</v>
      </c>
      <c r="CW22" s="20">
        <f t="shared" si="13"/>
        <v>66.930916005697313</v>
      </c>
      <c r="CX22" s="59">
        <f t="shared" si="14"/>
        <v>360.26424933903064</v>
      </c>
      <c r="CY22" s="59">
        <f ca="1">AVERAGE(OFFSET($CX$3,0,0,'Données projet'!$E$13+1,1))-AVERAGE(OFFSET($H$3,0,0,'Données projet'!$E$13+1,1))</f>
        <v>216.39536568500222</v>
      </c>
      <c r="CZ22" s="59">
        <f t="shared" si="42"/>
        <v>239.44686980897467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11.856000000000005</v>
      </c>
      <c r="D23" s="11">
        <f t="shared" si="32"/>
        <v>4.0971687359997011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123.14726743578721</v>
      </c>
      <c r="H23" s="67">
        <f t="shared" si="1"/>
        <v>321.11843554853283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66.050399999999996</v>
      </c>
      <c r="P23" s="13">
        <f t="shared" si="33"/>
        <v>18.689342126897891</v>
      </c>
      <c r="Q23" s="20">
        <f t="shared" si="2"/>
        <v>147.58838420434714</v>
      </c>
      <c r="R23" s="59">
        <f t="shared" si="0"/>
        <v>440.92171753768048</v>
      </c>
      <c r="S23" s="59">
        <f ca="1">AVERAGE(OFFSET($R$3,0,0,'Données projet'!$E$9+1,1))-AVERAGE(OFFSET($H$3,0,0,'Données projet'!$E$9+1,1))</f>
        <v>330.30341204367602</v>
      </c>
      <c r="T23" s="59">
        <f t="shared" si="34"/>
        <v>200.36653694091007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6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30.2</v>
      </c>
      <c r="AI23" s="13">
        <f>IF('Données projet'!$A$62&gt;35,AI22+AH23-AQ22,IF(A23&lt;'Données projet'!$A$62,$AF$205^A23,IF(A23='Données projet'!$A$62,'Données projet'!$B$62,AI22+AH23-AQ22)))</f>
        <v>97.4</v>
      </c>
      <c r="AJ23" s="13">
        <f>AI23*VLOOKUP('Données projet'!$B$10,Paramètres!$A$1:$I$89,3,0)*VLOOKUP('Données projet'!$B$10,Paramètres!$A$1:$I$89,5,0)</f>
        <v>58.245200000000004</v>
      </c>
      <c r="AK23" s="13">
        <f t="shared" si="35"/>
        <v>16.723836973851984</v>
      </c>
      <c r="AL23" s="20">
        <f t="shared" si="4"/>
        <v>130.57107272945888</v>
      </c>
      <c r="AM23" s="59">
        <f t="shared" si="5"/>
        <v>423.90440606279219</v>
      </c>
      <c r="AN23" s="59">
        <f ca="1">AVERAGE(OFFSET($AM$3,0,0,'Données projet'!$E$10+1,1))-AVERAGE(OFFSET($H$3,0,0,'Données projet'!$E$10+1,1))</f>
        <v>465.77577582457678</v>
      </c>
      <c r="AO23" s="59">
        <f t="shared" si="36"/>
        <v>301.15495784503042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9.0825973312876975</v>
      </c>
      <c r="AW23" s="21">
        <f>EXP(-LN(2)/2)*AW22+(1-EXP(-LN(2)/2))/(LN(2)/2)*AQ23*AT23*VLOOKUP('Données projet'!$B$10,Paramètres!$A$1:$I$89,3,0)*0.475*44/12</f>
        <v>6.0936742252874403</v>
      </c>
      <c r="AX23" s="21">
        <f t="shared" si="6"/>
        <v>15.176271556575138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117</v>
      </c>
      <c r="BB23" s="12">
        <f>VLOOKUP(A23,'Données projet'!$A$87:$I$107,9,0)</f>
        <v>5.85</v>
      </c>
      <c r="BC23" s="12">
        <f t="array" ref="BC23">INDEX(BB:BB,MIN(IF(ISNUMBER(BB23:BB219),ROW(BB23:BB219),"")))</f>
        <v>5.85</v>
      </c>
      <c r="BD23" s="12">
        <f>IF('Données projet'!$A$88&gt;35,BD22+BC23-BL22,IF(A23&lt;'Données projet'!$A$88,$BA$205^A23,IF(A23='Données projet'!$A$88,'Données projet'!$B$88,BD22+BC23-BL22)))</f>
        <v>117</v>
      </c>
      <c r="BE23" s="13">
        <f>BD23*VLOOKUP('Données projet'!$B$11,Paramètres!$A$1:$I$89,3,0)*VLOOKUP('Données projet'!$B$11,Paramètres!$A$1:$I$89,5,0)</f>
        <v>91.26</v>
      </c>
      <c r="BF23" s="13">
        <f t="shared" si="37"/>
        <v>24.868860330902777</v>
      </c>
      <c r="BG23" s="20">
        <f t="shared" si="7"/>
        <v>202.25776507632233</v>
      </c>
      <c r="BH23" s="59">
        <f t="shared" si="8"/>
        <v>495.59109840965561</v>
      </c>
      <c r="BI23" s="59">
        <f ca="1">AVERAGE(OFFSET($BH$3,0,0,'Données projet'!$E$11+1,1))-AVERAGE(OFFSET($H$3,0,0,'Données projet'!$E$11+1,1))</f>
        <v>219.5868031007679</v>
      </c>
      <c r="BJ23" s="59">
        <f t="shared" si="38"/>
        <v>263.3830219837742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27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3.56</v>
      </c>
      <c r="BY23" s="12">
        <f>IF('Données projet'!$A$114&gt;35,BY22+BX23-CG22,IF(A23&lt;'Données projet'!$A$114,$BV$205^A23,IF(A23='Données projet'!$A$114,'Données projet'!$B$114,BY22+BX23-CG22)))</f>
        <v>36.267031149657967</v>
      </c>
      <c r="BZ23" s="13">
        <f>BY23*VLOOKUP('Données projet'!$B$12,Paramètres!$A$1:$I$89,3,0)*VLOOKUP('Données projet'!$B$12,Paramètres!$A$1:$I$89,5,0)</f>
        <v>39.037832329491835</v>
      </c>
      <c r="CA23" s="13">
        <f t="shared" si="39"/>
        <v>11.743264002552539</v>
      </c>
      <c r="CB23" s="20">
        <f t="shared" si="10"/>
        <v>88.443742778310593</v>
      </c>
      <c r="CC23" s="59">
        <f t="shared" si="11"/>
        <v>381.77707611164391</v>
      </c>
      <c r="CD23" s="59">
        <f ca="1">AVERAGE(OFFSET($CC$3,0,0,'Données projet'!$E$12+1,1))-AVERAGE(OFFSET($H$3,0,0,'Données projet'!$E$12+1,1))</f>
        <v>244.7364260963538</v>
      </c>
      <c r="CE23" s="59">
        <f t="shared" si="40"/>
        <v>270.32853612539299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3.56</v>
      </c>
      <c r="CT23" s="12">
        <f>IF('Données projet'!$A$140&gt;35,CT22+CS23-DB22,IF(A23&lt;'Données projet'!$A$140,$CQ$205^A23,IF(A23='Données projet'!$A$140,'Données projet'!$B$140,CT22+CS23-DB22)))</f>
        <v>36.267031149657967</v>
      </c>
      <c r="CU23" s="17">
        <f>CT23*VLOOKUP('Données projet'!$B$13,Paramètres!$A$1:$I$89,3,0)*VLOOKUP('Données projet'!$B$13,Paramètres!$A$1:$I$89,5,0)</f>
        <v>35.077472527949183</v>
      </c>
      <c r="CV23" s="13">
        <f t="shared" si="41"/>
        <v>10.684127564964207</v>
      </c>
      <c r="CW23" s="20">
        <f t="shared" si="13"/>
        <v>79.70145349515748</v>
      </c>
      <c r="CX23" s="59">
        <f t="shared" si="14"/>
        <v>373.03478682849078</v>
      </c>
      <c r="CY23" s="59">
        <f ca="1">AVERAGE(OFFSET($CX$3,0,0,'Données projet'!$E$13+1,1))-AVERAGE(OFFSET($H$3,0,0,'Données projet'!$E$13+1,1))</f>
        <v>216.39536568500222</v>
      </c>
      <c r="CZ23" s="59">
        <f t="shared" si="42"/>
        <v>239.44686980897467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12.448800000000006</v>
      </c>
      <c r="D24" s="11">
        <f t="shared" si="32"/>
        <v>4.277664452717965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129.11656770519136</v>
      </c>
      <c r="H24" s="67">
        <f t="shared" si="1"/>
        <v>322.46525892181711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7.2</v>
      </c>
      <c r="N24" s="13">
        <f>IF('Données projet'!$A$36&gt;35,N23+M24-V23,IF(A24&lt;'Données projet'!$A$36,$K$205^A24,IF(A24='Données projet'!$A$36,'Données projet'!$B$36,N23+M24-V23)))</f>
        <v>74.2</v>
      </c>
      <c r="O24" s="13">
        <f>N24*VLOOKUP('Données projet'!$B$9,Paramètres!$A$1:$I$89,3,0)*VLOOKUP('Données projet'!$B$9,Paramètres!$A$1:$I$89,5,0)</f>
        <v>67.136160000000004</v>
      </c>
      <c r="P24" s="13">
        <f t="shared" si="33"/>
        <v>18.960545405756019</v>
      </c>
      <c r="Q24" s="20">
        <f t="shared" si="2"/>
        <v>149.95176191502506</v>
      </c>
      <c r="R24" s="59">
        <f t="shared" si="0"/>
        <v>443.2850952483584</v>
      </c>
      <c r="S24" s="59">
        <f ca="1">AVERAGE(OFFSET($R$3,0,0,'Données projet'!$E$9+1,1))-AVERAGE(OFFSET($H$3,0,0,'Données projet'!$E$9+1,1))</f>
        <v>330.30341204367602</v>
      </c>
      <c r="T24" s="59">
        <f t="shared" si="34"/>
        <v>200.36653694091007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30.2</v>
      </c>
      <c r="AI24" s="13">
        <f>IF('Données projet'!$A$62&gt;35,AI23+AH24-AQ23,IF(A24&lt;'Données projet'!$A$62,$AF$205^A24,IF(A24='Données projet'!$A$62,'Données projet'!$B$62,AI23+AH24-AQ23)))</f>
        <v>127.60000000000001</v>
      </c>
      <c r="AJ24" s="13">
        <f>AI24*VLOOKUP('Données projet'!$B$10,Paramètres!$A$1:$I$89,3,0)*VLOOKUP('Données projet'!$B$10,Paramètres!$A$1:$I$89,5,0)</f>
        <v>76.304800000000014</v>
      </c>
      <c r="AK24" s="13">
        <f t="shared" si="35"/>
        <v>21.23121688972352</v>
      </c>
      <c r="AL24" s="20">
        <f t="shared" si="4"/>
        <v>169.87522941626847</v>
      </c>
      <c r="AM24" s="59">
        <f t="shared" si="5"/>
        <v>463.20856274960181</v>
      </c>
      <c r="AN24" s="59">
        <f ca="1">AVERAGE(OFFSET($AM$3,0,0,'Données projet'!$E$10+1,1))-AVERAGE(OFFSET($H$3,0,0,'Données projet'!$E$10+1,1))</f>
        <v>465.77577582457678</v>
      </c>
      <c r="AO24" s="59">
        <f t="shared" si="36"/>
        <v>301.15495784503042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8.8342332296306001</v>
      </c>
      <c r="AW24" s="21">
        <f>EXP(-LN(2)/2)*AW23+(1-EXP(-LN(2)/2))/(LN(2)/2)*AQ24*AT24*VLOOKUP('Données projet'!$B$10,Paramètres!$A$1:$I$89,3,0)*0.475*44/12</f>
        <v>4.3088783670424311</v>
      </c>
      <c r="AX24" s="21">
        <f t="shared" si="6"/>
        <v>13.14311159667303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10</v>
      </c>
      <c r="BD24" s="12">
        <f>IF('Données projet'!$A$88&gt;35,BD23+BC24-BL23,IF(A24&lt;'Données projet'!$A$88,$BA$205^A24,IF(A24='Données projet'!$A$88,'Données projet'!$B$88,BD23+BC24-BL23)))</f>
        <v>100</v>
      </c>
      <c r="BE24" s="13">
        <f>BD24*VLOOKUP('Données projet'!$B$11,Paramètres!$A$1:$I$89,3,0)*VLOOKUP('Données projet'!$B$11,Paramètres!$A$1:$I$89,5,0)</f>
        <v>78</v>
      </c>
      <c r="BF24" s="13">
        <f t="shared" si="37"/>
        <v>21.647455512768612</v>
      </c>
      <c r="BG24" s="20">
        <f t="shared" si="7"/>
        <v>173.55265168473866</v>
      </c>
      <c r="BH24" s="59">
        <f t="shared" si="8"/>
        <v>466.88598501807201</v>
      </c>
      <c r="BI24" s="59">
        <f ca="1">AVERAGE(OFFSET($BH$3,0,0,'Données projet'!$E$11+1,1))-AVERAGE(OFFSET($H$3,0,0,'Données projet'!$E$11+1,1))</f>
        <v>219.5868031007679</v>
      </c>
      <c r="BJ24" s="59">
        <f t="shared" si="38"/>
        <v>263.3830219837742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3.56</v>
      </c>
      <c r="BY24" s="12">
        <f>IF('Données projet'!$A$114&gt;35,BY23+BX24-CG23,IF(A24&lt;'Données projet'!$A$114,$BV$205^A24,IF(A24='Données projet'!$A$114,'Données projet'!$B$114,BY23+BX24-CG23)))</f>
        <v>43.399787751457886</v>
      </c>
      <c r="BZ24" s="13">
        <f>BY24*VLOOKUP('Données projet'!$B$12,Paramètres!$A$1:$I$89,3,0)*VLOOKUP('Données projet'!$B$12,Paramètres!$A$1:$I$89,5,0)</f>
        <v>46.715531535669271</v>
      </c>
      <c r="CA24" s="13">
        <f t="shared" si="39"/>
        <v>13.762206333801524</v>
      </c>
      <c r="CB24" s="20">
        <f t="shared" si="10"/>
        <v>105.33206012266163</v>
      </c>
      <c r="CC24" s="59">
        <f t="shared" si="11"/>
        <v>398.66539345599494</v>
      </c>
      <c r="CD24" s="59">
        <f ca="1">AVERAGE(OFFSET($CC$3,0,0,'Données projet'!$E$12+1,1))-AVERAGE(OFFSET($H$3,0,0,'Données projet'!$E$12+1,1))</f>
        <v>244.7364260963538</v>
      </c>
      <c r="CE24" s="59">
        <f t="shared" si="40"/>
        <v>270.32853612539299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3.56</v>
      </c>
      <c r="CT24" s="12">
        <f>IF('Données projet'!$A$140&gt;35,CT23+CS24-DB23,IF(A24&lt;'Données projet'!$A$140,$CQ$205^A24,IF(A24='Données projet'!$A$140,'Données projet'!$B$140,CT23+CS24-DB23)))</f>
        <v>43.399787751457886</v>
      </c>
      <c r="CU24" s="17">
        <f>CT24*VLOOKUP('Données projet'!$B$13,Paramètres!$A$1:$I$89,3,0)*VLOOKUP('Données projet'!$B$13,Paramètres!$A$1:$I$89,5,0)</f>
        <v>41.976274713210074</v>
      </c>
      <c r="CV24" s="13">
        <f t="shared" si="41"/>
        <v>12.520979517596949</v>
      </c>
      <c r="CW24" s="20">
        <f t="shared" si="13"/>
        <v>94.91605111865556</v>
      </c>
      <c r="CX24" s="59">
        <f t="shared" si="14"/>
        <v>388.24938445198887</v>
      </c>
      <c r="CY24" s="59">
        <f ca="1">AVERAGE(OFFSET($CX$3,0,0,'Données projet'!$E$13+1,1))-AVERAGE(OFFSET($H$3,0,0,'Données projet'!$E$13+1,1))</f>
        <v>216.39536568500222</v>
      </c>
      <c r="CZ24" s="59">
        <f t="shared" si="42"/>
        <v>239.44686980897467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13.041600000000006</v>
      </c>
      <c r="D25" s="11">
        <f t="shared" si="32"/>
        <v>4.4571620767812288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135.07816339971478</v>
      </c>
      <c r="H25" s="67">
        <f t="shared" si="1"/>
        <v>323.81034395039399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7.2</v>
      </c>
      <c r="N25" s="13">
        <f>IF('Données projet'!$A$36&gt;35,N24+M25-V24,IF(A25&lt;'Données projet'!$A$36,$K$205^A25,IF(A25='Données projet'!$A$36,'Données projet'!$B$36,N24+M25-V24)))</f>
        <v>81.400000000000006</v>
      </c>
      <c r="O25" s="13">
        <f>N25*VLOOKUP('Données projet'!$B$9,Paramètres!$A$1:$I$89,3,0)*VLOOKUP('Données projet'!$B$9,Paramètres!$A$1:$I$89,5,0)</f>
        <v>73.650720000000007</v>
      </c>
      <c r="P25" s="13">
        <f t="shared" si="33"/>
        <v>20.577360172493922</v>
      </c>
      <c r="Q25" s="20">
        <f t="shared" si="2"/>
        <v>164.11390630042692</v>
      </c>
      <c r="R25" s="59">
        <f t="shared" si="0"/>
        <v>457.4472396337602</v>
      </c>
      <c r="S25" s="59">
        <f ca="1">AVERAGE(OFFSET($R$3,0,0,'Données projet'!$E$9+1,1))-AVERAGE(OFFSET($H$3,0,0,'Données projet'!$E$9+1,1))</f>
        <v>330.30341204367602</v>
      </c>
      <c r="T25" s="59">
        <f t="shared" si="34"/>
        <v>200.36653694091007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30.2</v>
      </c>
      <c r="AI25" s="13">
        <f>IF('Données projet'!$A$62&gt;35,AI24+AH25-AQ24,IF(A25&lt;'Données projet'!$A$62,$AF$205^A25,IF(A25='Données projet'!$A$62,'Données projet'!$B$62,AI24+AH25-AQ24)))</f>
        <v>157.80000000000001</v>
      </c>
      <c r="AJ25" s="13">
        <f>AI25*VLOOKUP('Données projet'!$B$10,Paramètres!$A$1:$I$89,3,0)*VLOOKUP('Données projet'!$B$10,Paramètres!$A$1:$I$89,5,0)</f>
        <v>94.364400000000018</v>
      </c>
      <c r="AK25" s="13">
        <f t="shared" si="35"/>
        <v>25.614894721634982</v>
      </c>
      <c r="AL25" s="20">
        <f t="shared" si="4"/>
        <v>208.96393830684761</v>
      </c>
      <c r="AM25" s="59">
        <f t="shared" si="5"/>
        <v>502.29727164018095</v>
      </c>
      <c r="AN25" s="59">
        <f ca="1">AVERAGE(OFFSET($AM$3,0,0,'Données projet'!$E$10+1,1))-AVERAGE(OFFSET($H$3,0,0,'Données projet'!$E$10+1,1))</f>
        <v>465.77577582457678</v>
      </c>
      <c r="AO25" s="59">
        <f t="shared" si="36"/>
        <v>301.15495784503042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8.5926606573942159</v>
      </c>
      <c r="AW25" s="21">
        <f>EXP(-LN(2)/2)*AW24+(1-EXP(-LN(2)/2))/(LN(2)/2)*AQ25*AT25*VLOOKUP('Données projet'!$B$10,Paramètres!$A$1:$I$89,3,0)*0.475*44/12</f>
        <v>3.0468371126437206</v>
      </c>
      <c r="AX25" s="21">
        <f t="shared" si="6"/>
        <v>11.639497770037936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10</v>
      </c>
      <c r="BD25" s="12">
        <f>IF('Données projet'!$A$88&gt;35,BD24+BC25-BL24,IF(A25&lt;'Données projet'!$A$88,$BA$205^A25,IF(A25='Données projet'!$A$88,'Données projet'!$B$88,BD24+BC25-BL24)))</f>
        <v>110</v>
      </c>
      <c r="BE25" s="13">
        <f>BD25*VLOOKUP('Données projet'!$B$11,Paramètres!$A$1:$I$89,3,0)*VLOOKUP('Données projet'!$B$11,Paramètres!$A$1:$I$89,5,0)</f>
        <v>85.8</v>
      </c>
      <c r="BF25" s="13">
        <f t="shared" si="37"/>
        <v>23.549485995669766</v>
      </c>
      <c r="BG25" s="20">
        <f t="shared" si="7"/>
        <v>190.45035477579151</v>
      </c>
      <c r="BH25" s="59">
        <f t="shared" si="8"/>
        <v>483.7836881091248</v>
      </c>
      <c r="BI25" s="59">
        <f ca="1">AVERAGE(OFFSET($BH$3,0,0,'Données projet'!$E$11+1,1))-AVERAGE(OFFSET($H$3,0,0,'Données projet'!$E$11+1,1))</f>
        <v>219.5868031007679</v>
      </c>
      <c r="BJ25" s="59">
        <f t="shared" si="38"/>
        <v>263.3830219837742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3.56</v>
      </c>
      <c r="BY25" s="12">
        <f>IF('Données projet'!$A$114&gt;35,BY24+BX25-CG24,IF(A25&lt;'Données projet'!$A$114,$BV$205^A25,IF(A25='Données projet'!$A$114,'Données projet'!$B$114,BY24+BX25-CG24)))</f>
        <v>51.935367113427411</v>
      </c>
      <c r="BZ25" s="13">
        <f>BY25*VLOOKUP('Données projet'!$B$12,Paramètres!$A$1:$I$89,3,0)*VLOOKUP('Données projet'!$B$12,Paramètres!$A$1:$I$89,5,0)</f>
        <v>55.903229160893261</v>
      </c>
      <c r="CA25" s="13">
        <f t="shared" si="39"/>
        <v>16.128252173582975</v>
      </c>
      <c r="CB25" s="20">
        <f t="shared" si="10"/>
        <v>125.45482999087945</v>
      </c>
      <c r="CC25" s="59">
        <f t="shared" si="11"/>
        <v>418.78816332421275</v>
      </c>
      <c r="CD25" s="59">
        <f ca="1">AVERAGE(OFFSET($CC$3,0,0,'Données projet'!$E$12+1,1))-AVERAGE(OFFSET($H$3,0,0,'Données projet'!$E$12+1,1))</f>
        <v>244.7364260963538</v>
      </c>
      <c r="CE25" s="59">
        <f t="shared" si="40"/>
        <v>270.32853612539299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3.56</v>
      </c>
      <c r="CT25" s="12">
        <f>IF('Données projet'!$A$140&gt;35,CT24+CS25-DB24,IF(A25&lt;'Données projet'!$A$140,$CQ$205^A25,IF(A25='Données projet'!$A$140,'Données projet'!$B$140,CT24+CS25-DB24)))</f>
        <v>51.935367113427411</v>
      </c>
      <c r="CU25" s="17">
        <f>CT25*VLOOKUP('Données projet'!$B$13,Paramètres!$A$1:$I$89,3,0)*VLOOKUP('Données projet'!$B$13,Paramètres!$A$1:$I$89,5,0)</f>
        <v>50.231887072106986</v>
      </c>
      <c r="CV25" s="13">
        <f t="shared" si="41"/>
        <v>14.673629374679535</v>
      </c>
      <c r="CW25" s="20">
        <f t="shared" si="13"/>
        <v>113.04377447815318</v>
      </c>
      <c r="CX25" s="59">
        <f t="shared" si="14"/>
        <v>406.3771078114865</v>
      </c>
      <c r="CY25" s="59">
        <f ca="1">AVERAGE(OFFSET($CX$3,0,0,'Données projet'!$E$13+1,1))-AVERAGE(OFFSET($H$3,0,0,'Données projet'!$E$13+1,1))</f>
        <v>216.39536568500222</v>
      </c>
      <c r="CZ25" s="59">
        <f t="shared" si="42"/>
        <v>239.44686980897467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13.634400000000007</v>
      </c>
      <c r="D26" s="11">
        <f t="shared" si="32"/>
        <v>4.6357121586728187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141.03244473361477</v>
      </c>
      <c r="H26" s="67">
        <f t="shared" si="1"/>
        <v>325.15377867635516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7.2</v>
      </c>
      <c r="N26" s="13">
        <f>IF('Données projet'!$A$36&gt;35,N25+M26-V25,IF(A26&lt;'Données projet'!$A$36,$K$205^A26,IF(A26='Données projet'!$A$36,'Données projet'!$B$36,N25+M26-V25)))</f>
        <v>88.600000000000009</v>
      </c>
      <c r="O26" s="13">
        <f>N26*VLOOKUP('Données projet'!$B$9,Paramètres!$A$1:$I$89,3,0)*VLOOKUP('Données projet'!$B$9,Paramètres!$A$1:$I$89,5,0)</f>
        <v>80.165279999999996</v>
      </c>
      <c r="P26" s="13">
        <f t="shared" si="33"/>
        <v>22.177591092468788</v>
      </c>
      <c r="Q26" s="20">
        <f t="shared" si="2"/>
        <v>178.24716715271646</v>
      </c>
      <c r="R26" s="59">
        <f t="shared" si="0"/>
        <v>471.5805004860498</v>
      </c>
      <c r="S26" s="59">
        <f ca="1">AVERAGE(OFFSET($R$3,0,0,'Données projet'!$E$9+1,1))-AVERAGE(OFFSET($H$3,0,0,'Données projet'!$E$9+1,1))</f>
        <v>330.30341204367602</v>
      </c>
      <c r="T26" s="59">
        <f t="shared" si="34"/>
        <v>200.36653694091007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>
        <f>VLOOKUP(A26,'Données projet'!$A$61:$I$81,2,0)</f>
        <v>188</v>
      </c>
      <c r="AG26" s="12">
        <f>VLOOKUP(A26,'Données projet'!$A$61:$I$81,9,0)</f>
        <v>30.2</v>
      </c>
      <c r="AH26" s="12">
        <f t="array" ref="AH26">INDEX(AG:AG,MIN(IF(ISNUMBER(AG26:AG222),ROW(AG26:AG222),"")))</f>
        <v>30.2</v>
      </c>
      <c r="AI26" s="13">
        <f>IF('Données projet'!$A$62&gt;35,AI25+AH26-AQ25,IF(A26&lt;'Données projet'!$A$62,$AF$205^A26,IF(A26='Données projet'!$A$62,'Données projet'!$B$62,AI25+AH26-AQ25)))</f>
        <v>188</v>
      </c>
      <c r="AJ26" s="13">
        <f>AI26*VLOOKUP('Données projet'!$B$10,Paramètres!$A$1:$I$89,3,0)*VLOOKUP('Données projet'!$B$10,Paramètres!$A$1:$I$89,5,0)</f>
        <v>112.42400000000001</v>
      </c>
      <c r="AK26" s="13">
        <f t="shared" si="35"/>
        <v>29.901371354345123</v>
      </c>
      <c r="AL26" s="20">
        <f t="shared" si="4"/>
        <v>247.88335510881771</v>
      </c>
      <c r="AM26" s="59">
        <f t="shared" si="5"/>
        <v>541.21668844215105</v>
      </c>
      <c r="AN26" s="59">
        <f ca="1">AVERAGE(OFFSET($AM$3,0,0,'Données projet'!$E$10+1,1))-AVERAGE(OFFSET($H$3,0,0,'Données projet'!$E$10+1,1))</f>
        <v>465.77577582457678</v>
      </c>
      <c r="AO26" s="59">
        <f t="shared" si="36"/>
        <v>301.15495784503042</v>
      </c>
      <c r="AP26" s="15">
        <f>IF(ISNA(VLOOKUP(A26,'Données projet'!$A$61:$I$81,3,0)),0,VLOOKUP(A26,'Données projet'!$A$61:$I$81,3,0))</f>
        <v>2</v>
      </c>
      <c r="AQ26" s="15">
        <f>IF(ISNA(VLOOKUP(A26,'Données projet'!$A$61:$I$81,4,0)),0,VLOOKUP(A26,'Données projet'!$A$61:$I$81,4,0))</f>
        <v>51</v>
      </c>
      <c r="AR26" s="16">
        <f>IF(ISNA(VLOOKUP(A26,'Données projet'!$A$61:$I$81,5,0)),0%,VLOOKUP(A26,'Données projet'!$A$61:$I$81,5,0)*VLOOKUP('Données projet'!$B$10,Paramètres!$A$1:$I$89,7,0))</f>
        <v>0.13500000000000001</v>
      </c>
      <c r="AS26" s="16">
        <f>IF(ISNA(VLOOKUP(A26,'Données projet'!$A$61:$I$81,6,0)),0%,VLOOKUP(A26,'Données projet'!$A$61:$I$81,6,0)*VLOOKUP('Données projet'!$B$10,Paramètres!$A$1:$I$89,7,0))</f>
        <v>0.189</v>
      </c>
      <c r="AT26" s="16">
        <f>IF(ISNA(VLOOKUP(A26,'Données projet'!$A$61:$I$81,7,0)),0%,VLOOKUP(A26,'Données projet'!$A$61:$I$81,7,0))</f>
        <v>0.28000000000000003</v>
      </c>
      <c r="AU26" s="21">
        <f>EXP(-LN(2)/35)*AU25+(1-EXP(-LN(2)/35))/(LN(2)/35)*AQ26*AR26*VLOOKUP('Données projet'!$B$10,Paramètres!$A$1:$I$89,3,0)*0.475*44/12</f>
        <v>5.4617709728693384</v>
      </c>
      <c r="AV26" s="21">
        <f>EXP(-LN(2)/25)*AV25+(1-EXP(-LN(2)/25))/(LN(2)/25)*Calculateur!AQ26*Calculateur!AS26*VLOOKUP('Données projet'!$B$10,Paramètres!$A$1:$I$89,3,0)*0.475*44/12</f>
        <v>15.974066159081143</v>
      </c>
      <c r="AW26" s="21">
        <f>EXP(-LN(2)/2)*AW25+(1-EXP(-LN(2)/2))/(LN(2)/2)*AQ26*AT26*VLOOKUP('Données projet'!$B$10,Paramètres!$A$1:$I$89,3,0)*0.475*44/12</f>
        <v>11.823068954310621</v>
      </c>
      <c r="AX26" s="21">
        <f t="shared" si="6"/>
        <v>33.258906086261106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10</v>
      </c>
      <c r="BD26" s="12">
        <f>IF('Données projet'!$A$88&gt;35,BD25+BC26-BL25,IF(A26&lt;'Données projet'!$A$88,$BA$205^A26,IF(A26='Données projet'!$A$88,'Données projet'!$B$88,BD25+BC26-BL25)))</f>
        <v>120</v>
      </c>
      <c r="BE26" s="13">
        <f>BD26*VLOOKUP('Données projet'!$B$11,Paramètres!$A$1:$I$89,3,0)*VLOOKUP('Données projet'!$B$11,Paramètres!$A$1:$I$89,5,0)</f>
        <v>93.600000000000009</v>
      </c>
      <c r="BF26" s="13">
        <f t="shared" si="37"/>
        <v>25.431466524572937</v>
      </c>
      <c r="BG26" s="20">
        <f t="shared" si="7"/>
        <v>207.31313753029789</v>
      </c>
      <c r="BH26" s="59">
        <f t="shared" si="8"/>
        <v>500.64647086363118</v>
      </c>
      <c r="BI26" s="59">
        <f ca="1">AVERAGE(OFFSET($BH$3,0,0,'Données projet'!$E$11+1,1))-AVERAGE(OFFSET($H$3,0,0,'Données projet'!$E$11+1,1))</f>
        <v>219.5868031007679</v>
      </c>
      <c r="BJ26" s="59">
        <f t="shared" si="38"/>
        <v>263.3830219837742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3.56</v>
      </c>
      <c r="BY26" s="12">
        <f>IF('Données projet'!$A$114&gt;35,BY25+BX26-CG25,IF(A26&lt;'Données projet'!$A$114,$BV$205^A26,IF(A26='Données projet'!$A$114,'Données projet'!$B$114,BY25+BX26-CG25)))</f>
        <v>62.149667013426139</v>
      </c>
      <c r="BZ26" s="13">
        <f>BY26*VLOOKUP('Données projet'!$B$12,Paramètres!$A$1:$I$89,3,0)*VLOOKUP('Données projet'!$B$12,Paramètres!$A$1:$I$89,5,0)</f>
        <v>66.8979015732519</v>
      </c>
      <c r="CA26" s="13">
        <f t="shared" si="39"/>
        <v>18.90107675073865</v>
      </c>
      <c r="CB26" s="20">
        <f t="shared" si="10"/>
        <v>149.43322058095021</v>
      </c>
      <c r="CC26" s="59">
        <f t="shared" si="11"/>
        <v>442.76655391428352</v>
      </c>
      <c r="CD26" s="59">
        <f ca="1">AVERAGE(OFFSET($CC$3,0,0,'Données projet'!$E$12+1,1))-AVERAGE(OFFSET($H$3,0,0,'Données projet'!$E$12+1,1))</f>
        <v>244.7364260963538</v>
      </c>
      <c r="CE26" s="59">
        <f t="shared" si="40"/>
        <v>270.32853612539299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3.56</v>
      </c>
      <c r="CT26" s="12">
        <f>IF('Données projet'!$A$140&gt;35,CT25+CS26-DB25,IF(A26&lt;'Données projet'!$A$140,$CQ$205^A26,IF(A26='Données projet'!$A$140,'Données projet'!$B$140,CT25+CS26-DB25)))</f>
        <v>62.149667013426139</v>
      </c>
      <c r="CU26" s="17">
        <f>CT26*VLOOKUP('Données projet'!$B$13,Paramètres!$A$1:$I$89,3,0)*VLOOKUP('Données projet'!$B$13,Paramètres!$A$1:$I$89,5,0)</f>
        <v>60.111157935385762</v>
      </c>
      <c r="CV26" s="13">
        <f t="shared" si="41"/>
        <v>17.196370197942965</v>
      </c>
      <c r="CW26" s="20">
        <f t="shared" si="13"/>
        <v>134.6439448322142</v>
      </c>
      <c r="CX26" s="59">
        <f t="shared" si="14"/>
        <v>427.97727816554755</v>
      </c>
      <c r="CY26" s="59">
        <f ca="1">AVERAGE(OFFSET($CX$3,0,0,'Données projet'!$E$13+1,1))-AVERAGE(OFFSET($H$3,0,0,'Données projet'!$E$13+1,1))</f>
        <v>216.39536568500222</v>
      </c>
      <c r="CZ26" s="59">
        <f t="shared" si="42"/>
        <v>239.44686980897467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14.227200000000007</v>
      </c>
      <c r="D27" s="11">
        <f t="shared" si="32"/>
        <v>4.8133606046051618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146.9797660706364</v>
      </c>
      <c r="H27" s="67">
        <f t="shared" si="1"/>
        <v>326.49564305302067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7.2</v>
      </c>
      <c r="N27" s="13">
        <f>IF('Données projet'!$A$36&gt;35,N26+M27-V26,IF(A27&lt;'Données projet'!$A$36,$K$205^A27,IF(A27='Données projet'!$A$36,'Données projet'!$B$36,N26+M27-V26)))</f>
        <v>95.800000000000011</v>
      </c>
      <c r="O27" s="13">
        <f>N27*VLOOKUP('Données projet'!$B$9,Paramètres!$A$1:$I$89,3,0)*VLOOKUP('Données projet'!$B$9,Paramètres!$A$1:$I$89,5,0)</f>
        <v>86.679839999999999</v>
      </c>
      <c r="P27" s="13">
        <f t="shared" si="33"/>
        <v>23.762739053789723</v>
      </c>
      <c r="Q27" s="20">
        <f t="shared" si="2"/>
        <v>192.35415851868379</v>
      </c>
      <c r="R27" s="59">
        <f t="shared" si="0"/>
        <v>485.6874918520171</v>
      </c>
      <c r="S27" s="59">
        <f ca="1">AVERAGE(OFFSET($R$3,0,0,'Données projet'!$E$9+1,1))-AVERAGE(OFFSET($H$3,0,0,'Données projet'!$E$9+1,1))</f>
        <v>330.30341204367602</v>
      </c>
      <c r="T27" s="59">
        <f t="shared" si="34"/>
        <v>200.36653694091007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28</v>
      </c>
      <c r="AI27" s="13">
        <f>IF('Données projet'!$A$62&gt;35,AI26+AH27-AQ26,IF(A27&lt;'Données projet'!$A$62,$AF$205^A27,IF(A27='Données projet'!$A$62,'Données projet'!$B$62,AI26+AH27-AQ26)))</f>
        <v>165</v>
      </c>
      <c r="AJ27" s="13">
        <f>AI27*VLOOKUP('Données projet'!$B$10,Paramètres!$A$1:$I$89,3,0)*VLOOKUP('Données projet'!$B$10,Paramètres!$A$1:$I$89,5,0)</f>
        <v>98.670000000000016</v>
      </c>
      <c r="AK27" s="13">
        <f t="shared" si="35"/>
        <v>26.644896901954091</v>
      </c>
      <c r="AL27" s="20">
        <f t="shared" si="4"/>
        <v>218.25677877090342</v>
      </c>
      <c r="AM27" s="59">
        <f t="shared" si="5"/>
        <v>511.59011210423671</v>
      </c>
      <c r="AN27" s="59">
        <f ca="1">AVERAGE(OFFSET($AM$3,0,0,'Données projet'!$E$10+1,1))-AVERAGE(OFFSET($H$3,0,0,'Données projet'!$E$10+1,1))</f>
        <v>465.77577582457678</v>
      </c>
      <c r="AO27" s="59">
        <f t="shared" si="36"/>
        <v>301.15495784503042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5.3546689754427206</v>
      </c>
      <c r="AV27" s="21">
        <f>EXP(-LN(2)/25)*AV26+(1-EXP(-LN(2)/25))/(LN(2)/25)*Calculateur!AQ27*Calculateur!AS27*VLOOKUP('Données projet'!$B$10,Paramètres!$A$1:$I$89,3,0)*0.475*44/12</f>
        <v>15.53725447992144</v>
      </c>
      <c r="AW27" s="21">
        <f>EXP(-LN(2)/2)*AW26+(1-EXP(-LN(2)/2))/(LN(2)/2)*AQ27*AT27*VLOOKUP('Données projet'!$B$10,Paramètres!$A$1:$I$89,3,0)*0.475*44/12</f>
        <v>8.3601722320291838</v>
      </c>
      <c r="AX27" s="21">
        <f t="shared" si="6"/>
        <v>29.252095687393343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10</v>
      </c>
      <c r="BD27" s="12">
        <f>IF('Données projet'!$A$88&gt;35,BD26+BC27-BL26,IF(A27&lt;'Données projet'!$A$88,$BA$205^A27,IF(A27='Données projet'!$A$88,'Données projet'!$B$88,BD26+BC27-BL26)))</f>
        <v>130</v>
      </c>
      <c r="BE27" s="13">
        <f>BD27*VLOOKUP('Données projet'!$B$11,Paramètres!$A$1:$I$89,3,0)*VLOOKUP('Données projet'!$B$11,Paramètres!$A$1:$I$89,5,0)</f>
        <v>101.4</v>
      </c>
      <c r="BF27" s="13">
        <f t="shared" si="37"/>
        <v>27.295257887453797</v>
      </c>
      <c r="BG27" s="20">
        <f t="shared" si="7"/>
        <v>224.14424082064872</v>
      </c>
      <c r="BH27" s="59">
        <f t="shared" si="8"/>
        <v>517.477574153982</v>
      </c>
      <c r="BI27" s="59">
        <f ca="1">AVERAGE(OFFSET($BH$3,0,0,'Données projet'!$E$11+1,1))-AVERAGE(OFFSET($H$3,0,0,'Données projet'!$E$11+1,1))</f>
        <v>219.5868031007679</v>
      </c>
      <c r="BJ27" s="59">
        <f t="shared" si="38"/>
        <v>263.3830219837742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3.56</v>
      </c>
      <c r="BY27" s="12">
        <f>IF('Données projet'!$A$114&gt;35,BY26+BX27-CG26,IF(A27&lt;'Données projet'!$A$114,$BV$205^A27,IF(A27='Données projet'!$A$114,'Données projet'!$B$114,BY26+BX27-CG26)))</f>
        <v>74.372846955020648</v>
      </c>
      <c r="BZ27" s="13">
        <f>BY27*VLOOKUP('Données projet'!$B$12,Paramètres!$A$1:$I$89,3,0)*VLOOKUP('Données projet'!$B$12,Paramètres!$A$1:$I$89,5,0)</f>
        <v>80.054932462384215</v>
      </c>
      <c r="CA27" s="13">
        <f t="shared" si="39"/>
        <v>22.150614864669979</v>
      </c>
      <c r="CB27" s="20">
        <f t="shared" si="10"/>
        <v>178.00799492795269</v>
      </c>
      <c r="CC27" s="59">
        <f t="shared" si="11"/>
        <v>471.34132826128598</v>
      </c>
      <c r="CD27" s="59">
        <f ca="1">AVERAGE(OFFSET($CC$3,0,0,'Données projet'!$E$12+1,1))-AVERAGE(OFFSET($H$3,0,0,'Données projet'!$E$12+1,1))</f>
        <v>244.7364260963538</v>
      </c>
      <c r="CE27" s="59">
        <f t="shared" si="40"/>
        <v>270.32853612539299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3.56</v>
      </c>
      <c r="CT27" s="12">
        <f>IF('Données projet'!$A$140&gt;35,CT26+CS27-DB26,IF(A27&lt;'Données projet'!$A$140,$CQ$205^A27,IF(A27='Données projet'!$A$140,'Données projet'!$B$140,CT26+CS27-DB26)))</f>
        <v>74.372846955020648</v>
      </c>
      <c r="CU27" s="17">
        <f>CT27*VLOOKUP('Données projet'!$B$13,Paramètres!$A$1:$I$89,3,0)*VLOOKUP('Données projet'!$B$13,Paramètres!$A$1:$I$89,5,0)</f>
        <v>71.933417574895969</v>
      </c>
      <c r="CV27" s="13">
        <f t="shared" si="41"/>
        <v>20.152829298999453</v>
      </c>
      <c r="CW27" s="20">
        <f t="shared" si="13"/>
        <v>160.38354663870118</v>
      </c>
      <c r="CX27" s="59">
        <f t="shared" si="14"/>
        <v>453.71687997203446</v>
      </c>
      <c r="CY27" s="59">
        <f ca="1">AVERAGE(OFFSET($CX$3,0,0,'Données projet'!$E$13+1,1))-AVERAGE(OFFSET($H$3,0,0,'Données projet'!$E$13+1,1))</f>
        <v>216.39536568500222</v>
      </c>
      <c r="CZ27" s="59">
        <f t="shared" si="42"/>
        <v>239.44686980897467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14.820000000000007</v>
      </c>
      <c r="D28" s="11">
        <f t="shared" si="32"/>
        <v>4.9901492788407484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152.92045057350757</v>
      </c>
      <c r="H28" s="67">
        <f t="shared" si="1"/>
        <v>327.83600999398095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103</v>
      </c>
      <c r="L28" s="12">
        <f>VLOOKUP(A28,'Données projet'!$A$35:$I$55,9,0)</f>
        <v>7.2</v>
      </c>
      <c r="M28" s="12">
        <f t="array" ref="M28">INDEX(L:L,MIN(IF(ISNUMBER(L28:L224),ROW(L28:L224),"")))</f>
        <v>7.2</v>
      </c>
      <c r="N28" s="13">
        <f>IF('Données projet'!$A$36&gt;35,N27+M28-V27,IF(A28&lt;'Données projet'!$A$36,$K$205^A28,IF(A28='Données projet'!$A$36,'Données projet'!$B$36,N27+M28-V27)))</f>
        <v>103.00000000000001</v>
      </c>
      <c r="O28" s="13">
        <f>N28*VLOOKUP('Données projet'!$B$9,Paramètres!$A$1:$I$89,3,0)*VLOOKUP('Données projet'!$B$9,Paramètres!$A$1:$I$89,5,0)</f>
        <v>93.194400000000002</v>
      </c>
      <c r="P28" s="13">
        <f t="shared" si="33"/>
        <v>25.33406653691528</v>
      </c>
      <c r="Q28" s="20">
        <f t="shared" si="2"/>
        <v>206.43707921846078</v>
      </c>
      <c r="R28" s="59">
        <f t="shared" si="0"/>
        <v>499.7704125517941</v>
      </c>
      <c r="S28" s="59">
        <f ca="1">AVERAGE(OFFSET($R$3,0,0,'Données projet'!$E$9+1,1))-AVERAGE(OFFSET($H$3,0,0,'Données projet'!$E$9+1,1))</f>
        <v>330.30341204367602</v>
      </c>
      <c r="T28" s="59">
        <f t="shared" si="34"/>
        <v>200.36653694091007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28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28</v>
      </c>
      <c r="AI28" s="13">
        <f>IF('Données projet'!$A$62&gt;35,AI27+AH28-AQ27,IF(A28&lt;'Données projet'!$A$62,$AF$205^A28,IF(A28='Données projet'!$A$62,'Données projet'!$B$62,AI27+AH28-AQ27)))</f>
        <v>193</v>
      </c>
      <c r="AJ28" s="13">
        <f>AI28*VLOOKUP('Données projet'!$B$10,Paramètres!$A$1:$I$89,3,0)*VLOOKUP('Données projet'!$B$10,Paramètres!$A$1:$I$89,5,0)</f>
        <v>115.414</v>
      </c>
      <c r="AK28" s="13">
        <f t="shared" si="35"/>
        <v>30.602976534547519</v>
      </c>
      <c r="AL28" s="20">
        <f t="shared" si="4"/>
        <v>254.31290079767027</v>
      </c>
      <c r="AM28" s="59">
        <f t="shared" si="5"/>
        <v>547.64623413100355</v>
      </c>
      <c r="AN28" s="59">
        <f ca="1">AVERAGE(OFFSET($AM$3,0,0,'Données projet'!$E$10+1,1))-AVERAGE(OFFSET($H$3,0,0,'Données projet'!$E$10+1,1))</f>
        <v>465.77577582457678</v>
      </c>
      <c r="AO28" s="59">
        <f t="shared" si="36"/>
        <v>301.15495784503042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5.2496671828598709</v>
      </c>
      <c r="AV28" s="21">
        <f>EXP(-LN(2)/25)*AV27+(1-EXP(-LN(2)/25))/(LN(2)/25)*Calculateur!AQ28*Calculateur!AS28*VLOOKUP('Données projet'!$B$10,Paramètres!$A$1:$I$89,3,0)*0.475*44/12</f>
        <v>15.112387439099287</v>
      </c>
      <c r="AW28" s="21">
        <f>EXP(-LN(2)/2)*AW27+(1-EXP(-LN(2)/2))/(LN(2)/2)*AQ28*AT28*VLOOKUP('Données projet'!$B$10,Paramètres!$A$1:$I$89,3,0)*0.475*44/12</f>
        <v>5.9115344771553113</v>
      </c>
      <c r="AX28" s="21">
        <f t="shared" si="6"/>
        <v>26.273589099114467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140</v>
      </c>
      <c r="BB28" s="12">
        <f>VLOOKUP(A28,'Données projet'!$A$87:$I$107,9,0)</f>
        <v>10</v>
      </c>
      <c r="BC28" s="12">
        <f t="array" ref="BC28">INDEX(BB:BB,MIN(IF(ISNUMBER(BB28:BB224),ROW(BB28:BB224),"")))</f>
        <v>10</v>
      </c>
      <c r="BD28" s="12">
        <f>IF('Données projet'!$A$88&gt;35,BD27+BC28-BL27,IF(A28&lt;'Données projet'!$A$88,$BA$205^A28,IF(A28='Données projet'!$A$88,'Données projet'!$B$88,BD27+BC28-BL27)))</f>
        <v>140</v>
      </c>
      <c r="BE28" s="13">
        <f>BD28*VLOOKUP('Données projet'!$B$11,Paramètres!$A$1:$I$89,3,0)*VLOOKUP('Données projet'!$B$11,Paramètres!$A$1:$I$89,5,0)</f>
        <v>109.2</v>
      </c>
      <c r="BF28" s="13">
        <f t="shared" si="37"/>
        <v>29.142418334948612</v>
      </c>
      <c r="BG28" s="20">
        <f t="shared" si="7"/>
        <v>240.94637860003544</v>
      </c>
      <c r="BH28" s="59">
        <f t="shared" si="8"/>
        <v>534.27971193336873</v>
      </c>
      <c r="BI28" s="59">
        <f ca="1">AVERAGE(OFFSET($BH$3,0,0,'Données projet'!$E$11+1,1))-AVERAGE(OFFSET($H$3,0,0,'Données projet'!$E$11+1,1))</f>
        <v>219.5868031007679</v>
      </c>
      <c r="BJ28" s="59">
        <f t="shared" si="38"/>
        <v>263.3830219837742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16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89</v>
      </c>
      <c r="BW28" s="12">
        <f>VLOOKUP(A28,'Données projet'!$A$113:$I$133,9,0)</f>
        <v>3.56</v>
      </c>
      <c r="BX28" s="12">
        <f t="array" ref="BX28">INDEX(BW:BW,MIN(IF(ISNUMBER(BW28:BW224),ROW(BW28:BW224),"")))</f>
        <v>3.56</v>
      </c>
      <c r="BY28" s="12">
        <f>IF('Données projet'!$A$114&gt;35,BY27+BX28-CG27,IF(A28&lt;'Données projet'!$A$114,$BV$205^A28,IF(A28='Données projet'!$A$114,'Données projet'!$B$114,BY27+BX28-CG27)))</f>
        <v>89</v>
      </c>
      <c r="BZ28" s="13">
        <f>BY28*VLOOKUP('Données projet'!$B$12,Paramètres!$A$1:$I$89,3,0)*VLOOKUP('Données projet'!$B$12,Paramètres!$A$1:$I$89,5,0)</f>
        <v>95.799599999999998</v>
      </c>
      <c r="CA28" s="13">
        <f t="shared" si="39"/>
        <v>25.958824745990441</v>
      </c>
      <c r="CB28" s="20">
        <f t="shared" si="10"/>
        <v>212.06258976593335</v>
      </c>
      <c r="CC28" s="59">
        <f t="shared" si="11"/>
        <v>505.39592309926667</v>
      </c>
      <c r="CD28" s="59">
        <f ca="1">AVERAGE(OFFSET($CC$3,0,0,'Données projet'!$E$12+1,1))-AVERAGE(OFFSET($H$3,0,0,'Données projet'!$E$12+1,1))</f>
        <v>244.7364260963538</v>
      </c>
      <c r="CE28" s="59">
        <f t="shared" si="40"/>
        <v>270.32853612539299</v>
      </c>
      <c r="CF28" s="15">
        <f>IF(ISNA(VLOOKUP(A28,'Données projet'!$A$113:$I$133,3,0)),0,VLOOKUP(A28,'Données projet'!$A$113:$I$133,3,0))</f>
        <v>1</v>
      </c>
      <c r="CG28" s="15">
        <f>IF(ISNA(VLOOKUP(A28,'Données projet'!$A$113:$I$133,4,0)),0,VLOOKUP(A28,'Données projet'!$A$113:$I$133,4,0))</f>
        <v>28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89</v>
      </c>
      <c r="CR28" s="12">
        <f>VLOOKUP(A28,'Données projet'!$A$139:$I$159,9,0)</f>
        <v>3.56</v>
      </c>
      <c r="CS28" s="12">
        <f t="array" ref="CS28">INDEX(CR:CR,MIN(IF(ISNUMBER(CR28:CR224),ROW(CR28:CR224),"")))</f>
        <v>3.56</v>
      </c>
      <c r="CT28" s="12">
        <f>IF('Données projet'!$A$140&gt;35,CT27+CS28-DB27,IF(A28&lt;'Données projet'!$A$140,$CQ$205^A28,IF(A28='Données projet'!$A$140,'Données projet'!$B$140,CT27+CS28-DB27)))</f>
        <v>89</v>
      </c>
      <c r="CU28" s="17">
        <f>CT28*VLOOKUP('Données projet'!$B$13,Paramètres!$A$1:$I$89,3,0)*VLOOKUP('Données projet'!$B$13,Paramètres!$A$1:$I$89,5,0)</f>
        <v>86.080799999999996</v>
      </c>
      <c r="CV28" s="13">
        <f t="shared" si="41"/>
        <v>23.617573015681714</v>
      </c>
      <c r="CW28" s="20">
        <f t="shared" si="13"/>
        <v>191.05799966897897</v>
      </c>
      <c r="CX28" s="59">
        <f t="shared" si="14"/>
        <v>484.39133300231231</v>
      </c>
      <c r="CY28" s="59">
        <f ca="1">AVERAGE(OFFSET($CX$3,0,0,'Données projet'!$E$13+1,1))-AVERAGE(OFFSET($H$3,0,0,'Données projet'!$E$13+1,1))</f>
        <v>216.39536568500222</v>
      </c>
      <c r="CZ28" s="59">
        <f t="shared" si="42"/>
        <v>239.44686980897467</v>
      </c>
      <c r="DA28" s="15">
        <f>IF(ISNA(VLOOKUP(A28,'Données projet'!$A$139:$I$159,3,0)),0,VLOOKUP(A28,'Données projet'!$A$139:$I$159,3,0))</f>
        <v>1</v>
      </c>
      <c r="DB28" s="15">
        <f>IF(ISNA(VLOOKUP(A28,'Données projet'!$A$139:$I$159,4,0)),0,VLOOKUP(A28,'Données projet'!$A$139:$I$159,4,0))</f>
        <v>28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15.412800000000008</v>
      </c>
      <c r="D29" s="11">
        <f t="shared" si="32"/>
        <v>5.1661165069289954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158.85479408857478</v>
      </c>
      <c r="H29" s="67">
        <f t="shared" si="1"/>
        <v>329.17494624956799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84.200000000000017</v>
      </c>
      <c r="O29" s="13">
        <f>N29*VLOOKUP('Données projet'!$B$9,Paramètres!$A$1:$I$89,3,0)*VLOOKUP('Données projet'!$B$9,Paramètres!$A$1:$I$89,5,0)</f>
        <v>76.184160000000006</v>
      </c>
      <c r="P29" s="13">
        <f t="shared" si="33"/>
        <v>21.201554232857223</v>
      </c>
      <c r="Q29" s="20">
        <f t="shared" si="2"/>
        <v>169.613452288893</v>
      </c>
      <c r="R29" s="59">
        <f t="shared" si="0"/>
        <v>462.94678562222634</v>
      </c>
      <c r="S29" s="59">
        <f ca="1">AVERAGE(OFFSET($R$3,0,0,'Données projet'!$E$9+1,1))-AVERAGE(OFFSET($H$3,0,0,'Données projet'!$E$9+1,1))</f>
        <v>330.30341204367602</v>
      </c>
      <c r="T29" s="59">
        <f t="shared" si="34"/>
        <v>200.36653694091007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28</v>
      </c>
      <c r="AI29" s="13">
        <f>IF('Données projet'!$A$62&gt;35,AI28+AH29-AQ28,IF(A29&lt;'Données projet'!$A$62,$AF$205^A29,IF(A29='Données projet'!$A$62,'Données projet'!$B$62,AI28+AH29-AQ28)))</f>
        <v>221</v>
      </c>
      <c r="AJ29" s="13">
        <f>AI29*VLOOKUP('Données projet'!$B$10,Paramètres!$A$1:$I$89,3,0)*VLOOKUP('Données projet'!$B$10,Paramètres!$A$1:$I$89,5,0)</f>
        <v>132.15800000000002</v>
      </c>
      <c r="AK29" s="13">
        <f t="shared" si="35"/>
        <v>34.494530965883655</v>
      </c>
      <c r="AL29" s="20">
        <f t="shared" si="4"/>
        <v>290.25315809891401</v>
      </c>
      <c r="AM29" s="59">
        <f t="shared" si="5"/>
        <v>583.58649143224739</v>
      </c>
      <c r="AN29" s="59">
        <f ca="1">AVERAGE(OFFSET($AM$3,0,0,'Données projet'!$E$10+1,1))-AVERAGE(OFFSET($H$3,0,0,'Données projet'!$E$10+1,1))</f>
        <v>465.77577582457678</v>
      </c>
      <c r="AO29" s="59">
        <f t="shared" si="36"/>
        <v>301.15495784503042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5.1467244113848007</v>
      </c>
      <c r="AV29" s="21">
        <f>EXP(-LN(2)/25)*AV28+(1-EXP(-LN(2)/25))/(LN(2)/25)*Calculateur!AQ29*Calculateur!AS29*VLOOKUP('Données projet'!$B$10,Paramètres!$A$1:$I$89,3,0)*0.475*44/12</f>
        <v>14.699138409851201</v>
      </c>
      <c r="AW29" s="21">
        <f>EXP(-LN(2)/2)*AW28+(1-EXP(-LN(2)/2))/(LN(2)/2)*AQ29*AT29*VLOOKUP('Données projet'!$B$10,Paramètres!$A$1:$I$89,3,0)*0.475*44/12</f>
        <v>4.1800861160145928</v>
      </c>
      <c r="AX29" s="21">
        <f t="shared" si="6"/>
        <v>24.025948937250597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10.8</v>
      </c>
      <c r="BD29" s="12">
        <f>IF('Données projet'!$A$88&gt;35,BD28+BC29-BL28,IF(A29&lt;'Données projet'!$A$88,$BA$205^A29,IF(A29='Données projet'!$A$88,'Données projet'!$B$88,BD28+BC29-BL28)))</f>
        <v>134.80000000000001</v>
      </c>
      <c r="BE29" s="13">
        <f>BD29*VLOOKUP('Données projet'!$B$11,Paramètres!$A$1:$I$89,3,0)*VLOOKUP('Données projet'!$B$11,Paramètres!$A$1:$I$89,5,0)</f>
        <v>105.14400000000001</v>
      </c>
      <c r="BF29" s="13">
        <f t="shared" si="37"/>
        <v>28.183884120602002</v>
      </c>
      <c r="BG29" s="20">
        <f t="shared" si="7"/>
        <v>232.21273151004846</v>
      </c>
      <c r="BH29" s="59">
        <f t="shared" si="8"/>
        <v>525.54606484338183</v>
      </c>
      <c r="BI29" s="59">
        <f ca="1">AVERAGE(OFFSET($BH$3,0,0,'Données projet'!$E$11+1,1))-AVERAGE(OFFSET($H$3,0,0,'Données projet'!$E$11+1,1))</f>
        <v>219.5868031007679</v>
      </c>
      <c r="BJ29" s="59">
        <f t="shared" si="38"/>
        <v>263.3830219837742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14.2</v>
      </c>
      <c r="BY29" s="12">
        <f>IF('Données projet'!$A$114&gt;35,BY28+BX29-CG28,IF(A29&lt;'Données projet'!$A$114,$BV$205^A29,IF(A29='Données projet'!$A$114,'Données projet'!$B$114,BY28+BX29-CG28)))</f>
        <v>75.2</v>
      </c>
      <c r="BZ29" s="13">
        <f>BY29*VLOOKUP('Données projet'!$B$12,Paramètres!$A$1:$I$89,3,0)*VLOOKUP('Données projet'!$B$12,Paramètres!$A$1:$I$89,5,0)</f>
        <v>80.945279999999997</v>
      </c>
      <c r="CA29" s="13">
        <f t="shared" si="39"/>
        <v>22.368151754215884</v>
      </c>
      <c r="CB29" s="20">
        <f t="shared" si="10"/>
        <v>179.93756030525932</v>
      </c>
      <c r="CC29" s="59">
        <f t="shared" si="11"/>
        <v>473.27089363859261</v>
      </c>
      <c r="CD29" s="59">
        <f ca="1">AVERAGE(OFFSET($CC$3,0,0,'Données projet'!$E$12+1,1))-AVERAGE(OFFSET($H$3,0,0,'Données projet'!$E$12+1,1))</f>
        <v>244.7364260963538</v>
      </c>
      <c r="CE29" s="59">
        <f t="shared" si="40"/>
        <v>270.32853612539299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14.2</v>
      </c>
      <c r="CT29" s="12">
        <f>IF('Données projet'!$A$140&gt;35,CT28+CS29-DB28,IF(A29&lt;'Données projet'!$A$140,$CQ$205^A29,IF(A29='Données projet'!$A$140,'Données projet'!$B$140,CT28+CS29-DB28)))</f>
        <v>75.2</v>
      </c>
      <c r="CU29" s="17">
        <f>CT29*VLOOKUP('Données projet'!$B$13,Paramètres!$A$1:$I$89,3,0)*VLOOKUP('Données projet'!$B$13,Paramètres!$A$1:$I$89,5,0)</f>
        <v>72.733440000000002</v>
      </c>
      <c r="CV29" s="13">
        <f t="shared" si="41"/>
        <v>20.35074632423952</v>
      </c>
      <c r="CW29" s="20">
        <f t="shared" si="13"/>
        <v>162.12162451471718</v>
      </c>
      <c r="CX29" s="59">
        <f t="shared" si="14"/>
        <v>455.45495784805053</v>
      </c>
      <c r="CY29" s="59">
        <f ca="1">AVERAGE(OFFSET($CX$3,0,0,'Données projet'!$E$13+1,1))-AVERAGE(OFFSET($H$3,0,0,'Données projet'!$E$13+1,1))</f>
        <v>216.39536568500222</v>
      </c>
      <c r="CZ29" s="59">
        <f t="shared" si="42"/>
        <v>239.44686980897467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16.005600000000008</v>
      </c>
      <c r="D30" s="11">
        <f t="shared" si="32"/>
        <v>5.3412974993444182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164.78306841599206</v>
      </c>
      <c r="H30" s="67">
        <f t="shared" si="1"/>
        <v>330.51251314469152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93.40000000000002</v>
      </c>
      <c r="O30" s="13">
        <f>N30*VLOOKUP('Données projet'!$B$9,Paramètres!$A$1:$I$89,3,0)*VLOOKUP('Données projet'!$B$9,Paramètres!$A$1:$I$89,5,0)</f>
        <v>84.508320000000026</v>
      </c>
      <c r="P30" s="13">
        <f t="shared" si="33"/>
        <v>23.235950088324714</v>
      </c>
      <c r="Q30" s="20">
        <f t="shared" si="2"/>
        <v>187.65460373716556</v>
      </c>
      <c r="R30" s="59">
        <f t="shared" si="0"/>
        <v>480.9879370704989</v>
      </c>
      <c r="S30" s="59">
        <f ca="1">AVERAGE(OFFSET($R$3,0,0,'Données projet'!$E$9+1,1))-AVERAGE(OFFSET($H$3,0,0,'Données projet'!$E$9+1,1))</f>
        <v>330.30341204367602</v>
      </c>
      <c r="T30" s="59">
        <f t="shared" si="34"/>
        <v>200.36653694091007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28</v>
      </c>
      <c r="AI30" s="13">
        <f>IF('Données projet'!$A$62&gt;35,AI29+AH30-AQ29,IF(A30&lt;'Données projet'!$A$62,$AF$205^A30,IF(A30='Données projet'!$A$62,'Données projet'!$B$62,AI29+AH30-AQ29)))</f>
        <v>249</v>
      </c>
      <c r="AJ30" s="13">
        <f>AI30*VLOOKUP('Données projet'!$B$10,Paramètres!$A$1:$I$89,3,0)*VLOOKUP('Données projet'!$B$10,Paramètres!$A$1:$I$89,5,0)</f>
        <v>148.90200000000002</v>
      </c>
      <c r="AK30" s="13">
        <f t="shared" si="35"/>
        <v>38.328954586731257</v>
      </c>
      <c r="AL30" s="20">
        <f t="shared" si="4"/>
        <v>326.09391257189031</v>
      </c>
      <c r="AM30" s="59">
        <f t="shared" si="5"/>
        <v>619.42724590522357</v>
      </c>
      <c r="AN30" s="59">
        <f ca="1">AVERAGE(OFFSET($AM$3,0,0,'Données projet'!$E$10+1,1))-AVERAGE(OFFSET($H$3,0,0,'Données projet'!$E$10+1,1))</f>
        <v>465.77577582457678</v>
      </c>
      <c r="AO30" s="59">
        <f t="shared" si="36"/>
        <v>301.15495784503042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5.0458002848694665</v>
      </c>
      <c r="AV30" s="21">
        <f>EXP(-LN(2)/25)*AV29+(1-EXP(-LN(2)/25))/(LN(2)/25)*Calculateur!AQ30*Calculateur!AS30*VLOOKUP('Données projet'!$B$10,Paramètres!$A$1:$I$89,3,0)*0.475*44/12</f>
        <v>14.297189697039727</v>
      </c>
      <c r="AW30" s="21">
        <f>EXP(-LN(2)/2)*AW29+(1-EXP(-LN(2)/2))/(LN(2)/2)*AQ30*AT30*VLOOKUP('Données projet'!$B$10,Paramètres!$A$1:$I$89,3,0)*0.475*44/12</f>
        <v>2.9557672385776561</v>
      </c>
      <c r="AX30" s="21">
        <f t="shared" si="6"/>
        <v>22.298757220486848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10.8</v>
      </c>
      <c r="BD30" s="12">
        <f>IF('Données projet'!$A$88&gt;35,BD29+BC30-BL29,IF(A30&lt;'Données projet'!$A$88,$BA$205^A30,IF(A30='Données projet'!$A$88,'Données projet'!$B$88,BD29+BC30-BL29)))</f>
        <v>145.60000000000002</v>
      </c>
      <c r="BE30" s="13">
        <f>BD30*VLOOKUP('Données projet'!$B$11,Paramètres!$A$1:$I$89,3,0)*VLOOKUP('Données projet'!$B$11,Paramètres!$A$1:$I$89,5,0)</f>
        <v>113.56800000000003</v>
      </c>
      <c r="BF30" s="13">
        <f t="shared" si="37"/>
        <v>30.17006506205821</v>
      </c>
      <c r="BG30" s="20">
        <f t="shared" si="7"/>
        <v>250.34379664975143</v>
      </c>
      <c r="BH30" s="59">
        <f t="shared" si="8"/>
        <v>543.6771299830848</v>
      </c>
      <c r="BI30" s="59">
        <f ca="1">AVERAGE(OFFSET($BH$3,0,0,'Données projet'!$E$11+1,1))-AVERAGE(OFFSET($H$3,0,0,'Données projet'!$E$11+1,1))</f>
        <v>219.5868031007679</v>
      </c>
      <c r="BJ30" s="59">
        <f t="shared" si="38"/>
        <v>263.3830219837742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14.2</v>
      </c>
      <c r="BY30" s="12">
        <f>IF('Données projet'!$A$114&gt;35,BY29+BX30-CG29,IF(A30&lt;'Données projet'!$A$114,$BV$205^A30,IF(A30='Données projet'!$A$114,'Données projet'!$B$114,BY29+BX30-CG29)))</f>
        <v>89.4</v>
      </c>
      <c r="BZ30" s="13">
        <f>BY30*VLOOKUP('Données projet'!$B$12,Paramètres!$A$1:$I$89,3,0)*VLOOKUP('Données projet'!$B$12,Paramètres!$A$1:$I$89,5,0)</f>
        <v>96.230159999999998</v>
      </c>
      <c r="CA30" s="13">
        <f t="shared" si="39"/>
        <v>26.061886443962717</v>
      </c>
      <c r="CB30" s="20">
        <f t="shared" si="10"/>
        <v>212.99198088990173</v>
      </c>
      <c r="CC30" s="59">
        <f t="shared" si="11"/>
        <v>506.32531422323507</v>
      </c>
      <c r="CD30" s="59">
        <f ca="1">AVERAGE(OFFSET($CC$3,0,0,'Données projet'!$E$12+1,1))-AVERAGE(OFFSET($H$3,0,0,'Données projet'!$E$12+1,1))</f>
        <v>244.7364260963538</v>
      </c>
      <c r="CE30" s="59">
        <f t="shared" si="40"/>
        <v>270.32853612539299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14.2</v>
      </c>
      <c r="CT30" s="12">
        <f>IF('Données projet'!$A$140&gt;35,CT29+CS30-DB29,IF(A30&lt;'Données projet'!$A$140,$CQ$205^A30,IF(A30='Données projet'!$A$140,'Données projet'!$B$140,CT29+CS30-DB29)))</f>
        <v>89.4</v>
      </c>
      <c r="CU30" s="17">
        <f>CT30*VLOOKUP('Données projet'!$B$13,Paramètres!$A$1:$I$89,3,0)*VLOOKUP('Données projet'!$B$13,Paramètres!$A$1:$I$89,5,0)</f>
        <v>86.467680000000016</v>
      </c>
      <c r="CV30" s="13">
        <f t="shared" si="41"/>
        <v>23.711339478562778</v>
      </c>
      <c r="CW30" s="20">
        <f t="shared" si="13"/>
        <v>191.89512559183018</v>
      </c>
      <c r="CX30" s="59">
        <f t="shared" si="14"/>
        <v>485.22845892516352</v>
      </c>
      <c r="CY30" s="59">
        <f ca="1">AVERAGE(OFFSET($CX$3,0,0,'Données projet'!$E$13+1,1))-AVERAGE(OFFSET($H$3,0,0,'Données projet'!$E$13+1,1))</f>
        <v>216.39536568500222</v>
      </c>
      <c r="CZ30" s="59">
        <f t="shared" si="42"/>
        <v>239.44686980897467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16.598400000000009</v>
      </c>
      <c r="D31" s="11">
        <f t="shared" si="32"/>
        <v>5.5157247105992591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170.70552408181891</v>
      </c>
      <c r="H31" s="67">
        <f t="shared" si="1"/>
        <v>331.84876720429372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102.60000000000002</v>
      </c>
      <c r="O31" s="13">
        <f>N31*VLOOKUP('Données projet'!$B$9,Paramètres!$A$1:$I$89,3,0)*VLOOKUP('Données projet'!$B$9,Paramètres!$A$1:$I$89,5,0)</f>
        <v>92.832480000000018</v>
      </c>
      <c r="P31" s="13">
        <f t="shared" si="33"/>
        <v>25.247114117480137</v>
      </c>
      <c r="Q31" s="20">
        <f t="shared" si="2"/>
        <v>205.65529308794461</v>
      </c>
      <c r="R31" s="59">
        <f t="shared" si="0"/>
        <v>498.9886264212779</v>
      </c>
      <c r="S31" s="59">
        <f ca="1">AVERAGE(OFFSET($R$3,0,0,'Données projet'!$E$9+1,1))-AVERAGE(OFFSET($H$3,0,0,'Données projet'!$E$9+1,1))</f>
        <v>330.30341204367602</v>
      </c>
      <c r="T31" s="59">
        <f t="shared" si="34"/>
        <v>200.36653694091007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28</v>
      </c>
      <c r="AI31" s="13">
        <f>IF('Données projet'!$A$62&gt;35,AI30+AH31-AQ30,IF(A31&lt;'Données projet'!$A$62,$AF$205^A31,IF(A31='Données projet'!$A$62,'Données projet'!$B$62,AI30+AH31-AQ30)))</f>
        <v>277</v>
      </c>
      <c r="AJ31" s="13">
        <f>AI31*VLOOKUP('Données projet'!$B$10,Paramètres!$A$1:$I$89,3,0)*VLOOKUP('Données projet'!$B$10,Paramètres!$A$1:$I$89,5,0)</f>
        <v>165.64600000000002</v>
      </c>
      <c r="AK31" s="13">
        <f t="shared" si="35"/>
        <v>42.113404814327666</v>
      </c>
      <c r="AL31" s="20">
        <f t="shared" si="4"/>
        <v>361.84763005162068</v>
      </c>
      <c r="AM31" s="59">
        <f t="shared" si="5"/>
        <v>655.180963384954</v>
      </c>
      <c r="AN31" s="59">
        <f ca="1">AVERAGE(OFFSET($AM$3,0,0,'Données projet'!$E$10+1,1))-AVERAGE(OFFSET($H$3,0,0,'Données projet'!$E$10+1,1))</f>
        <v>465.77577582457678</v>
      </c>
      <c r="AO31" s="59">
        <f t="shared" si="36"/>
        <v>301.15495784503042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4.9468552189174586</v>
      </c>
      <c r="AV31" s="21">
        <f>EXP(-LN(2)/25)*AV30+(1-EXP(-LN(2)/25))/(LN(2)/25)*Calculateur!AQ31*Calculateur!AS31*VLOOKUP('Données projet'!$B$10,Paramètres!$A$1:$I$89,3,0)*0.475*44/12</f>
        <v>13.906232292917647</v>
      </c>
      <c r="AW31" s="21">
        <f>EXP(-LN(2)/2)*AW30+(1-EXP(-LN(2)/2))/(LN(2)/2)*AQ31*AT31*VLOOKUP('Données projet'!$B$10,Paramètres!$A$1:$I$89,3,0)*0.475*44/12</f>
        <v>2.0900430580072968</v>
      </c>
      <c r="AX31" s="21">
        <f t="shared" si="6"/>
        <v>20.943130569842403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10.8</v>
      </c>
      <c r="BD31" s="12">
        <f>IF('Données projet'!$A$88&gt;35,BD30+BC31-BL30,IF(A31&lt;'Données projet'!$A$88,$BA$205^A31,IF(A31='Données projet'!$A$88,'Données projet'!$B$88,BD30+BC31-BL30)))</f>
        <v>156.40000000000003</v>
      </c>
      <c r="BE31" s="13">
        <f>BD31*VLOOKUP('Données projet'!$B$11,Paramètres!$A$1:$I$89,3,0)*VLOOKUP('Données projet'!$B$11,Paramètres!$A$1:$I$89,5,0)</f>
        <v>121.99200000000003</v>
      </c>
      <c r="BF31" s="13">
        <f t="shared" si="37"/>
        <v>32.139154469866327</v>
      </c>
      <c r="BG31" s="20">
        <f t="shared" si="7"/>
        <v>268.44509403501723</v>
      </c>
      <c r="BH31" s="59">
        <f t="shared" si="8"/>
        <v>561.77842736835055</v>
      </c>
      <c r="BI31" s="59">
        <f ca="1">AVERAGE(OFFSET($BH$3,0,0,'Données projet'!$E$11+1,1))-AVERAGE(OFFSET($H$3,0,0,'Données projet'!$E$11+1,1))</f>
        <v>219.5868031007679</v>
      </c>
      <c r="BJ31" s="59">
        <f t="shared" si="38"/>
        <v>263.3830219837742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14.2</v>
      </c>
      <c r="BY31" s="12">
        <f>IF('Données projet'!$A$114&gt;35,BY30+BX31-CG30,IF(A31&lt;'Données projet'!$A$114,$BV$205^A31,IF(A31='Données projet'!$A$114,'Données projet'!$B$114,BY30+BX31-CG30)))</f>
        <v>103.60000000000001</v>
      </c>
      <c r="BZ31" s="13">
        <f>BY31*VLOOKUP('Données projet'!$B$12,Paramètres!$A$1:$I$89,3,0)*VLOOKUP('Données projet'!$B$12,Paramètres!$A$1:$I$89,5,0)</f>
        <v>111.51504</v>
      </c>
      <c r="CA31" s="13">
        <f t="shared" si="39"/>
        <v>29.687655136252104</v>
      </c>
      <c r="CB31" s="20">
        <f t="shared" si="10"/>
        <v>245.9280273623057</v>
      </c>
      <c r="CC31" s="59">
        <f t="shared" si="11"/>
        <v>539.26136069563904</v>
      </c>
      <c r="CD31" s="59">
        <f ca="1">AVERAGE(OFFSET($CC$3,0,0,'Données projet'!$E$12+1,1))-AVERAGE(OFFSET($H$3,0,0,'Données projet'!$E$12+1,1))</f>
        <v>244.7364260963538</v>
      </c>
      <c r="CE31" s="59">
        <f t="shared" si="40"/>
        <v>270.32853612539299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14.2</v>
      </c>
      <c r="CT31" s="12">
        <f>IF('Données projet'!$A$140&gt;35,CT30+CS31-DB30,IF(A31&lt;'Données projet'!$A$140,$CQ$205^A31,IF(A31='Données projet'!$A$140,'Données projet'!$B$140,CT30+CS31-DB30)))</f>
        <v>103.60000000000001</v>
      </c>
      <c r="CU31" s="17">
        <f>CT31*VLOOKUP('Données projet'!$B$13,Paramètres!$A$1:$I$89,3,0)*VLOOKUP('Données projet'!$B$13,Paramètres!$A$1:$I$89,5,0)</f>
        <v>100.20192</v>
      </c>
      <c r="CV31" s="13">
        <f t="shared" si="41"/>
        <v>27.010096555049586</v>
      </c>
      <c r="CW31" s="20">
        <f t="shared" si="13"/>
        <v>221.56092883337803</v>
      </c>
      <c r="CX31" s="59">
        <f t="shared" si="14"/>
        <v>514.89426216671131</v>
      </c>
      <c r="CY31" s="59">
        <f ca="1">AVERAGE(OFFSET($CX$3,0,0,'Données projet'!$E$13+1,1))-AVERAGE(OFFSET($H$3,0,0,'Données projet'!$E$13+1,1))</f>
        <v>216.39536568500222</v>
      </c>
      <c r="CZ31" s="59">
        <f t="shared" si="42"/>
        <v>239.44686980897467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17.191200000000009</v>
      </c>
      <c r="D32" s="11">
        <f t="shared" si="32"/>
        <v>5.6894281456126912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176.62239270297525</v>
      </c>
      <c r="H32" s="67">
        <f t="shared" si="1"/>
        <v>333.18376068694209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111.80000000000003</v>
      </c>
      <c r="O32" s="13">
        <f>N32*VLOOKUP('Données projet'!$B$9,Paramètres!$A$1:$I$89,3,0)*VLOOKUP('Données projet'!$B$9,Paramètres!$A$1:$I$89,5,0)</f>
        <v>101.15664000000001</v>
      </c>
      <c r="P32" s="13">
        <f t="shared" si="33"/>
        <v>27.237366379381644</v>
      </c>
      <c r="Q32" s="20">
        <f t="shared" si="2"/>
        <v>223.61956111075639</v>
      </c>
      <c r="R32" s="59">
        <f t="shared" si="0"/>
        <v>516.95289444408968</v>
      </c>
      <c r="S32" s="59">
        <f ca="1">AVERAGE(OFFSET($R$3,0,0,'Données projet'!$E$9+1,1))-AVERAGE(OFFSET($H$3,0,0,'Données projet'!$E$9+1,1))</f>
        <v>330.30341204367602</v>
      </c>
      <c r="T32" s="59">
        <f t="shared" si="34"/>
        <v>200.36653694091007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>
        <f>VLOOKUP(A32,'Données projet'!$A$61:$I$81,2,0)</f>
        <v>305</v>
      </c>
      <c r="AG32" s="12">
        <f>VLOOKUP(A32,'Données projet'!$A$61:$I$81,9,0)</f>
        <v>28</v>
      </c>
      <c r="AH32" s="12">
        <f t="array" ref="AH32">INDEX(AG:AG,MIN(IF(ISNUMBER(AG32:AG228),ROW(AG32:AG228),"")))</f>
        <v>28</v>
      </c>
      <c r="AI32" s="13">
        <f>IF('Données projet'!$A$62&gt;35,AI31+AH32-AQ31,IF(A32&lt;'Données projet'!$A$62,$AF$205^A32,IF(A32='Données projet'!$A$62,'Données projet'!$B$62,AI31+AH32-AQ31)))</f>
        <v>305</v>
      </c>
      <c r="AJ32" s="13">
        <f>AI32*VLOOKUP('Données projet'!$B$10,Paramètres!$A$1:$I$89,3,0)*VLOOKUP('Données projet'!$B$10,Paramètres!$A$1:$I$89,5,0)</f>
        <v>182.39000000000001</v>
      </c>
      <c r="AK32" s="13">
        <f t="shared" si="35"/>
        <v>45.853508245632504</v>
      </c>
      <c r="AL32" s="20">
        <f t="shared" si="4"/>
        <v>397.52411019447663</v>
      </c>
      <c r="AM32" s="59">
        <f t="shared" si="5"/>
        <v>690.85744352780989</v>
      </c>
      <c r="AN32" s="59">
        <f ca="1">AVERAGE(OFFSET($AM$3,0,0,'Données projet'!$E$10+1,1))-AVERAGE(OFFSET($H$3,0,0,'Données projet'!$E$10+1,1))</f>
        <v>465.77577582457678</v>
      </c>
      <c r="AO32" s="59">
        <f t="shared" si="36"/>
        <v>301.15495784503042</v>
      </c>
      <c r="AP32" s="15">
        <f>IF(ISNA(VLOOKUP(A32,'Données projet'!$A$61:$I$81,3,0)),0,VLOOKUP(A32,'Données projet'!$A$61:$I$81,3,0))</f>
        <v>3</v>
      </c>
      <c r="AQ32" s="15">
        <f>IF(ISNA(VLOOKUP(A32,'Données projet'!$A$61:$I$81,4,0)),0,VLOOKUP(A32,'Données projet'!$A$61:$I$81,4,0))</f>
        <v>77</v>
      </c>
      <c r="AR32" s="16">
        <f>IF(ISNA(VLOOKUP(A32,'Données projet'!$A$61:$I$81,5,0)),0%,VLOOKUP(A32,'Données projet'!$A$61:$I$81,5,0)*VLOOKUP('Données projet'!$B$10,Paramètres!$A$1:$I$89,7,0))</f>
        <v>0.22500000000000001</v>
      </c>
      <c r="AS32" s="16">
        <f>IF(ISNA(VLOOKUP(A32,'Données projet'!$A$61:$I$81,6,0)),0%,VLOOKUP(A32,'Données projet'!$A$61:$I$81,6,0)*VLOOKUP('Données projet'!$B$10,Paramètres!$A$1:$I$89,7,0))</f>
        <v>0.13500000000000001</v>
      </c>
      <c r="AT32" s="16">
        <f>IF(ISNA(VLOOKUP(A32,'Données projet'!$A$61:$I$81,7,0)),0%,VLOOKUP(A32,'Données projet'!$A$61:$I$81,7,0))</f>
        <v>0.2</v>
      </c>
      <c r="AU32" s="21">
        <f>EXP(-LN(2)/35)*AU31+(1-EXP(-LN(2)/35))/(LN(2)/35)*AQ32*AR32*VLOOKUP('Données projet'!$B$10,Paramètres!$A$1:$I$89,3,0)*0.475*44/12</f>
        <v>18.593522461271277</v>
      </c>
      <c r="AV32" s="21">
        <f>EXP(-LN(2)/25)*AV31+(1-EXP(-LN(2)/25))/(LN(2)/25)*Calculateur!AQ32*Calculateur!AS32*VLOOKUP('Données projet'!$B$10,Paramètres!$A$1:$I$89,3,0)*0.475*44/12</f>
        <v>21.739700428938423</v>
      </c>
      <c r="AW32" s="21">
        <f>EXP(-LN(2)/2)*AW31+(1-EXP(-LN(2)/2))/(LN(2)/2)*AQ32*AT32*VLOOKUP('Données projet'!$B$10,Paramètres!$A$1:$I$89,3,0)*0.475*44/12</f>
        <v>11.904837293669557</v>
      </c>
      <c r="AX32" s="21">
        <f t="shared" si="6"/>
        <v>52.238060183879256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10.8</v>
      </c>
      <c r="BD32" s="12">
        <f>IF('Données projet'!$A$88&gt;35,BD31+BC32-BL31,IF(A32&lt;'Données projet'!$A$88,$BA$205^A32,IF(A32='Données projet'!$A$88,'Données projet'!$B$88,BD31+BC32-BL31)))</f>
        <v>167.20000000000005</v>
      </c>
      <c r="BE32" s="13">
        <f>BD32*VLOOKUP('Données projet'!$B$11,Paramètres!$A$1:$I$89,3,0)*VLOOKUP('Données projet'!$B$11,Paramètres!$A$1:$I$89,5,0)</f>
        <v>130.41600000000005</v>
      </c>
      <c r="BF32" s="13">
        <f t="shared" si="37"/>
        <v>34.092466837179941</v>
      </c>
      <c r="BG32" s="20">
        <f t="shared" si="7"/>
        <v>286.51891307475512</v>
      </c>
      <c r="BH32" s="59">
        <f t="shared" si="8"/>
        <v>579.85224640808838</v>
      </c>
      <c r="BI32" s="59">
        <f ca="1">AVERAGE(OFFSET($BH$3,0,0,'Données projet'!$E$11+1,1))-AVERAGE(OFFSET($H$3,0,0,'Données projet'!$E$11+1,1))</f>
        <v>219.5868031007679</v>
      </c>
      <c r="BJ32" s="59">
        <f t="shared" si="38"/>
        <v>263.3830219837742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14.2</v>
      </c>
      <c r="BY32" s="12">
        <f>IF('Données projet'!$A$114&gt;35,BY31+BX32-CG31,IF(A32&lt;'Données projet'!$A$114,$BV$205^A32,IF(A32='Données projet'!$A$114,'Données projet'!$B$114,BY31+BX32-CG31)))</f>
        <v>117.80000000000001</v>
      </c>
      <c r="BZ32" s="13">
        <f>BY32*VLOOKUP('Données projet'!$B$12,Paramètres!$A$1:$I$89,3,0)*VLOOKUP('Données projet'!$B$12,Paramètres!$A$1:$I$89,5,0)</f>
        <v>126.79992</v>
      </c>
      <c r="CA32" s="13">
        <f t="shared" si="39"/>
        <v>33.255845602298514</v>
      </c>
      <c r="CB32" s="20">
        <f t="shared" si="10"/>
        <v>278.76379175733655</v>
      </c>
      <c r="CC32" s="59">
        <f t="shared" si="11"/>
        <v>572.09712509066981</v>
      </c>
      <c r="CD32" s="59">
        <f ca="1">AVERAGE(OFFSET($CC$3,0,0,'Données projet'!$E$12+1,1))-AVERAGE(OFFSET($H$3,0,0,'Données projet'!$E$12+1,1))</f>
        <v>244.7364260963538</v>
      </c>
      <c r="CE32" s="59">
        <f t="shared" si="40"/>
        <v>270.32853612539299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14.2</v>
      </c>
      <c r="CT32" s="12">
        <f>IF('Données projet'!$A$140&gt;35,CT31+CS32-DB31,IF(A32&lt;'Données projet'!$A$140,$CQ$205^A32,IF(A32='Données projet'!$A$140,'Données projet'!$B$140,CT31+CS32-DB31)))</f>
        <v>117.80000000000001</v>
      </c>
      <c r="CU32" s="17">
        <f>CT32*VLOOKUP('Données projet'!$B$13,Paramètres!$A$1:$I$89,3,0)*VLOOKUP('Données projet'!$B$13,Paramètres!$A$1:$I$89,5,0)</f>
        <v>113.93616</v>
      </c>
      <c r="CV32" s="13">
        <f t="shared" si="41"/>
        <v>30.256468441693912</v>
      </c>
      <c r="CW32" s="20">
        <f t="shared" si="13"/>
        <v>251.13549453595022</v>
      </c>
      <c r="CX32" s="59">
        <f t="shared" si="14"/>
        <v>544.46882786928359</v>
      </c>
      <c r="CY32" s="59">
        <f ca="1">AVERAGE(OFFSET($CX$3,0,0,'Données projet'!$E$13+1,1))-AVERAGE(OFFSET($H$3,0,0,'Données projet'!$E$13+1,1))</f>
        <v>216.39536568500222</v>
      </c>
      <c r="CZ32" s="59">
        <f t="shared" si="42"/>
        <v>239.44686980897467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17.78400000000001</v>
      </c>
      <c r="D33" s="11">
        <f t="shared" si="32"/>
        <v>5.8624356226349637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182.53388901683138</v>
      </c>
      <c r="H33" s="67">
        <f t="shared" si="1"/>
        <v>334.51754204275591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121.00000000000003</v>
      </c>
      <c r="O33" s="13">
        <f>N33*VLOOKUP('Données projet'!$B$9,Paramètres!$A$1:$I$89,3,0)*VLOOKUP('Données projet'!$B$9,Paramètres!$A$1:$I$89,5,0)</f>
        <v>109.48080000000002</v>
      </c>
      <c r="P33" s="13">
        <f t="shared" si="33"/>
        <v>29.208623339903898</v>
      </c>
      <c r="Q33" s="20">
        <f t="shared" si="2"/>
        <v>241.55074565033269</v>
      </c>
      <c r="R33" s="59">
        <f t="shared" si="0"/>
        <v>534.88407898366597</v>
      </c>
      <c r="S33" s="59">
        <f ca="1">AVERAGE(OFFSET($R$3,0,0,'Données projet'!$E$9+1,1))-AVERAGE(OFFSET($H$3,0,0,'Données projet'!$E$9+1,1))</f>
        <v>330.30341204367602</v>
      </c>
      <c r="T33" s="59">
        <f t="shared" si="34"/>
        <v>200.36653694091007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28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33.714285714285715</v>
      </c>
      <c r="AI33" s="13">
        <f>IF('Données projet'!$A$62&gt;35,AI32+AH33-AQ32,IF(A33&lt;'Données projet'!$A$62,$AF$205^A33,IF(A33='Données projet'!$A$62,'Données projet'!$B$62,AI32+AH33-AQ32)))</f>
        <v>261.71428571428572</v>
      </c>
      <c r="AJ33" s="13">
        <f>AI33*VLOOKUP('Données projet'!$B$10,Paramètres!$A$1:$I$89,3,0)*VLOOKUP('Données projet'!$B$10,Paramètres!$A$1:$I$89,5,0)</f>
        <v>156.50514285714289</v>
      </c>
      <c r="AK33" s="13">
        <f t="shared" si="35"/>
        <v>40.053230284169871</v>
      </c>
      <c r="AL33" s="20">
        <f t="shared" si="4"/>
        <v>342.33916655445302</v>
      </c>
      <c r="AM33" s="59">
        <f t="shared" si="5"/>
        <v>635.67249988778633</v>
      </c>
      <c r="AN33" s="59">
        <f ca="1">AVERAGE(OFFSET($AM$3,0,0,'Données projet'!$E$10+1,1))-AVERAGE(OFFSET($H$3,0,0,'Données projet'!$E$10+1,1))</f>
        <v>465.77577582457678</v>
      </c>
      <c r="AO33" s="59">
        <f t="shared" si="36"/>
        <v>301.15495784503042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18.228914826734623</v>
      </c>
      <c r="AV33" s="21">
        <f>EXP(-LN(2)/25)*AV32+(1-EXP(-LN(2)/25))/(LN(2)/25)*Calculateur!AQ33*Calculateur!AS33*VLOOKUP('Données projet'!$B$10,Paramètres!$A$1:$I$89,3,0)*0.475*44/12</f>
        <v>21.145227177467945</v>
      </c>
      <c r="AW33" s="21">
        <f>EXP(-LN(2)/2)*AW32+(1-EXP(-LN(2)/2))/(LN(2)/2)*AQ33*AT33*VLOOKUP('Données projet'!$B$10,Paramètres!$A$1:$I$89,3,0)*0.475*44/12</f>
        <v>8.4179911792762496</v>
      </c>
      <c r="AX33" s="21">
        <f t="shared" si="6"/>
        <v>47.792133183478818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178</v>
      </c>
      <c r="BB33" s="12">
        <f>VLOOKUP(A33,'Données projet'!$A$87:$I$107,9,0)</f>
        <v>10.8</v>
      </c>
      <c r="BC33" s="12">
        <f t="array" ref="BC33">INDEX(BB:BB,MIN(IF(ISNUMBER(BB33:BB229),ROW(BB33:BB229),"")))</f>
        <v>10.8</v>
      </c>
      <c r="BD33" s="12">
        <f>IF('Données projet'!$A$88&gt;35,BD32+BC33-BL32,IF(A33&lt;'Données projet'!$A$88,$BA$205^A33,IF(A33='Données projet'!$A$88,'Données projet'!$B$88,BD32+BC33-BL32)))</f>
        <v>178.00000000000006</v>
      </c>
      <c r="BE33" s="13">
        <f>BD33*VLOOKUP('Données projet'!$B$11,Paramètres!$A$1:$I$89,3,0)*VLOOKUP('Données projet'!$B$11,Paramètres!$A$1:$I$89,5,0)</f>
        <v>138.84000000000006</v>
      </c>
      <c r="BF33" s="13">
        <f t="shared" si="37"/>
        <v>36.031137240112955</v>
      </c>
      <c r="BG33" s="20">
        <f t="shared" si="7"/>
        <v>304.56723069319679</v>
      </c>
      <c r="BH33" s="59">
        <f t="shared" si="8"/>
        <v>597.90056402653011</v>
      </c>
      <c r="BI33" s="59">
        <f ca="1">AVERAGE(OFFSET($BH$3,0,0,'Données projet'!$E$11+1,1))-AVERAGE(OFFSET($H$3,0,0,'Données projet'!$E$11+1,1))</f>
        <v>219.5868031007679</v>
      </c>
      <c r="BJ33" s="59">
        <f t="shared" si="38"/>
        <v>263.3830219837742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23</v>
      </c>
      <c r="BM33" s="16">
        <f>IF(ISNA(VLOOKUP(A33,'Données projet'!$A$87:$I$107,5,0)),0%,VLOOKUP(A33,'Données projet'!$A$87:$I$107,5,0)*VLOOKUP('Données projet'!$B$11,Paramètres!$A$1:$I$89,7,0))</f>
        <v>0.215</v>
      </c>
      <c r="BN33" s="16">
        <f>IF(ISNA(VLOOKUP(A33,'Données projet'!$A$87:$I$107,6,0)),0%,VLOOKUP(A33,'Données projet'!$A$87:$I$107,6,0)*VLOOKUP('Données projet'!$B$11,Paramètres!$A$1:$I$89,7,0))</f>
        <v>4.3000000000000003E-2</v>
      </c>
      <c r="BO33" s="16">
        <f>IF(ISNA(VLOOKUP(A33,'Données projet'!$A$87:$I$107,7,0)),0%,VLOOKUP(A33,'Données projet'!$A$87:$I$107,7,0))</f>
        <v>0.15</v>
      </c>
      <c r="BP33" s="21">
        <f>EXP(-LN(2)/35)*BP32+(1-EXP(-LN(2)/35))/(LN(2)/35)*BL33*BM33*VLOOKUP('Données projet'!$B$11,Paramètres!$A$1:$I$89,3,0)*0.475*44/12</f>
        <v>4.2639098008965428</v>
      </c>
      <c r="BQ33" s="21">
        <f>EXP(-LN(2)/25)*BQ32+(1-EXP(-LN(2)/25))/(LN(2)/25)*Calculateur!BL33*Calculateur!BN33*VLOOKUP('Données projet'!$B$11,Paramètres!$A$1:$I$89,3,0)*0.475*44/12</f>
        <v>0.84942423266668132</v>
      </c>
      <c r="BR33" s="21">
        <f>EXP(-LN(2)/2)*BR32+(1-EXP(-LN(2)/2))/(LN(2)/2)*BL33*BO33*VLOOKUP('Données projet'!$B$11,Paramètres!$A$1:$I$89,3,0)*0.475*44/12</f>
        <v>2.5390309272031</v>
      </c>
      <c r="BS33" s="22">
        <f t="shared" si="9"/>
        <v>7.6523649607663238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132</v>
      </c>
      <c r="BW33" s="12">
        <f>VLOOKUP(A33,'Données projet'!$A$113:$I$133,9,0)</f>
        <v>14.2</v>
      </c>
      <c r="BX33" s="12">
        <f t="array" ref="BX33">INDEX(BW:BW,MIN(IF(ISNUMBER(BW33:BW229),ROW(BW33:BW229),"")))</f>
        <v>14.2</v>
      </c>
      <c r="BY33" s="12">
        <f>IF('Données projet'!$A$114&gt;35,BY32+BX33-CG32,IF(A33&lt;'Données projet'!$A$114,$BV$205^A33,IF(A33='Données projet'!$A$114,'Données projet'!$B$114,BY32+BX33-CG32)))</f>
        <v>132</v>
      </c>
      <c r="BZ33" s="13">
        <f>BY33*VLOOKUP('Données projet'!$B$12,Paramètres!$A$1:$I$89,3,0)*VLOOKUP('Données projet'!$B$12,Paramètres!$A$1:$I$89,5,0)</f>
        <v>142.0848</v>
      </c>
      <c r="CA33" s="13">
        <f t="shared" si="39"/>
        <v>36.774192249654888</v>
      </c>
      <c r="CB33" s="20">
        <f t="shared" si="10"/>
        <v>311.51274483481558</v>
      </c>
      <c r="CC33" s="59">
        <f t="shared" si="11"/>
        <v>604.84607816814889</v>
      </c>
      <c r="CD33" s="59">
        <f ca="1">AVERAGE(OFFSET($CC$3,0,0,'Données projet'!$E$12+1,1))-AVERAGE(OFFSET($H$3,0,0,'Données projet'!$E$12+1,1))</f>
        <v>244.7364260963538</v>
      </c>
      <c r="CE33" s="59">
        <f t="shared" si="40"/>
        <v>270.32853612539299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24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132</v>
      </c>
      <c r="CR33" s="12">
        <f>VLOOKUP(A33,'Données projet'!$A$139:$I$159,9,0)</f>
        <v>14.2</v>
      </c>
      <c r="CS33" s="12">
        <f t="array" ref="CS33">INDEX(CR:CR,MIN(IF(ISNUMBER(CR33:CR229),ROW(CR33:CR229),"")))</f>
        <v>14.2</v>
      </c>
      <c r="CT33" s="12">
        <f>IF('Données projet'!$A$140&gt;35,CT32+CS33-DB32,IF(A33&lt;'Données projet'!$A$140,$CQ$205^A33,IF(A33='Données projet'!$A$140,'Données projet'!$B$140,CT32+CS33-DB32)))</f>
        <v>132</v>
      </c>
      <c r="CU33" s="17">
        <f>CT33*VLOOKUP('Données projet'!$B$13,Paramètres!$A$1:$I$89,3,0)*VLOOKUP('Données projet'!$B$13,Paramètres!$A$1:$I$89,5,0)</f>
        <v>127.67040000000001</v>
      </c>
      <c r="CV33" s="13">
        <f t="shared" si="41"/>
        <v>33.457491972285482</v>
      </c>
      <c r="CW33" s="20">
        <f t="shared" si="13"/>
        <v>280.63107851839726</v>
      </c>
      <c r="CX33" s="59">
        <f t="shared" si="14"/>
        <v>573.96441185173057</v>
      </c>
      <c r="CY33" s="59">
        <f ca="1">AVERAGE(OFFSET($CX$3,0,0,'Données projet'!$E$13+1,1))-AVERAGE(OFFSET($H$3,0,0,'Données projet'!$E$13+1,1))</f>
        <v>216.39536568500222</v>
      </c>
      <c r="CZ33" s="59">
        <f t="shared" si="42"/>
        <v>239.44686980897467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24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18.37680000000001</v>
      </c>
      <c r="D34" s="11">
        <f t="shared" si="32"/>
        <v>6.0347730001302278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188.44021263258432</v>
      </c>
      <c r="H34" s="67">
        <f t="shared" si="1"/>
        <v>335.85015630856014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10.8</v>
      </c>
      <c r="N34" s="13">
        <f>IF('Données projet'!$A$36&gt;35,N33+M34-V33,IF(A34&lt;'Données projet'!$A$36,$K$205^A34,IF(A34='Données projet'!$A$36,'Données projet'!$B$36,N33+M34-V33)))</f>
        <v>103.80000000000004</v>
      </c>
      <c r="O34" s="13">
        <f>N34*VLOOKUP('Données projet'!$B$9,Paramètres!$A$1:$I$89,3,0)*VLOOKUP('Données projet'!$B$9,Paramètres!$A$1:$I$89,5,0)</f>
        <v>93.91824000000004</v>
      </c>
      <c r="P34" s="13">
        <f t="shared" si="33"/>
        <v>25.507853654186022</v>
      </c>
      <c r="Q34" s="20">
        <f t="shared" si="2"/>
        <v>208.00044644770739</v>
      </c>
      <c r="R34" s="59">
        <f t="shared" si="0"/>
        <v>501.33377978104068</v>
      </c>
      <c r="S34" s="59">
        <f ca="1">AVERAGE(OFFSET($R$3,0,0,'Données projet'!$E$9+1,1))-AVERAGE(OFFSET($H$3,0,0,'Données projet'!$E$9+1,1))</f>
        <v>330.30341204367602</v>
      </c>
      <c r="T34" s="59">
        <f t="shared" si="34"/>
        <v>200.36653694091007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33.714285714285715</v>
      </c>
      <c r="AI34" s="13">
        <f>IF('Données projet'!$A$62&gt;35,AI33+AH34-AQ33,IF(A34&lt;'Données projet'!$A$62,$AF$205^A34,IF(A34='Données projet'!$A$62,'Données projet'!$B$62,AI33+AH34-AQ33)))</f>
        <v>295.42857142857144</v>
      </c>
      <c r="AJ34" s="13">
        <f>AI34*VLOOKUP('Données projet'!$B$10,Paramètres!$A$1:$I$89,3,0)*VLOOKUP('Données projet'!$B$10,Paramètres!$A$1:$I$89,5,0)</f>
        <v>176.66628571428575</v>
      </c>
      <c r="AK34" s="13">
        <f t="shared" si="35"/>
        <v>44.579691124989139</v>
      </c>
      <c r="AL34" s="20">
        <f t="shared" si="4"/>
        <v>385.33674299507038</v>
      </c>
      <c r="AM34" s="59">
        <f t="shared" si="5"/>
        <v>678.67007632840364</v>
      </c>
      <c r="AN34" s="59">
        <f ca="1">AVERAGE(OFFSET($AM$3,0,0,'Données projet'!$E$10+1,1))-AVERAGE(OFFSET($H$3,0,0,'Données projet'!$E$10+1,1))</f>
        <v>465.77577582457678</v>
      </c>
      <c r="AO34" s="59">
        <f t="shared" si="36"/>
        <v>301.15495784503042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17.871456925522537</v>
      </c>
      <c r="AV34" s="21">
        <f>EXP(-LN(2)/25)*AV33+(1-EXP(-LN(2)/25))/(LN(2)/25)*Calculateur!AQ34*Calculateur!AS34*VLOOKUP('Données projet'!$B$10,Paramètres!$A$1:$I$89,3,0)*0.475*44/12</f>
        <v>20.567009828320913</v>
      </c>
      <c r="AW34" s="21">
        <f>EXP(-LN(2)/2)*AW33+(1-EXP(-LN(2)/2))/(LN(2)/2)*AQ34*AT34*VLOOKUP('Données projet'!$B$10,Paramètres!$A$1:$I$89,3,0)*0.475*44/12</f>
        <v>5.9524186468347784</v>
      </c>
      <c r="AX34" s="21">
        <f t="shared" si="6"/>
        <v>44.390885400678229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11.6</v>
      </c>
      <c r="BD34" s="12">
        <f>IF('Données projet'!$A$88&gt;35,BD33+BC34-BL33,IF(A34&lt;'Données projet'!$A$88,$BA$205^A34,IF(A34='Données projet'!$A$88,'Données projet'!$B$88,BD33+BC34-BL33)))</f>
        <v>166.60000000000005</v>
      </c>
      <c r="BE34" s="13">
        <f>BD34*VLOOKUP('Données projet'!$B$11,Paramètres!$A$1:$I$89,3,0)*VLOOKUP('Données projet'!$B$11,Paramètres!$A$1:$I$89,5,0)</f>
        <v>129.94800000000004</v>
      </c>
      <c r="BF34" s="13">
        <f t="shared" si="37"/>
        <v>33.984343379340828</v>
      </c>
      <c r="BG34" s="20">
        <f t="shared" si="7"/>
        <v>285.51549805235203</v>
      </c>
      <c r="BH34" s="59">
        <f t="shared" si="8"/>
        <v>578.84883138568534</v>
      </c>
      <c r="BI34" s="59">
        <f ca="1">AVERAGE(OFFSET($BH$3,0,0,'Données projet'!$E$11+1,1))-AVERAGE(OFFSET($H$3,0,0,'Données projet'!$E$11+1,1))</f>
        <v>219.5868031007679</v>
      </c>
      <c r="BJ34" s="59">
        <f t="shared" si="38"/>
        <v>263.3830219837742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4.1802971304291399</v>
      </c>
      <c r="BQ34" s="21">
        <f>EXP(-LN(2)/25)*BQ33+(1-EXP(-LN(2)/25))/(LN(2)/25)*Calculateur!BL34*Calculateur!BN34*VLOOKUP('Données projet'!$B$11,Paramètres!$A$1:$I$89,3,0)*0.475*44/12</f>
        <v>0.82619668235513188</v>
      </c>
      <c r="BR34" s="21">
        <f>EXP(-LN(2)/2)*BR33+(1-EXP(-LN(2)/2))/(LN(2)/2)*BL34*BO34*VLOOKUP('Données projet'!$B$11,Paramètres!$A$1:$I$89,3,0)*0.475*44/12</f>
        <v>1.7953659862676794</v>
      </c>
      <c r="BS34" s="22">
        <f t="shared" si="9"/>
        <v>6.8018597990519511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13</v>
      </c>
      <c r="BY34" s="12">
        <f>IF('Données projet'!$A$114&gt;35,BY33+BX34-CG33,IF(A34&lt;'Données projet'!$A$114,$BV$205^A34,IF(A34='Données projet'!$A$114,'Données projet'!$B$114,BY33+BX34-CG33)))</f>
        <v>121</v>
      </c>
      <c r="BZ34" s="13">
        <f>BY34*VLOOKUP('Données projet'!$B$12,Paramètres!$A$1:$I$89,3,0)*VLOOKUP('Données projet'!$B$12,Paramètres!$A$1:$I$89,5,0)</f>
        <v>130.24439999999998</v>
      </c>
      <c r="CA34" s="13">
        <f t="shared" si="39"/>
        <v>34.052826821785409</v>
      </c>
      <c r="CB34" s="20">
        <f t="shared" si="10"/>
        <v>286.15100338127621</v>
      </c>
      <c r="CC34" s="59">
        <f t="shared" si="11"/>
        <v>579.48433671460953</v>
      </c>
      <c r="CD34" s="59">
        <f ca="1">AVERAGE(OFFSET($CC$3,0,0,'Données projet'!$E$12+1,1))-AVERAGE(OFFSET($H$3,0,0,'Données projet'!$E$12+1,1))</f>
        <v>244.7364260963538</v>
      </c>
      <c r="CE34" s="59">
        <f t="shared" si="40"/>
        <v>270.32853612539299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13</v>
      </c>
      <c r="CT34" s="12">
        <f>IF('Données projet'!$A$140&gt;35,CT33+CS34-DB33,IF(A34&lt;'Données projet'!$A$140,$CQ$205^A34,IF(A34='Données projet'!$A$140,'Données projet'!$B$140,CT33+CS34-DB33)))</f>
        <v>121</v>
      </c>
      <c r="CU34" s="17">
        <f>CT34*VLOOKUP('Données projet'!$B$13,Paramètres!$A$1:$I$89,3,0)*VLOOKUP('Données projet'!$B$13,Paramètres!$A$1:$I$89,5,0)</f>
        <v>117.0312</v>
      </c>
      <c r="CV34" s="13">
        <f t="shared" si="41"/>
        <v>30.981569147428527</v>
      </c>
      <c r="CW34" s="20">
        <f t="shared" si="13"/>
        <v>257.78890626510469</v>
      </c>
      <c r="CX34" s="59">
        <f t="shared" si="14"/>
        <v>551.122239598438</v>
      </c>
      <c r="CY34" s="59">
        <f ca="1">AVERAGE(OFFSET($CX$3,0,0,'Données projet'!$E$13+1,1))-AVERAGE(OFFSET($H$3,0,0,'Données projet'!$E$13+1,1))</f>
        <v>216.39536568500222</v>
      </c>
      <c r="CZ34" s="59">
        <f t="shared" si="42"/>
        <v>239.44686980897467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18.96960000000001</v>
      </c>
      <c r="D35" s="11">
        <f t="shared" si="32"/>
        <v>6.2064643735617731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194.34154955030149</v>
      </c>
      <c r="H35" s="67">
        <f t="shared" si="1"/>
        <v>337.18164545062007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10.8</v>
      </c>
      <c r="N35" s="13">
        <f>IF('Données projet'!$A$36&gt;35,N34+M35-V34,IF(A35&lt;'Données projet'!$A$36,$K$205^A35,IF(A35='Données projet'!$A$36,'Données projet'!$B$36,N34+M35-V34)))</f>
        <v>114.60000000000004</v>
      </c>
      <c r="O35" s="13">
        <f>N35*VLOOKUP('Données projet'!$B$9,Paramètres!$A$1:$I$89,3,0)*VLOOKUP('Données projet'!$B$9,Paramètres!$A$1:$I$89,5,0)</f>
        <v>103.69008000000004</v>
      </c>
      <c r="P35" s="13">
        <f t="shared" si="33"/>
        <v>27.83924565319537</v>
      </c>
      <c r="Q35" s="20">
        <f t="shared" ref="Q35:Q66" si="53">(O35+P35)*0.475*44/12</f>
        <v>229.08024217931529</v>
      </c>
      <c r="R35" s="59">
        <f t="shared" si="0"/>
        <v>522.41357551264855</v>
      </c>
      <c r="S35" s="59">
        <f ca="1">AVERAGE(OFFSET($R$3,0,0,'Données projet'!$E$9+1,1))-AVERAGE(OFFSET($H$3,0,0,'Données projet'!$E$9+1,1))</f>
        <v>330.30341204367602</v>
      </c>
      <c r="T35" s="59">
        <f t="shared" si="34"/>
        <v>200.36653694091007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33.714285714285715</v>
      </c>
      <c r="AI35" s="13">
        <f>IF('Données projet'!$A$62&gt;35,AI34+AH35-AQ34,IF(A35&lt;'Données projet'!$A$62,$AF$205^A35,IF(A35='Données projet'!$A$62,'Données projet'!$B$62,AI34+AH35-AQ34)))</f>
        <v>329.14285714285717</v>
      </c>
      <c r="AJ35" s="13">
        <f>AI35*VLOOKUP('Données projet'!$B$10,Paramètres!$A$1:$I$89,3,0)*VLOOKUP('Données projet'!$B$10,Paramètres!$A$1:$I$89,5,0)</f>
        <v>196.82742857142861</v>
      </c>
      <c r="AK35" s="13">
        <f t="shared" si="35"/>
        <v>49.046285017268218</v>
      </c>
      <c r="AL35" s="20">
        <f t="shared" si="4"/>
        <v>428.23005116698027</v>
      </c>
      <c r="AM35" s="59">
        <f t="shared" si="5"/>
        <v>721.56338450031353</v>
      </c>
      <c r="AN35" s="59">
        <f ca="1">AVERAGE(OFFSET($AM$3,0,0,'Données projet'!$E$10+1,1))-AVERAGE(OFFSET($H$3,0,0,'Données projet'!$E$10+1,1))</f>
        <v>465.77577582457678</v>
      </c>
      <c r="AO35" s="59">
        <f t="shared" si="36"/>
        <v>301.15495784503042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17.52100855572543</v>
      </c>
      <c r="AV35" s="21">
        <f>EXP(-LN(2)/25)*AV34+(1-EXP(-LN(2)/25))/(LN(2)/25)*Calculateur!AQ35*Calculateur!AS35*VLOOKUP('Données projet'!$B$10,Paramètres!$A$1:$I$89,3,0)*0.475*44/12</f>
        <v>20.004603862993438</v>
      </c>
      <c r="AW35" s="21">
        <f>EXP(-LN(2)/2)*AW34+(1-EXP(-LN(2)/2))/(LN(2)/2)*AQ35*AT35*VLOOKUP('Données projet'!$B$10,Paramètres!$A$1:$I$89,3,0)*0.475*44/12</f>
        <v>4.2089955896381248</v>
      </c>
      <c r="AX35" s="21">
        <f t="shared" si="6"/>
        <v>41.734608008356986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11.6</v>
      </c>
      <c r="BD35" s="12">
        <f>IF('Données projet'!$A$88&gt;35,BD34+BC35-BL34,IF(A35&lt;'Données projet'!$A$88,$BA$205^A35,IF(A35='Données projet'!$A$88,'Données projet'!$B$88,BD34+BC35-BL34)))</f>
        <v>178.20000000000005</v>
      </c>
      <c r="BE35" s="13">
        <f>BD35*VLOOKUP('Données projet'!$B$11,Paramètres!$A$1:$I$89,3,0)*VLOOKUP('Données projet'!$B$11,Paramètres!$A$1:$I$89,5,0)</f>
        <v>138.99600000000004</v>
      </c>
      <c r="BF35" s="13">
        <f t="shared" si="37"/>
        <v>36.066906938767758</v>
      </c>
      <c r="BG35" s="20">
        <f t="shared" si="7"/>
        <v>304.90122958502059</v>
      </c>
      <c r="BH35" s="59">
        <f t="shared" si="8"/>
        <v>598.23456291835396</v>
      </c>
      <c r="BI35" s="59">
        <f ca="1">AVERAGE(OFFSET($BH$3,0,0,'Données projet'!$E$11+1,1))-AVERAGE(OFFSET($H$3,0,0,'Données projet'!$E$11+1,1))</f>
        <v>219.5868031007679</v>
      </c>
      <c r="BJ35" s="59">
        <f t="shared" si="38"/>
        <v>263.3830219837742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4.0983240534309093</v>
      </c>
      <c r="BQ35" s="21">
        <f>EXP(-LN(2)/25)*BQ34+(1-EXP(-LN(2)/25))/(LN(2)/25)*Calculateur!BL35*Calculateur!BN35*VLOOKUP('Données projet'!$B$11,Paramètres!$A$1:$I$89,3,0)*0.475*44/12</f>
        <v>0.8036042906283356</v>
      </c>
      <c r="BR35" s="21">
        <f>EXP(-LN(2)/2)*BR34+(1-EXP(-LN(2)/2))/(LN(2)/2)*BL35*BO35*VLOOKUP('Données projet'!$B$11,Paramètres!$A$1:$I$89,3,0)*0.475*44/12</f>
        <v>1.2695154636015502</v>
      </c>
      <c r="BS35" s="22">
        <f t="shared" si="9"/>
        <v>6.1714438076607951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13</v>
      </c>
      <c r="BY35" s="12">
        <f>IF('Données projet'!$A$114&gt;35,BY34+BX35-CG34,IF(A35&lt;'Données projet'!$A$114,$BV$205^A35,IF(A35='Données projet'!$A$114,'Données projet'!$B$114,BY34+BX35-CG34)))</f>
        <v>134</v>
      </c>
      <c r="BZ35" s="13">
        <f>BY35*VLOOKUP('Données projet'!$B$12,Paramètres!$A$1:$I$89,3,0)*VLOOKUP('Données projet'!$B$12,Paramètres!$A$1:$I$89,5,0)</f>
        <v>144.23759999999999</v>
      </c>
      <c r="CA35" s="13">
        <f t="shared" si="39"/>
        <v>37.266088962286922</v>
      </c>
      <c r="CB35" s="20">
        <f t="shared" si="10"/>
        <v>316.1189249426497</v>
      </c>
      <c r="CC35" s="59">
        <f t="shared" si="11"/>
        <v>609.45225827598301</v>
      </c>
      <c r="CD35" s="59">
        <f ca="1">AVERAGE(OFFSET($CC$3,0,0,'Données projet'!$E$12+1,1))-AVERAGE(OFFSET($H$3,0,0,'Données projet'!$E$12+1,1))</f>
        <v>244.7364260963538</v>
      </c>
      <c r="CE35" s="59">
        <f t="shared" si="40"/>
        <v>270.32853612539299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13</v>
      </c>
      <c r="CT35" s="12">
        <f>IF('Données projet'!$A$140&gt;35,CT34+CS35-DB34,IF(A35&lt;'Données projet'!$A$140,$CQ$205^A35,IF(A35='Données projet'!$A$140,'Données projet'!$B$140,CT34+CS35-DB34)))</f>
        <v>134</v>
      </c>
      <c r="CU35" s="17">
        <f>CT35*VLOOKUP('Données projet'!$B$13,Paramètres!$A$1:$I$89,3,0)*VLOOKUP('Données projet'!$B$13,Paramètres!$A$1:$I$89,5,0)</f>
        <v>129.60480000000001</v>
      </c>
      <c r="CV35" s="13">
        <f t="shared" si="41"/>
        <v>33.905024040491121</v>
      </c>
      <c r="CW35" s="20">
        <f t="shared" si="13"/>
        <v>284.77961020385538</v>
      </c>
      <c r="CX35" s="59">
        <f t="shared" si="14"/>
        <v>578.1129435371887</v>
      </c>
      <c r="CY35" s="59">
        <f ca="1">AVERAGE(OFFSET($CX$3,0,0,'Données projet'!$E$13+1,1))-AVERAGE(OFFSET($H$3,0,0,'Données projet'!$E$13+1,1))</f>
        <v>216.39536568500222</v>
      </c>
      <c r="CZ35" s="59">
        <f t="shared" si="42"/>
        <v>239.44686980897467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19.562400000000011</v>
      </c>
      <c r="D36" s="11">
        <f t="shared" si="32"/>
        <v>6.3775322468881122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200.23807348475043</v>
      </c>
      <c r="H36" s="67">
        <f t="shared" si="1"/>
        <v>338.51204866333012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10.8</v>
      </c>
      <c r="N36" s="13">
        <f>IF('Données projet'!$A$36&gt;35,N35+M36-V35,IF(A36&lt;'Données projet'!$A$36,$K$205^A36,IF(A36='Données projet'!$A$36,'Données projet'!$B$36,N35+M36-V35)))</f>
        <v>125.40000000000003</v>
      </c>
      <c r="O36" s="13">
        <f>N36*VLOOKUP('Données projet'!$B$9,Paramètres!$A$1:$I$89,3,0)*VLOOKUP('Données projet'!$B$9,Paramètres!$A$1:$I$89,5,0)</f>
        <v>113.46192000000002</v>
      </c>
      <c r="P36" s="13">
        <f t="shared" si="33"/>
        <v>30.145163126535493</v>
      </c>
      <c r="Q36" s="20">
        <f t="shared" si="53"/>
        <v>250.11566977871598</v>
      </c>
      <c r="R36" s="59">
        <f t="shared" si="0"/>
        <v>543.44900311204924</v>
      </c>
      <c r="S36" s="59">
        <f ca="1">AVERAGE(OFFSET($R$3,0,0,'Données projet'!$E$9+1,1))-AVERAGE(OFFSET($H$3,0,0,'Données projet'!$E$9+1,1))</f>
        <v>330.30341204367602</v>
      </c>
      <c r="T36" s="59">
        <f t="shared" si="34"/>
        <v>200.36653694091007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33.714285714285715</v>
      </c>
      <c r="AI36" s="13">
        <f>IF('Données projet'!$A$62&gt;35,AI35+AH36-AQ35,IF(A36&lt;'Données projet'!$A$62,$AF$205^A36,IF(A36='Données projet'!$A$62,'Données projet'!$B$62,AI35+AH36-AQ35)))</f>
        <v>362.85714285714289</v>
      </c>
      <c r="AJ36" s="13">
        <f>AI36*VLOOKUP('Données projet'!$B$10,Paramètres!$A$1:$I$89,3,0)*VLOOKUP('Données projet'!$B$10,Paramètres!$A$1:$I$89,5,0)</f>
        <v>216.98857142857148</v>
      </c>
      <c r="AK36" s="13">
        <f t="shared" si="35"/>
        <v>53.459842494949015</v>
      </c>
      <c r="AL36" s="20">
        <f t="shared" si="4"/>
        <v>471.03098758346482</v>
      </c>
      <c r="AM36" s="59">
        <f t="shared" si="5"/>
        <v>764.36432091679808</v>
      </c>
      <c r="AN36" s="59">
        <f ca="1">AVERAGE(OFFSET($AM$3,0,0,'Données projet'!$E$10+1,1))-AVERAGE(OFFSET($H$3,0,0,'Données projet'!$E$10+1,1))</f>
        <v>465.77577582457678</v>
      </c>
      <c r="AO36" s="59">
        <f t="shared" si="36"/>
        <v>301.15495784503042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17.177432264707644</v>
      </c>
      <c r="AV36" s="21">
        <f>EXP(-LN(2)/25)*AV35+(1-EXP(-LN(2)/25))/(LN(2)/25)*Calculateur!AQ36*Calculateur!AS36*VLOOKUP('Données projet'!$B$10,Paramètres!$A$1:$I$89,3,0)*0.475*44/12</f>
        <v>19.457576918363486</v>
      </c>
      <c r="AW36" s="21">
        <f>EXP(-LN(2)/2)*AW35+(1-EXP(-LN(2)/2))/(LN(2)/2)*AQ36*AT36*VLOOKUP('Données projet'!$B$10,Paramètres!$A$1:$I$89,3,0)*0.475*44/12</f>
        <v>2.9762093234173892</v>
      </c>
      <c r="AX36" s="21">
        <f t="shared" si="6"/>
        <v>39.61121850648852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11.6</v>
      </c>
      <c r="BD36" s="12">
        <f>IF('Données projet'!$A$88&gt;35,BD35+BC36-BL35,IF(A36&lt;'Données projet'!$A$88,$BA$205^A36,IF(A36='Données projet'!$A$88,'Données projet'!$B$88,BD35+BC36-BL35)))</f>
        <v>189.80000000000004</v>
      </c>
      <c r="BE36" s="13">
        <f>BD36*VLOOKUP('Données projet'!$B$11,Paramètres!$A$1:$I$89,3,0)*VLOOKUP('Données projet'!$B$11,Paramètres!$A$1:$I$89,5,0)</f>
        <v>148.04400000000004</v>
      </c>
      <c r="BF36" s="13">
        <f t="shared" si="37"/>
        <v>38.133738604016052</v>
      </c>
      <c r="BG36" s="20">
        <f t="shared" si="7"/>
        <v>324.25956140199474</v>
      </c>
      <c r="BH36" s="59">
        <f t="shared" si="8"/>
        <v>617.59289473532806</v>
      </c>
      <c r="BI36" s="59">
        <f ca="1">AVERAGE(OFFSET($BH$3,0,0,'Données projet'!$E$11+1,1))-AVERAGE(OFFSET($H$3,0,0,'Données projet'!$E$11+1,1))</f>
        <v>219.5868031007679</v>
      </c>
      <c r="BJ36" s="59">
        <f t="shared" si="38"/>
        <v>263.3830219837742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4.0179584184739738</v>
      </c>
      <c r="BQ36" s="21">
        <f>EXP(-LN(2)/25)*BQ35+(1-EXP(-LN(2)/25))/(LN(2)/25)*Calculateur!BL36*Calculateur!BN36*VLOOKUP('Données projet'!$B$11,Paramètres!$A$1:$I$89,3,0)*0.475*44/12</f>
        <v>0.78162968904139074</v>
      </c>
      <c r="BR36" s="21">
        <f>EXP(-LN(2)/2)*BR35+(1-EXP(-LN(2)/2))/(LN(2)/2)*BL36*BO36*VLOOKUP('Données projet'!$B$11,Paramètres!$A$1:$I$89,3,0)*0.475*44/12</f>
        <v>0.89768299313383981</v>
      </c>
      <c r="BS36" s="22">
        <f t="shared" si="9"/>
        <v>5.6972711006492043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13</v>
      </c>
      <c r="BY36" s="12">
        <f>IF('Données projet'!$A$114&gt;35,BY35+BX36-CG35,IF(A36&lt;'Données projet'!$A$114,$BV$205^A36,IF(A36='Données projet'!$A$114,'Données projet'!$B$114,BY35+BX36-CG35)))</f>
        <v>147</v>
      </c>
      <c r="BZ36" s="13">
        <f>BY36*VLOOKUP('Données projet'!$B$12,Paramètres!$A$1:$I$89,3,0)*VLOOKUP('Données projet'!$B$12,Paramètres!$A$1:$I$89,5,0)</f>
        <v>158.23079999999999</v>
      </c>
      <c r="CA36" s="13">
        <f t="shared" si="39"/>
        <v>40.443209539379019</v>
      </c>
      <c r="CB36" s="20">
        <f t="shared" si="10"/>
        <v>346.02389994775172</v>
      </c>
      <c r="CC36" s="59">
        <f t="shared" si="11"/>
        <v>639.35723328108497</v>
      </c>
      <c r="CD36" s="59">
        <f ca="1">AVERAGE(OFFSET($CC$3,0,0,'Données projet'!$E$12+1,1))-AVERAGE(OFFSET($H$3,0,0,'Données projet'!$E$12+1,1))</f>
        <v>244.7364260963538</v>
      </c>
      <c r="CE36" s="59">
        <f t="shared" si="40"/>
        <v>270.32853612539299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13</v>
      </c>
      <c r="CT36" s="12">
        <f>IF('Données projet'!$A$140&gt;35,CT35+CS36-DB35,IF(A36&lt;'Données projet'!$A$140,$CQ$205^A36,IF(A36='Données projet'!$A$140,'Données projet'!$B$140,CT35+CS36-DB35)))</f>
        <v>147</v>
      </c>
      <c r="CU36" s="17">
        <f>CT36*VLOOKUP('Données projet'!$B$13,Paramètres!$A$1:$I$89,3,0)*VLOOKUP('Données projet'!$B$13,Paramètres!$A$1:$I$89,5,0)</f>
        <v>142.17840000000001</v>
      </c>
      <c r="CV36" s="13">
        <f t="shared" si="41"/>
        <v>36.795597013009356</v>
      </c>
      <c r="CW36" s="20">
        <f t="shared" si="13"/>
        <v>311.71304479765791</v>
      </c>
      <c r="CX36" s="59">
        <f t="shared" si="14"/>
        <v>605.04637813099123</v>
      </c>
      <c r="CY36" s="59">
        <f ca="1">AVERAGE(OFFSET($CX$3,0,0,'Données projet'!$E$13+1,1))-AVERAGE(OFFSET($H$3,0,0,'Données projet'!$E$13+1,1))</f>
        <v>216.39536568500222</v>
      </c>
      <c r="CZ36" s="59">
        <f t="shared" si="42"/>
        <v>239.44686980897467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20.155200000000011</v>
      </c>
      <c r="D37" s="11">
        <f t="shared" si="32"/>
        <v>6.5479976826875879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206.12994702425519</v>
      </c>
      <c r="H37" s="67">
        <f t="shared" si="1"/>
        <v>339.84140263068088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10.8</v>
      </c>
      <c r="N37" s="13">
        <f>IF('Données projet'!$A$36&gt;35,N36+M37-V36,IF(A37&lt;'Données projet'!$A$36,$K$205^A37,IF(A37='Données projet'!$A$36,'Données projet'!$B$36,N36+M37-V36)))</f>
        <v>136.20000000000005</v>
      </c>
      <c r="O37" s="13">
        <f>N37*VLOOKUP('Données projet'!$B$9,Paramètres!$A$1:$I$89,3,0)*VLOOKUP('Données projet'!$B$9,Paramètres!$A$1:$I$89,5,0)</f>
        <v>123.23376000000005</v>
      </c>
      <c r="P37" s="13">
        <f t="shared" si="33"/>
        <v>32.428049504876491</v>
      </c>
      <c r="Q37" s="20">
        <f t="shared" si="53"/>
        <v>271.11098488765998</v>
      </c>
      <c r="R37" s="59">
        <f t="shared" si="0"/>
        <v>564.4443182209933</v>
      </c>
      <c r="S37" s="59">
        <f ca="1">AVERAGE(OFFSET($R$3,0,0,'Données projet'!$E$9+1,1))-AVERAGE(OFFSET($H$3,0,0,'Données projet'!$E$9+1,1))</f>
        <v>330.30341204367602</v>
      </c>
      <c r="T37" s="59">
        <f t="shared" si="34"/>
        <v>200.36653694091007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33.714285714285715</v>
      </c>
      <c r="AI37" s="13">
        <f>IF('Données projet'!$A$62&gt;35,AI36+AH37-AQ36,IF(A37&lt;'Données projet'!$A$62,$AF$205^A37,IF(A37='Données projet'!$A$62,'Données projet'!$B$62,AI36+AH37-AQ36)))</f>
        <v>396.57142857142861</v>
      </c>
      <c r="AJ37" s="13">
        <f>AI37*VLOOKUP('Données projet'!$B$10,Paramètres!$A$1:$I$89,3,0)*VLOOKUP('Données projet'!$B$10,Paramètres!$A$1:$I$89,5,0)</f>
        <v>237.14971428571434</v>
      </c>
      <c r="AK37" s="13">
        <f t="shared" si="35"/>
        <v>57.825851863862624</v>
      </c>
      <c r="AL37" s="20">
        <f t="shared" si="4"/>
        <v>513.74911104384648</v>
      </c>
      <c r="AM37" s="59">
        <f t="shared" si="5"/>
        <v>807.08244437717985</v>
      </c>
      <c r="AN37" s="59">
        <f ca="1">AVERAGE(OFFSET($AM$3,0,0,'Données projet'!$E$10+1,1))-AVERAGE(OFFSET($H$3,0,0,'Données projet'!$E$10+1,1))</f>
        <v>465.77577582457678</v>
      </c>
      <c r="AO37" s="59">
        <f t="shared" si="36"/>
        <v>301.15495784503042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16.84059329519587</v>
      </c>
      <c r="AV37" s="21">
        <f>EXP(-LN(2)/25)*AV36+(1-EXP(-LN(2)/25))/(LN(2)/25)*Calculateur!AQ37*Calculateur!AS37*VLOOKUP('Données projet'!$B$10,Paramètres!$A$1:$I$89,3,0)*0.475*44/12</f>
        <v>18.925508454301337</v>
      </c>
      <c r="AW37" s="21">
        <f>EXP(-LN(2)/2)*AW36+(1-EXP(-LN(2)/2))/(LN(2)/2)*AQ37*AT37*VLOOKUP('Données projet'!$B$10,Paramètres!$A$1:$I$89,3,0)*0.475*44/12</f>
        <v>2.1044977948190624</v>
      </c>
      <c r="AX37" s="21">
        <f t="shared" si="6"/>
        <v>37.870599544316271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11.6</v>
      </c>
      <c r="BD37" s="12">
        <f>IF('Données projet'!$A$88&gt;35,BD36+BC37-BL36,IF(A37&lt;'Données projet'!$A$88,$BA$205^A37,IF(A37='Données projet'!$A$88,'Données projet'!$B$88,BD36+BC37-BL36)))</f>
        <v>201.40000000000003</v>
      </c>
      <c r="BE37" s="13">
        <f>BD37*VLOOKUP('Données projet'!$B$11,Paramètres!$A$1:$I$89,3,0)*VLOOKUP('Données projet'!$B$11,Paramètres!$A$1:$I$89,5,0)</f>
        <v>157.09200000000004</v>
      </c>
      <c r="BF37" s="13">
        <f t="shared" si="37"/>
        <v>40.185909342127296</v>
      </c>
      <c r="BG37" s="20">
        <f t="shared" si="7"/>
        <v>343.59235877087173</v>
      </c>
      <c r="BH37" s="59">
        <f t="shared" si="8"/>
        <v>636.92569210420504</v>
      </c>
      <c r="BI37" s="59">
        <f ca="1">AVERAGE(OFFSET($BH$3,0,0,'Données projet'!$E$11+1,1))-AVERAGE(OFFSET($H$3,0,0,'Données projet'!$E$11+1,1))</f>
        <v>219.5868031007679</v>
      </c>
      <c r="BJ37" s="59">
        <f t="shared" si="38"/>
        <v>263.3830219837742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3.9391687046003465</v>
      </c>
      <c r="BQ37" s="21">
        <f>EXP(-LN(2)/25)*BQ36+(1-EXP(-LN(2)/25))/(LN(2)/25)*Calculateur!BL37*Calculateur!BN37*VLOOKUP('Données projet'!$B$11,Paramètres!$A$1:$I$89,3,0)*0.475*44/12</f>
        <v>0.76025598409043504</v>
      </c>
      <c r="BR37" s="21">
        <f>EXP(-LN(2)/2)*BR36+(1-EXP(-LN(2)/2))/(LN(2)/2)*BL37*BO37*VLOOKUP('Données projet'!$B$11,Paramètres!$A$1:$I$89,3,0)*0.475*44/12</f>
        <v>0.6347577318007751</v>
      </c>
      <c r="BS37" s="22">
        <f t="shared" si="9"/>
        <v>5.3341824204915564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13</v>
      </c>
      <c r="BY37" s="12">
        <f>IF('Données projet'!$A$114&gt;35,BY36+BX37-CG36,IF(A37&lt;'Données projet'!$A$114,$BV$205^A37,IF(A37='Données projet'!$A$114,'Données projet'!$B$114,BY36+BX37-CG36)))</f>
        <v>160</v>
      </c>
      <c r="BZ37" s="13">
        <f>BY37*VLOOKUP('Données projet'!$B$12,Paramètres!$A$1:$I$89,3,0)*VLOOKUP('Données projet'!$B$12,Paramètres!$A$1:$I$89,5,0)</f>
        <v>172.22399999999999</v>
      </c>
      <c r="CA37" s="13">
        <f t="shared" si="39"/>
        <v>43.587748184815709</v>
      </c>
      <c r="CB37" s="20">
        <f t="shared" si="10"/>
        <v>375.87212808855401</v>
      </c>
      <c r="CC37" s="59">
        <f t="shared" si="11"/>
        <v>669.20546142188732</v>
      </c>
      <c r="CD37" s="59">
        <f ca="1">AVERAGE(OFFSET($CC$3,0,0,'Données projet'!$E$12+1,1))-AVERAGE(OFFSET($H$3,0,0,'Données projet'!$E$12+1,1))</f>
        <v>244.7364260963538</v>
      </c>
      <c r="CE37" s="59">
        <f t="shared" si="40"/>
        <v>270.32853612539299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13</v>
      </c>
      <c r="CT37" s="12">
        <f>IF('Données projet'!$A$140&gt;35,CT36+CS37-DB36,IF(A37&lt;'Données projet'!$A$140,$CQ$205^A37,IF(A37='Données projet'!$A$140,'Données projet'!$B$140,CT36+CS37-DB36)))</f>
        <v>160</v>
      </c>
      <c r="CU37" s="17">
        <f>CT37*VLOOKUP('Données projet'!$B$13,Paramètres!$A$1:$I$89,3,0)*VLOOKUP('Données projet'!$B$13,Paramètres!$A$1:$I$89,5,0)</f>
        <v>154.75200000000001</v>
      </c>
      <c r="CV37" s="13">
        <f t="shared" si="41"/>
        <v>39.656526650076415</v>
      </c>
      <c r="CW37" s="20">
        <f t="shared" si="13"/>
        <v>338.59485058221645</v>
      </c>
      <c r="CX37" s="59">
        <f t="shared" si="14"/>
        <v>631.92818391554977</v>
      </c>
      <c r="CY37" s="59">
        <f ca="1">AVERAGE(OFFSET($CX$3,0,0,'Données projet'!$E$13+1,1))-AVERAGE(OFFSET($H$3,0,0,'Données projet'!$E$13+1,1))</f>
        <v>216.39536568500222</v>
      </c>
      <c r="CZ37" s="59">
        <f t="shared" si="42"/>
        <v>239.44686980897467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20.748000000000012</v>
      </c>
      <c r="D38" s="11">
        <f t="shared" si="32"/>
        <v>6.7178804341249849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212.01732264938596</v>
      </c>
      <c r="H38" s="67">
        <f t="shared" si="1"/>
        <v>341.16974175610102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147</v>
      </c>
      <c r="L38" s="12">
        <f>VLOOKUP(A38,'Données projet'!$A$35:$I$55,9,0)</f>
        <v>10.8</v>
      </c>
      <c r="M38" s="12">
        <f t="array" ref="M38">INDEX(L:L,MIN(IF(ISNUMBER(L38:L234),ROW(L38:L234),"")))</f>
        <v>10.8</v>
      </c>
      <c r="N38" s="13">
        <f>IF('Données projet'!$A$36&gt;35,N37+M38-V37,IF(A38&lt;'Données projet'!$A$36,$K$205^A38,IF(A38='Données projet'!$A$36,'Données projet'!$B$36,N37+M38-V37)))</f>
        <v>147.00000000000006</v>
      </c>
      <c r="O38" s="13">
        <f>N38*VLOOKUP('Données projet'!$B$9,Paramètres!$A$1:$I$89,3,0)*VLOOKUP('Données projet'!$B$9,Paramètres!$A$1:$I$89,5,0)</f>
        <v>133.00560000000004</v>
      </c>
      <c r="P38" s="13">
        <f t="shared" si="33"/>
        <v>34.689938673073549</v>
      </c>
      <c r="Q38" s="20">
        <f t="shared" si="53"/>
        <v>292.06972985560316</v>
      </c>
      <c r="R38" s="59">
        <f t="shared" si="0"/>
        <v>585.40306318893647</v>
      </c>
      <c r="S38" s="59">
        <f ca="1">AVERAGE(OFFSET($R$3,0,0,'Données projet'!$E$9+1,1))-AVERAGE(OFFSET($H$3,0,0,'Données projet'!$E$9+1,1))</f>
        <v>330.30341204367602</v>
      </c>
      <c r="T38" s="59">
        <f t="shared" si="34"/>
        <v>200.36653694091007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28</v>
      </c>
      <c r="W38" s="16">
        <f>IF(ISNA(VLOOKUP(A38,'Données projet'!$A$35:$I$55,5,0)),0%,VLOOKUP(A38,'Données projet'!$A$35:$I$55,5,0)*VLOOKUP('Données projet'!$B$9,Paramètres!$A$1:$I$89,7,0))</f>
        <v>0.17200000000000001</v>
      </c>
      <c r="X38" s="16">
        <f>IF(ISNA(VLOOKUP(A38,'Données projet'!$A$35:$I$55,6,0)),0%,VLOOKUP(A38,'Données projet'!$A$35:$I$55,6,0)*VLOOKUP('Données projet'!$B$9,Paramètres!$A$1:$I$89,7,0))</f>
        <v>3.44E-2</v>
      </c>
      <c r="Y38" s="16">
        <f>IF(ISNA(VLOOKUP(A38,'Données projet'!$A$35:$I$55,7,0)),0%,VLOOKUP(A38,'Données projet'!$A$35:$I$55,7,0))</f>
        <v>0.12</v>
      </c>
      <c r="Z38" s="21">
        <f>EXP(-LN(2)/35)*Z37+(1-EXP(-LN(2)/35))/(LN(2)/35)*V38*W38*VLOOKUP('Données projet'!$B$9,Paramètres!$A$1:$I$89,3,0)*0.475*44/12</f>
        <v>4.8171057507172064</v>
      </c>
      <c r="AA38" s="21">
        <f>EXP(-LN(2)/25)*AA37+(1-EXP(-LN(2)/25))/(LN(2)/25)*Calculateur!V38*Calculateur!X38*VLOOKUP('Données projet'!$B$9,Paramètres!$A$1:$I$89,3,0)*0.475*44/12</f>
        <v>0.95962779398308873</v>
      </c>
      <c r="AB38" s="21">
        <f>EXP(-LN(2)/2)*AB37+(1-EXP(-LN(2)/2))/(LN(2)/2)*V38*Y38*VLOOKUP('Données projet'!$B$9,Paramètres!$A$1:$I$89,3,0)*0.475*44/12</f>
        <v>2.8684425918454495</v>
      </c>
      <c r="AC38" s="22">
        <f t="shared" si="3"/>
        <v>8.6451761365457447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33.714285714285715</v>
      </c>
      <c r="AI38" s="13">
        <f>IF('Données projet'!$A$62&gt;35,AI37+AH38-AQ37,IF(A38&lt;'Données projet'!$A$62,$AF$205^A38,IF(A38='Données projet'!$A$62,'Données projet'!$B$62,AI37+AH38-AQ37)))</f>
        <v>430.28571428571433</v>
      </c>
      <c r="AJ38" s="13">
        <f>AI38*VLOOKUP('Données projet'!$B$10,Paramètres!$A$1:$I$89,3,0)*VLOOKUP('Données projet'!$B$10,Paramètres!$A$1:$I$89,5,0)</f>
        <v>257.31085714285717</v>
      </c>
      <c r="AK38" s="13">
        <f t="shared" si="35"/>
        <v>62.148814984176624</v>
      </c>
      <c r="AL38" s="20">
        <f t="shared" si="4"/>
        <v>556.39226228791711</v>
      </c>
      <c r="AM38" s="59">
        <f t="shared" si="5"/>
        <v>849.72559562125048</v>
      </c>
      <c r="AN38" s="59">
        <f ca="1">AVERAGE(OFFSET($AM$3,0,0,'Données projet'!$E$10+1,1))-AVERAGE(OFFSET($H$3,0,0,'Données projet'!$E$10+1,1))</f>
        <v>465.77577582457678</v>
      </c>
      <c r="AO38" s="59">
        <f t="shared" si="36"/>
        <v>301.15495784503042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16.510359532424737</v>
      </c>
      <c r="AV38" s="21">
        <f>EXP(-LN(2)/25)*AV37+(1-EXP(-LN(2)/25))/(LN(2)/25)*Calculateur!AQ38*Calculateur!AS38*VLOOKUP('Données projet'!$B$10,Paramètres!$A$1:$I$89,3,0)*0.475*44/12</f>
        <v>18.407989430369231</v>
      </c>
      <c r="AW38" s="21">
        <f>EXP(-LN(2)/2)*AW37+(1-EXP(-LN(2)/2))/(LN(2)/2)*AQ38*AT38*VLOOKUP('Données projet'!$B$10,Paramètres!$A$1:$I$89,3,0)*0.475*44/12</f>
        <v>1.4881046617086946</v>
      </c>
      <c r="AX38" s="21">
        <f t="shared" si="6"/>
        <v>36.406453624502667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213</v>
      </c>
      <c r="BB38" s="12">
        <f>VLOOKUP(A38,'Données projet'!$A$87:$I$107,9,0)</f>
        <v>11.6</v>
      </c>
      <c r="BC38" s="12">
        <f t="array" ref="BC38">INDEX(BB:BB,MIN(IF(ISNUMBER(BB38:BB234),ROW(BB38:BB234),"")))</f>
        <v>11.6</v>
      </c>
      <c r="BD38" s="12">
        <f>IF('Données projet'!$A$88&gt;35,BD37+BC38-BL37,IF(A38&lt;'Données projet'!$A$88,$BA$205^A38,IF(A38='Données projet'!$A$88,'Données projet'!$B$88,BD37+BC38-BL37)))</f>
        <v>213.00000000000003</v>
      </c>
      <c r="BE38" s="13">
        <f>BD38*VLOOKUP('Données projet'!$B$11,Paramètres!$A$1:$I$89,3,0)*VLOOKUP('Données projet'!$B$11,Paramètres!$A$1:$I$89,5,0)</f>
        <v>166.14000000000001</v>
      </c>
      <c r="BF38" s="13">
        <f t="shared" si="37"/>
        <v>42.224359783104845</v>
      </c>
      <c r="BG38" s="20">
        <f t="shared" si="7"/>
        <v>362.90125995557429</v>
      </c>
      <c r="BH38" s="59">
        <f t="shared" si="8"/>
        <v>656.2345932889076</v>
      </c>
      <c r="BI38" s="59">
        <f ca="1">AVERAGE(OFFSET($BH$3,0,0,'Données projet'!$E$11+1,1))-AVERAGE(OFFSET($H$3,0,0,'Données projet'!$E$11+1,1))</f>
        <v>219.5868031007679</v>
      </c>
      <c r="BJ38" s="59">
        <f t="shared" si="38"/>
        <v>263.3830219837742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29</v>
      </c>
      <c r="BM38" s="16">
        <f>IF(ISNA(VLOOKUP(A38,'Données projet'!$A$87:$I$107,5,0)),0%,VLOOKUP(A38,'Données projet'!$A$87:$I$107,5,0)*VLOOKUP('Données projet'!$B$11,Paramètres!$A$1:$I$89,7,0))</f>
        <v>0.215</v>
      </c>
      <c r="BN38" s="16">
        <f>IF(ISNA(VLOOKUP(A38,'Données projet'!$A$87:$I$107,6,0)),0%,VLOOKUP(A38,'Données projet'!$A$87:$I$107,6,0)*VLOOKUP('Données projet'!$B$11,Paramètres!$A$1:$I$89,7,0))</f>
        <v>4.3000000000000003E-2</v>
      </c>
      <c r="BO38" s="16">
        <f>IF(ISNA(VLOOKUP(A38,'Données projet'!$A$87:$I$107,7,0)),0%,VLOOKUP(A38,'Données projet'!$A$87:$I$107,7,0))</f>
        <v>0.15</v>
      </c>
      <c r="BP38" s="21">
        <f>EXP(-LN(2)/35)*BP37+(1-EXP(-LN(2)/35))/(LN(2)/35)*BL38*BM38*VLOOKUP('Données projet'!$B$11,Paramètres!$A$1:$I$89,3,0)*0.475*44/12</f>
        <v>9.2381581057413982</v>
      </c>
      <c r="BQ38" s="21">
        <f>EXP(-LN(2)/25)*BQ37+(1-EXP(-LN(2)/25))/(LN(2)/25)*Calculateur!BL38*Calculateur!BN38*VLOOKUP('Données projet'!$B$11,Paramètres!$A$1:$I$89,3,0)*0.475*44/12</f>
        <v>1.8104799071529121</v>
      </c>
      <c r="BR38" s="21">
        <f>EXP(-LN(2)/2)*BR37+(1-EXP(-LN(2)/2))/(LN(2)/2)*BL38*BO38*VLOOKUP('Données projet'!$B$11,Paramètres!$A$1:$I$89,3,0)*0.475*44/12</f>
        <v>3.6502283178230015</v>
      </c>
      <c r="BS38" s="22">
        <f t="shared" si="9"/>
        <v>14.698866330717312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173</v>
      </c>
      <c r="BW38" s="12">
        <f>VLOOKUP(A38,'Données projet'!$A$113:$I$133,9,0)</f>
        <v>13</v>
      </c>
      <c r="BX38" s="12">
        <f t="array" ref="BX38">INDEX(BW:BW,MIN(IF(ISNUMBER(BW38:BW234),ROW(BW38:BW234),"")))</f>
        <v>13</v>
      </c>
      <c r="BY38" s="12">
        <f>IF('Données projet'!$A$114&gt;35,BY37+BX38-CG37,IF(A38&lt;'Données projet'!$A$114,$BV$205^A38,IF(A38='Données projet'!$A$114,'Données projet'!$B$114,BY37+BX38-CG37)))</f>
        <v>173</v>
      </c>
      <c r="BZ38" s="13">
        <f>BY38*VLOOKUP('Données projet'!$B$12,Paramètres!$A$1:$I$89,3,0)*VLOOKUP('Données projet'!$B$12,Paramètres!$A$1:$I$89,5,0)</f>
        <v>186.21719999999999</v>
      </c>
      <c r="CA38" s="13">
        <f t="shared" si="39"/>
        <v>46.702653149673253</v>
      </c>
      <c r="CB38" s="20">
        <f t="shared" si="10"/>
        <v>405.66874423568089</v>
      </c>
      <c r="CC38" s="59">
        <f t="shared" si="11"/>
        <v>699.0020775690142</v>
      </c>
      <c r="CD38" s="59">
        <f ca="1">AVERAGE(OFFSET($CC$3,0,0,'Données projet'!$E$12+1,1))-AVERAGE(OFFSET($H$3,0,0,'Données projet'!$E$12+1,1))</f>
        <v>244.7364260963538</v>
      </c>
      <c r="CE38" s="59">
        <f t="shared" si="40"/>
        <v>270.32853612539299</v>
      </c>
      <c r="CF38" s="15">
        <f>IF(ISNA(VLOOKUP(A38,'Données projet'!$A$113:$I$133,3,0)),0,VLOOKUP(A38,'Données projet'!$A$113:$I$133,3,0))</f>
        <v>3</v>
      </c>
      <c r="CG38" s="15">
        <f>IF(ISNA(VLOOKUP(A38,'Données projet'!$A$113:$I$133,4,0)),0,VLOOKUP(A38,'Données projet'!$A$113:$I$133,4,0))</f>
        <v>27</v>
      </c>
      <c r="CH38" s="16">
        <f>IF(ISNA(VLOOKUP(A38,'Données projet'!$A$113:$I$133,5,0)),0%,VLOOKUP(A38,'Données projet'!$A$113:$I$133,5,0)*VLOOKUP('Données projet'!$B$12,Paramètres!$A$1:$I$89,7,0))</f>
        <v>0.215</v>
      </c>
      <c r="CI38" s="16">
        <f>IF(ISNA(VLOOKUP(A38,'Données projet'!$A$113:$I$133,6,0)),0%,VLOOKUP(A38,'Données projet'!$A$113:$I$133,6,0)*VLOOKUP('Données projet'!$B$12,Paramètres!$A$1:$I$89,7,0))</f>
        <v>4.3000000000000003E-2</v>
      </c>
      <c r="CJ38" s="16">
        <f>IF(ISNA(VLOOKUP(A38,'Données projet'!$A$113:$I$133,7,0)),0%,VLOOKUP(A38,'Données projet'!$A$113:$I$133,7,0))</f>
        <v>0.15</v>
      </c>
      <c r="CK38" s="21">
        <f>EXP(-LN(2)/35)*CK37+(1-EXP(-LN(2)/35))/(LN(2)/35)*CG38*CH38*VLOOKUP('Données projet'!$B$12,Paramètres!$A$1:$I$89,3,0)*0.475*44/12</f>
        <v>6.9075338774523978</v>
      </c>
      <c r="CL38" s="21">
        <f>EXP(-LN(2)/25)*CL37+(1-EXP(-LN(2)/25))/(LN(2)/25)*Calculateur!CG38*Calculateur!CI38*VLOOKUP('Données projet'!$B$12,Paramètres!$A$1:$I$89,3,0)*0.475*44/12</f>
        <v>1.3760672569200232</v>
      </c>
      <c r="CM38" s="21">
        <f>EXP(-LN(2)/2)*CM37+(1-EXP(-LN(2)/2))/(LN(2)/2)*CG38*CJ38*VLOOKUP('Données projet'!$B$12,Paramètres!$A$1:$I$89,3,0)*0.475*44/12</f>
        <v>4.1132301020690214</v>
      </c>
      <c r="CN38" s="22">
        <f t="shared" si="12"/>
        <v>12.396831236441443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173</v>
      </c>
      <c r="CR38" s="12">
        <f>VLOOKUP(A38,'Données projet'!$A$139:$I$159,9,0)</f>
        <v>13</v>
      </c>
      <c r="CS38" s="12">
        <f t="array" ref="CS38">INDEX(CR:CR,MIN(IF(ISNUMBER(CR38:CR234),ROW(CR38:CR234),"")))</f>
        <v>13</v>
      </c>
      <c r="CT38" s="12">
        <f>IF('Données projet'!$A$140&gt;35,CT37+CS38-DB37,IF(A38&lt;'Données projet'!$A$140,$CQ$205^A38,IF(A38='Données projet'!$A$140,'Données projet'!$B$140,CT37+CS38-DB37)))</f>
        <v>173</v>
      </c>
      <c r="CU38" s="17">
        <f>CT38*VLOOKUP('Données projet'!$B$13,Paramètres!$A$1:$I$89,3,0)*VLOOKUP('Données projet'!$B$13,Paramètres!$A$1:$I$89,5,0)</f>
        <v>167.32560000000001</v>
      </c>
      <c r="CV38" s="13">
        <f t="shared" si="41"/>
        <v>42.490495297127609</v>
      </c>
      <c r="CW38" s="20">
        <f t="shared" si="13"/>
        <v>365.42969930916388</v>
      </c>
      <c r="CX38" s="59">
        <f t="shared" si="14"/>
        <v>658.76303264249714</v>
      </c>
      <c r="CY38" s="59">
        <f ca="1">AVERAGE(OFFSET($CX$3,0,0,'Données projet'!$E$13+1,1))-AVERAGE(OFFSET($H$3,0,0,'Données projet'!$E$13+1,1))</f>
        <v>216.39536568500222</v>
      </c>
      <c r="CZ38" s="59">
        <f t="shared" si="42"/>
        <v>239.44686980897467</v>
      </c>
      <c r="DA38" s="15">
        <f>IF(ISNA(VLOOKUP(A38,'Données projet'!$A$139:$I$159,3,0)),0,VLOOKUP(A38,'Données projet'!$A$139:$I$159,3,0))</f>
        <v>3</v>
      </c>
      <c r="DB38" s="15">
        <f>IF(ISNA(VLOOKUP(A38,'Données projet'!$A$139:$I$159,4,0)),0,VLOOKUP(A38,'Données projet'!$A$139:$I$159,4,0))</f>
        <v>27</v>
      </c>
      <c r="DC38" s="16">
        <f>IF(ISNA(VLOOKUP(A38,'Données projet'!$A$139:$I$159,5,0)),0%,VLOOKUP(A38,'Données projet'!$A$139:$I$159,5,0)*VLOOKUP('Données projet'!$B$13,Paramètres!$A$1:$I$89,7,0))</f>
        <v>0.215</v>
      </c>
      <c r="DD38" s="16">
        <f>IF(ISNA(VLOOKUP(A38,'Données projet'!$A$139:$I$159,6,0)),0%,VLOOKUP(A38,'Données projet'!$A$139:$I$159,6,0)*VLOOKUP('Données projet'!$B$13,Paramètres!$A$1:$I$89,7,0))</f>
        <v>4.3000000000000003E-2</v>
      </c>
      <c r="DE38" s="16">
        <f>IF(ISNA(VLOOKUP(A38,'Données projet'!$A$139:$I$159,7,0)),0%,VLOOKUP(A38,'Données projet'!$A$139:$I$159,7,0))</f>
        <v>0.15</v>
      </c>
      <c r="DF38" s="21">
        <f>EXP(-LN(2)/35)*DF37+(1-EXP(-LN(2)/35))/(LN(2)/35)*DB38*DC38*VLOOKUP('Données projet'!$B$13,Paramètres!$A$1:$I$89,3,0)*0.475*44/12</f>
        <v>6.206769571044183</v>
      </c>
      <c r="DG38" s="21">
        <f>EXP(-LN(2)/25)*DG37+(1-EXP(-LN(2)/25))/(LN(2)/25)*Calculateur!DB38*Calculateur!DD38*VLOOKUP('Données projet'!$B$13,Paramètres!$A$1:$I$89,3,0)*0.475*44/12</f>
        <v>1.2364662308556731</v>
      </c>
      <c r="DH38" s="21">
        <f>EXP(-LN(2)/2)*DH37+(1-EXP(-LN(2)/2))/(LN(2)/2)*DB38*DE38*VLOOKUP('Données projet'!$B$13,Paramètres!$A$1:$I$89,3,0)*0.475*44/12</f>
        <v>3.695945888815642</v>
      </c>
      <c r="DI38" s="22">
        <f t="shared" si="15"/>
        <v>11.139181690715498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21.340800000000012</v>
      </c>
      <c r="D39" s="11">
        <f t="shared" si="32"/>
        <v>6.8871990614123257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217.90034363195488</v>
      </c>
      <c r="H39" s="67">
        <f t="shared" si="1"/>
        <v>342.49709836529314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11.2</v>
      </c>
      <c r="N39" s="13">
        <f>IF('Données projet'!$A$36&gt;35,N38+M39-V38,IF(A39&lt;'Données projet'!$A$36,$K$205^A39,IF(A39='Données projet'!$A$36,'Données projet'!$B$36,N38+M39-V38)))</f>
        <v>130.20000000000005</v>
      </c>
      <c r="O39" s="13">
        <f>N39*VLOOKUP('Données projet'!$B$9,Paramètres!$A$1:$I$89,3,0)*VLOOKUP('Données projet'!$B$9,Paramètres!$A$1:$I$89,5,0)</f>
        <v>117.80496000000004</v>
      </c>
      <c r="P39" s="13">
        <f t="shared" si="33"/>
        <v>31.162493487829593</v>
      </c>
      <c r="Q39" s="20">
        <f t="shared" si="53"/>
        <v>259.45164815796994</v>
      </c>
      <c r="R39" s="59">
        <f t="shared" si="0"/>
        <v>552.78498149130326</v>
      </c>
      <c r="S39" s="59">
        <f ca="1">AVERAGE(OFFSET($R$3,0,0,'Données projet'!$E$9+1,1))-AVERAGE(OFFSET($H$3,0,0,'Données projet'!$E$9+1,1))</f>
        <v>330.30341204367602</v>
      </c>
      <c r="T39" s="59">
        <f t="shared" si="34"/>
        <v>200.36653694091007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4.7226452450900318</v>
      </c>
      <c r="AA39" s="21">
        <f>EXP(-LN(2)/25)*AA38+(1-EXP(-LN(2)/25))/(LN(2)/25)*Calculateur!V39*Calculateur!X39*VLOOKUP('Données projet'!$B$9,Paramètres!$A$1:$I$89,3,0)*0.475*44/12</f>
        <v>0.93338672149198876</v>
      </c>
      <c r="AB39" s="21">
        <f>EXP(-LN(2)/2)*AB38+(1-EXP(-LN(2)/2))/(LN(2)/2)*V39*Y39*VLOOKUP('Données projet'!$B$9,Paramètres!$A$1:$I$89,3,0)*0.475*44/12</f>
        <v>2.0282952081382337</v>
      </c>
      <c r="AC39" s="22">
        <f t="shared" si="3"/>
        <v>7.684327174720254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464</v>
      </c>
      <c r="AG39" s="12">
        <f>VLOOKUP(A39,'Données projet'!$A$61:$I$81,9,0)</f>
        <v>33.714285714285715</v>
      </c>
      <c r="AH39" s="12">
        <f t="array" ref="AH39">INDEX(AG:AG,MIN(IF(ISNUMBER(AG39:AG235),ROW(AG39:AG235),"")))</f>
        <v>33.714285714285715</v>
      </c>
      <c r="AI39" s="13">
        <f>IF('Données projet'!$A$62&gt;35,AI38+AH39-AQ38,IF(A39&lt;'Données projet'!$A$62,$AF$205^A39,IF(A39='Données projet'!$A$62,'Données projet'!$B$62,AI38+AH39-AQ38)))</f>
        <v>464.00000000000006</v>
      </c>
      <c r="AJ39" s="13">
        <f>AI39*VLOOKUP('Données projet'!$B$10,Paramètres!$A$1:$I$89,3,0)*VLOOKUP('Données projet'!$B$10,Paramètres!$A$1:$I$89,5,0)</f>
        <v>277.47200000000004</v>
      </c>
      <c r="AK39" s="13">
        <f t="shared" si="35"/>
        <v>66.432488139207578</v>
      </c>
      <c r="AL39" s="20">
        <f t="shared" si="4"/>
        <v>598.96698350911993</v>
      </c>
      <c r="AM39" s="59">
        <f t="shared" si="5"/>
        <v>892.30031684245319</v>
      </c>
      <c r="AN39" s="59">
        <f ca="1">AVERAGE(OFFSET($AM$3,0,0,'Données projet'!$E$10+1,1))-AVERAGE(OFFSET($H$3,0,0,'Données projet'!$E$10+1,1))</f>
        <v>465.77577582457678</v>
      </c>
      <c r="AO39" s="59">
        <f t="shared" si="36"/>
        <v>301.15495784503042</v>
      </c>
      <c r="AP39" s="15">
        <f>IF(ISNA(VLOOKUP(A39,'Données projet'!$A$61:$I$81,3,0)),0,VLOOKUP(A39,'Données projet'!$A$61:$I$81,3,0))</f>
        <v>4</v>
      </c>
      <c r="AQ39" s="15">
        <f>IF(ISNA(VLOOKUP(A39,'Données projet'!$A$61:$I$81,4,0)),0,VLOOKUP(A39,'Données projet'!$A$61:$I$81,4,0))</f>
        <v>84</v>
      </c>
      <c r="AR39" s="16">
        <f>IF(ISNA(VLOOKUP(A39,'Données projet'!$A$61:$I$81,5,0)),0%,VLOOKUP(A39,'Données projet'!$A$61:$I$81,5,0)*VLOOKUP('Données projet'!$B$10,Paramètres!$A$1:$I$89,7,0))</f>
        <v>0.22500000000000001</v>
      </c>
      <c r="AS39" s="16">
        <f>IF(ISNA(VLOOKUP(A39,'Données projet'!$A$61:$I$81,6,0)),0%,VLOOKUP(A39,'Données projet'!$A$61:$I$81,6,0)*VLOOKUP('Données projet'!$B$10,Paramètres!$A$1:$I$89,7,0))</f>
        <v>0.13500000000000001</v>
      </c>
      <c r="AT39" s="16">
        <f>IF(ISNA(VLOOKUP(A39,'Données projet'!$A$61:$I$81,7,0)),0%,VLOOKUP(A39,'Données projet'!$A$61:$I$81,7,0))</f>
        <v>0.2</v>
      </c>
      <c r="AU39" s="21">
        <f>EXP(-LN(2)/35)*AU38+(1-EXP(-LN(2)/35))/(LN(2)/35)*AQ39*AR39*VLOOKUP('Données projet'!$B$10,Paramètres!$A$1:$I$89,3,0)*0.475*44/12</f>
        <v>31.179698240587612</v>
      </c>
      <c r="AV39" s="21">
        <f>EXP(-LN(2)/25)*AV38+(1-EXP(-LN(2)/25))/(LN(2)/25)*Calculateur!AQ39*Calculateur!AS39*VLOOKUP('Données projet'!$B$10,Paramètres!$A$1:$I$89,3,0)*0.475*44/12</f>
        <v>26.865059943399054</v>
      </c>
      <c r="AW39" s="21">
        <f>EXP(-LN(2)/2)*AW38+(1-EXP(-LN(2)/2))/(LN(2)/2)*AQ39*AT39*VLOOKUP('Données projet'!$B$10,Paramètres!$A$1:$I$89,3,0)*0.475*44/12</f>
        <v>12.427107451279419</v>
      </c>
      <c r="AX39" s="21">
        <f t="shared" si="6"/>
        <v>70.471865635266084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11.4</v>
      </c>
      <c r="BD39" s="12">
        <f>IF('Données projet'!$A$88&gt;35,BD38+BC39-BL38,IF(A39&lt;'Données projet'!$A$88,$BA$205^A39,IF(A39='Données projet'!$A$88,'Données projet'!$B$88,BD38+BC39-BL38)))</f>
        <v>195.40000000000003</v>
      </c>
      <c r="BE39" s="13">
        <f>BD39*VLOOKUP('Données projet'!$B$11,Paramètres!$A$1:$I$89,3,0)*VLOOKUP('Données projet'!$B$11,Paramètres!$A$1:$I$89,5,0)</f>
        <v>152.41200000000003</v>
      </c>
      <c r="BF39" s="13">
        <f t="shared" si="37"/>
        <v>39.126211343688098</v>
      </c>
      <c r="BG39" s="20">
        <f t="shared" si="7"/>
        <v>333.59571809025681</v>
      </c>
      <c r="BH39" s="59">
        <f t="shared" si="8"/>
        <v>626.92905142359018</v>
      </c>
      <c r="BI39" s="59">
        <f ca="1">AVERAGE(OFFSET($BH$3,0,0,'Données projet'!$E$11+1,1))-AVERAGE(OFFSET($H$3,0,0,'Données projet'!$E$11+1,1))</f>
        <v>219.5868031007679</v>
      </c>
      <c r="BJ39" s="59">
        <f t="shared" si="38"/>
        <v>263.3830219837742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9.0570034600078717</v>
      </c>
      <c r="BQ39" s="21">
        <f>EXP(-LN(2)/25)*BQ38+(1-EXP(-LN(2)/25))/(LN(2)/25)*Calculateur!BL39*Calculateur!BN39*VLOOKUP('Données projet'!$B$11,Paramètres!$A$1:$I$89,3,0)*0.475*44/12</f>
        <v>1.7609722388828153</v>
      </c>
      <c r="BR39" s="21">
        <f>EXP(-LN(2)/2)*BR38+(1-EXP(-LN(2)/2))/(LN(2)/2)*BL39*BO39*VLOOKUP('Données projet'!$B$11,Paramètres!$A$1:$I$89,3,0)*0.475*44/12</f>
        <v>2.5811011964118089</v>
      </c>
      <c r="BS39" s="22">
        <f t="shared" si="9"/>
        <v>13.399076895302496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12.4</v>
      </c>
      <c r="BY39" s="12">
        <f>IF('Données projet'!$A$114&gt;35,BY38+BX39-CG38,IF(A39&lt;'Données projet'!$A$114,$BV$205^A39,IF(A39='Données projet'!$A$114,'Données projet'!$B$114,BY38+BX39-CG38)))</f>
        <v>158.4</v>
      </c>
      <c r="BZ39" s="13">
        <f>BY39*VLOOKUP('Données projet'!$B$12,Paramètres!$A$1:$I$89,3,0)*VLOOKUP('Données projet'!$B$12,Paramètres!$A$1:$I$89,5,0)</f>
        <v>170.50175999999999</v>
      </c>
      <c r="CA39" s="13">
        <f t="shared" si="39"/>
        <v>43.202381851006642</v>
      </c>
      <c r="CB39" s="20">
        <f t="shared" si="10"/>
        <v>372.20138039050318</v>
      </c>
      <c r="CC39" s="59">
        <f t="shared" si="11"/>
        <v>665.53471372383649</v>
      </c>
      <c r="CD39" s="59">
        <f ca="1">AVERAGE(OFFSET($CC$3,0,0,'Données projet'!$E$12+1,1))-AVERAGE(OFFSET($H$3,0,0,'Données projet'!$E$12+1,1))</f>
        <v>244.7364260963538</v>
      </c>
      <c r="CE39" s="59">
        <f t="shared" si="40"/>
        <v>270.32853612539299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6.7720813512952045</v>
      </c>
      <c r="CL39" s="21">
        <f>EXP(-LN(2)/25)*CL38+(1-EXP(-LN(2)/25))/(LN(2)/25)*Calculateur!CG39*Calculateur!CI39*VLOOKUP('Données projet'!$B$12,Paramètres!$A$1:$I$89,3,0)*0.475*44/12</f>
        <v>1.3384386254153131</v>
      </c>
      <c r="CM39" s="21">
        <f>EXP(-LN(2)/2)*CM38+(1-EXP(-LN(2)/2))/(LN(2)/2)*CG39*CJ39*VLOOKUP('Données projet'!$B$12,Paramètres!$A$1:$I$89,3,0)*0.475*44/12</f>
        <v>2.9084928977536402</v>
      </c>
      <c r="CN39" s="22">
        <f t="shared" si="12"/>
        <v>11.019012874464156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12.4</v>
      </c>
      <c r="CT39" s="12">
        <f>IF('Données projet'!$A$140&gt;35,CT38+CS39-DB38,IF(A39&lt;'Données projet'!$A$140,$CQ$205^A39,IF(A39='Données projet'!$A$140,'Données projet'!$B$140,CT38+CS39-DB38)))</f>
        <v>158.4</v>
      </c>
      <c r="CU39" s="17">
        <f>CT39*VLOOKUP('Données projet'!$B$13,Paramètres!$A$1:$I$89,3,0)*VLOOKUP('Données projet'!$B$13,Paramètres!$A$1:$I$89,5,0)</f>
        <v>153.20447999999999</v>
      </c>
      <c r="CV39" s="13">
        <f t="shared" si="41"/>
        <v>39.305916881892401</v>
      </c>
      <c r="CW39" s="20">
        <f t="shared" si="13"/>
        <v>335.28894123596257</v>
      </c>
      <c r="CX39" s="59">
        <f t="shared" si="14"/>
        <v>628.62227456929588</v>
      </c>
      <c r="CY39" s="59">
        <f ca="1">AVERAGE(OFFSET($CX$3,0,0,'Données projet'!$E$13+1,1))-AVERAGE(OFFSET($H$3,0,0,'Données projet'!$E$13+1,1))</f>
        <v>216.39536568500222</v>
      </c>
      <c r="CZ39" s="59">
        <f t="shared" si="42"/>
        <v>239.44686980897467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6.0850586055116329</v>
      </c>
      <c r="DG39" s="21">
        <f>EXP(-LN(2)/25)*DG38+(1-EXP(-LN(2)/25))/(LN(2)/25)*Calculateur!DB39*Calculateur!DD39*VLOOKUP('Données projet'!$B$13,Paramètres!$A$1:$I$89,3,0)*0.475*44/12</f>
        <v>1.2026549967499915</v>
      </c>
      <c r="DH39" s="21">
        <f>EXP(-LN(2)/2)*DH38+(1-EXP(-LN(2)/2))/(LN(2)/2)*DB39*DE39*VLOOKUP('Données projet'!$B$13,Paramètres!$A$1:$I$89,3,0)*0.475*44/12</f>
        <v>2.6134284008800823</v>
      </c>
      <c r="DI39" s="22">
        <f t="shared" si="15"/>
        <v>9.9011420031417074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21.933600000000013</v>
      </c>
      <c r="D40" s="11">
        <f t="shared" si="32"/>
        <v>7.0559710349657783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223.77914483131488</v>
      </c>
      <c r="H40" s="67">
        <f t="shared" si="1"/>
        <v>343.82350288589873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11.2</v>
      </c>
      <c r="N40" s="13">
        <f>IF('Données projet'!$A$36&gt;35,N39+M40-V39,IF(A40&lt;'Données projet'!$A$36,$K$205^A40,IF(A40='Données projet'!$A$36,'Données projet'!$B$36,N39+M40-V39)))</f>
        <v>141.40000000000003</v>
      </c>
      <c r="O40" s="13">
        <f>N40*VLOOKUP('Données projet'!$B$9,Paramètres!$A$1:$I$89,3,0)*VLOOKUP('Données projet'!$B$9,Paramètres!$A$1:$I$89,5,0)</f>
        <v>127.93872000000003</v>
      </c>
      <c r="P40" s="13">
        <f t="shared" si="33"/>
        <v>33.519615889545641</v>
      </c>
      <c r="Q40" s="20">
        <f t="shared" si="53"/>
        <v>281.20660167429202</v>
      </c>
      <c r="R40" s="59">
        <f t="shared" si="0"/>
        <v>574.53993500762533</v>
      </c>
      <c r="S40" s="59">
        <f ca="1">AVERAGE(OFFSET($R$3,0,0,'Données projet'!$E$9+1,1))-AVERAGE(OFFSET($H$3,0,0,'Données projet'!$E$9+1,1))</f>
        <v>330.30341204367602</v>
      </c>
      <c r="T40" s="59">
        <f t="shared" si="34"/>
        <v>200.36653694091007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4.6300370523629875</v>
      </c>
      <c r="AA40" s="21">
        <f>EXP(-LN(2)/25)*AA39+(1-EXP(-LN(2)/25))/(LN(2)/25)*Calculateur!V40*Calculateur!X40*VLOOKUP('Données projet'!$B$9,Paramètres!$A$1:$I$89,3,0)*0.475*44/12</f>
        <v>0.90786321250811597</v>
      </c>
      <c r="AB40" s="21">
        <f>EXP(-LN(2)/2)*AB39+(1-EXP(-LN(2)/2))/(LN(2)/2)*V40*Y40*VLOOKUP('Données projet'!$B$9,Paramètres!$A$1:$I$89,3,0)*0.475*44/12</f>
        <v>1.434221295922725</v>
      </c>
      <c r="AC40" s="22">
        <f t="shared" si="3"/>
        <v>6.9721215607938287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33.5</v>
      </c>
      <c r="AI40" s="13">
        <f>IF('Données projet'!$A$62&gt;35,AI39+AH40-AQ39,IF(A40&lt;'Données projet'!$A$62,$AF$205^A40,IF(A40='Données projet'!$A$62,'Données projet'!$B$62,AI39+AH40-AQ39)))</f>
        <v>413.50000000000006</v>
      </c>
      <c r="AJ40" s="13">
        <f>AI40*VLOOKUP('Données projet'!$B$10,Paramètres!$A$1:$I$89,3,0)*VLOOKUP('Données projet'!$B$10,Paramètres!$A$1:$I$89,5,0)</f>
        <v>247.27300000000005</v>
      </c>
      <c r="AK40" s="13">
        <f t="shared" si="35"/>
        <v>60.001622616353941</v>
      </c>
      <c r="AL40" s="20">
        <f t="shared" si="4"/>
        <v>535.16996772348318</v>
      </c>
      <c r="AM40" s="59">
        <f t="shared" si="5"/>
        <v>828.50330105681655</v>
      </c>
      <c r="AN40" s="59">
        <f ca="1">AVERAGE(OFFSET($AM$3,0,0,'Données projet'!$E$10+1,1))-AVERAGE(OFFSET($H$3,0,0,'Données projet'!$E$10+1,1))</f>
        <v>465.77577582457678</v>
      </c>
      <c r="AO40" s="59">
        <f t="shared" si="36"/>
        <v>301.15495784503042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30.568283375827772</v>
      </c>
      <c r="AV40" s="21">
        <f>EXP(-LN(2)/25)*AV39+(1-EXP(-LN(2)/25))/(LN(2)/25)*Calculateur!AQ40*Calculateur!AS40*VLOOKUP('Données projet'!$B$10,Paramètres!$A$1:$I$89,3,0)*0.475*44/12</f>
        <v>26.130433466474706</v>
      </c>
      <c r="AW40" s="21">
        <f>EXP(-LN(2)/2)*AW39+(1-EXP(-LN(2)/2))/(LN(2)/2)*AQ40*AT40*VLOOKUP('Données projet'!$B$10,Paramètres!$A$1:$I$89,3,0)*0.475*44/12</f>
        <v>8.7872919493335502</v>
      </c>
      <c r="AX40" s="21">
        <f t="shared" si="6"/>
        <v>65.486008791636024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11.4</v>
      </c>
      <c r="BD40" s="12">
        <f>IF('Données projet'!$A$88&gt;35,BD39+BC40-BL39,IF(A40&lt;'Données projet'!$A$88,$BA$205^A40,IF(A40='Données projet'!$A$88,'Données projet'!$B$88,BD39+BC40-BL39)))</f>
        <v>206.80000000000004</v>
      </c>
      <c r="BE40" s="13">
        <f>BD40*VLOOKUP('Données projet'!$B$11,Paramètres!$A$1:$I$89,3,0)*VLOOKUP('Données projet'!$B$11,Paramètres!$A$1:$I$89,5,0)</f>
        <v>161.30400000000003</v>
      </c>
      <c r="BF40" s="13">
        <f t="shared" si="37"/>
        <v>41.136497157560399</v>
      </c>
      <c r="BG40" s="20">
        <f t="shared" si="7"/>
        <v>352.58386588275107</v>
      </c>
      <c r="BH40" s="59">
        <f t="shared" si="8"/>
        <v>645.91719921608433</v>
      </c>
      <c r="BI40" s="59">
        <f ca="1">AVERAGE(OFFSET($BH$3,0,0,'Données projet'!$E$11+1,1))-AVERAGE(OFFSET($H$3,0,0,'Données projet'!$E$11+1,1))</f>
        <v>219.5868031007679</v>
      </c>
      <c r="BJ40" s="59">
        <f t="shared" si="38"/>
        <v>263.3830219837742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8.8794011463837563</v>
      </c>
      <c r="BQ40" s="21">
        <f>EXP(-LN(2)/25)*BQ39+(1-EXP(-LN(2)/25))/(LN(2)/25)*Calculateur!BL40*Calculateur!BN40*VLOOKUP('Données projet'!$B$11,Paramètres!$A$1:$I$89,3,0)*0.475*44/12</f>
        <v>1.7128183604050595</v>
      </c>
      <c r="BR40" s="21">
        <f>EXP(-LN(2)/2)*BR39+(1-EXP(-LN(2)/2))/(LN(2)/2)*BL40*BO40*VLOOKUP('Données projet'!$B$11,Paramètres!$A$1:$I$89,3,0)*0.475*44/12</f>
        <v>1.8251141589115012</v>
      </c>
      <c r="BS40" s="22">
        <f t="shared" si="9"/>
        <v>12.417333665700317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12.4</v>
      </c>
      <c r="BY40" s="12">
        <f>IF('Données projet'!$A$114&gt;35,BY39+BX40-CG39,IF(A40&lt;'Données projet'!$A$114,$BV$205^A40,IF(A40='Données projet'!$A$114,'Données projet'!$B$114,BY39+BX40-CG39)))</f>
        <v>170.8</v>
      </c>
      <c r="BZ40" s="13">
        <f>BY40*VLOOKUP('Données projet'!$B$12,Paramètres!$A$1:$I$89,3,0)*VLOOKUP('Données projet'!$B$12,Paramètres!$A$1:$I$89,5,0)</f>
        <v>183.84912</v>
      </c>
      <c r="CA40" s="13">
        <f t="shared" si="39"/>
        <v>46.177487057517382</v>
      </c>
      <c r="CB40" s="20">
        <f t="shared" si="10"/>
        <v>400.62967395850939</v>
      </c>
      <c r="CC40" s="59">
        <f t="shared" si="11"/>
        <v>693.9630072918427</v>
      </c>
      <c r="CD40" s="59">
        <f ca="1">AVERAGE(OFFSET($CC$3,0,0,'Données projet'!$E$12+1,1))-AVERAGE(OFFSET($H$3,0,0,'Données projet'!$E$12+1,1))</f>
        <v>244.7364260963538</v>
      </c>
      <c r="CE40" s="59">
        <f t="shared" si="40"/>
        <v>270.32853612539299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6.6392849665580709</v>
      </c>
      <c r="CL40" s="21">
        <f>EXP(-LN(2)/25)*CL39+(1-EXP(-LN(2)/25))/(LN(2)/25)*Calculateur!CG40*Calculateur!CI40*VLOOKUP('Données projet'!$B$12,Paramètres!$A$1:$I$89,3,0)*0.475*44/12</f>
        <v>1.3018389508179031</v>
      </c>
      <c r="CM40" s="21">
        <f>EXP(-LN(2)/2)*CM39+(1-EXP(-LN(2)/2))/(LN(2)/2)*CG40*CJ40*VLOOKUP('Données projet'!$B$12,Paramètres!$A$1:$I$89,3,0)*0.475*44/12</f>
        <v>2.0566150510345111</v>
      </c>
      <c r="CN40" s="22">
        <f t="shared" si="12"/>
        <v>9.9977389684104843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12.4</v>
      </c>
      <c r="CT40" s="12">
        <f>IF('Données projet'!$A$140&gt;35,CT39+CS40-DB39,IF(A40&lt;'Données projet'!$A$140,$CQ$205^A40,IF(A40='Données projet'!$A$140,'Données projet'!$B$140,CT39+CS40-DB39)))</f>
        <v>170.8</v>
      </c>
      <c r="CU40" s="17">
        <f>CT40*VLOOKUP('Données projet'!$B$13,Paramètres!$A$1:$I$89,3,0)*VLOOKUP('Données projet'!$B$13,Paramètres!$A$1:$I$89,5,0)</f>
        <v>165.19776000000002</v>
      </c>
      <c r="CV40" s="13">
        <f t="shared" si="41"/>
        <v>42.012694447196324</v>
      </c>
      <c r="CW40" s="20">
        <f t="shared" si="13"/>
        <v>360.8915414955336</v>
      </c>
      <c r="CX40" s="59">
        <f t="shared" si="14"/>
        <v>654.22487482886686</v>
      </c>
      <c r="CY40" s="59">
        <f ca="1">AVERAGE(OFFSET($CX$3,0,0,'Données projet'!$E$13+1,1))-AVERAGE(OFFSET($H$3,0,0,'Données projet'!$E$13+1,1))</f>
        <v>216.39536568500222</v>
      </c>
      <c r="CZ40" s="59">
        <f t="shared" si="42"/>
        <v>239.44686980897467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5.9657343177768167</v>
      </c>
      <c r="DG40" s="21">
        <f>EXP(-LN(2)/25)*DG39+(1-EXP(-LN(2)/25))/(LN(2)/25)*Calculateur!DB40*Calculateur!DD40*VLOOKUP('Données projet'!$B$13,Paramètres!$A$1:$I$89,3,0)*0.475*44/12</f>
        <v>1.1697683326189854</v>
      </c>
      <c r="DH40" s="21">
        <f>EXP(-LN(2)/2)*DH39+(1-EXP(-LN(2)/2))/(LN(2)/2)*DB40*DE40*VLOOKUP('Données projet'!$B$13,Paramètres!$A$1:$I$89,3,0)*0.475*44/12</f>
        <v>1.8479729444078212</v>
      </c>
      <c r="DI40" s="22">
        <f t="shared" si="15"/>
        <v>8.9834755948036236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22.526400000000013</v>
      </c>
      <c r="D41" s="11">
        <f t="shared" si="32"/>
        <v>7.2242128270968662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229.65385340215138</v>
      </c>
      <c r="H41" s="67">
        <f t="shared" si="1"/>
        <v>345.14898400719369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11.2</v>
      </c>
      <c r="N41" s="13">
        <f>IF('Données projet'!$A$36&gt;35,N40+M41-V40,IF(A41&lt;'Données projet'!$A$36,$K$205^A41,IF(A41='Données projet'!$A$36,'Données projet'!$B$36,N40+M41-V40)))</f>
        <v>152.60000000000002</v>
      </c>
      <c r="O41" s="13">
        <f>N41*VLOOKUP('Données projet'!$B$9,Paramètres!$A$1:$I$89,3,0)*VLOOKUP('Données projet'!$B$9,Paramètres!$A$1:$I$89,5,0)</f>
        <v>138.07248000000001</v>
      </c>
      <c r="P41" s="13">
        <f t="shared" si="33"/>
        <v>35.85508207677799</v>
      </c>
      <c r="Q41" s="20">
        <f t="shared" si="53"/>
        <v>302.9238372837217</v>
      </c>
      <c r="R41" s="59">
        <f t="shared" si="0"/>
        <v>596.25717061705495</v>
      </c>
      <c r="S41" s="59">
        <f ca="1">AVERAGE(OFFSET($R$3,0,0,'Données projet'!$E$9+1,1))-AVERAGE(OFFSET($H$3,0,0,'Données projet'!$E$9+1,1))</f>
        <v>330.30341204367602</v>
      </c>
      <c r="T41" s="59">
        <f t="shared" si="34"/>
        <v>200.36653694091007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4.5392448498098998</v>
      </c>
      <c r="AA41" s="21">
        <f>EXP(-LN(2)/25)*AA40+(1-EXP(-LN(2)/25))/(LN(2)/25)*Calculateur!V41*Calculateur!X41*VLOOKUP('Données projet'!$B$9,Paramètres!$A$1:$I$89,3,0)*0.475*44/12</f>
        <v>0.88303764521963013</v>
      </c>
      <c r="AB41" s="21">
        <f>EXP(-LN(2)/2)*AB40+(1-EXP(-LN(2)/2))/(LN(2)/2)*V41*Y41*VLOOKUP('Données projet'!$B$9,Paramètres!$A$1:$I$89,3,0)*0.475*44/12</f>
        <v>1.0141476040691171</v>
      </c>
      <c r="AC41" s="22">
        <f t="shared" si="3"/>
        <v>6.4364300990986472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33.5</v>
      </c>
      <c r="AI41" s="13">
        <f>IF('Données projet'!$A$62&gt;35,AI40+AH41-AQ40,IF(A41&lt;'Données projet'!$A$62,$AF$205^A41,IF(A41='Données projet'!$A$62,'Données projet'!$B$62,AI40+AH41-AQ40)))</f>
        <v>447.00000000000006</v>
      </c>
      <c r="AJ41" s="13">
        <f>AI41*VLOOKUP('Données projet'!$B$10,Paramètres!$A$1:$I$89,3,0)*VLOOKUP('Données projet'!$B$10,Paramètres!$A$1:$I$89,5,0)</f>
        <v>267.30600000000004</v>
      </c>
      <c r="AK41" s="13">
        <f t="shared" si="35"/>
        <v>64.27720124631206</v>
      </c>
      <c r="AL41" s="20">
        <f t="shared" si="4"/>
        <v>577.50740883732692</v>
      </c>
      <c r="AM41" s="59">
        <f t="shared" si="5"/>
        <v>870.84074217066018</v>
      </c>
      <c r="AN41" s="59">
        <f ca="1">AVERAGE(OFFSET($AM$3,0,0,'Données projet'!$E$10+1,1))-AVERAGE(OFFSET($H$3,0,0,'Données projet'!$E$10+1,1))</f>
        <v>465.77577582457678</v>
      </c>
      <c r="AO41" s="59">
        <f t="shared" si="36"/>
        <v>301.15495784503042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29.968857983639626</v>
      </c>
      <c r="AV41" s="21">
        <f>EXP(-LN(2)/25)*AV40+(1-EXP(-LN(2)/25))/(LN(2)/25)*Calculateur!AQ41*Calculateur!AS41*VLOOKUP('Données projet'!$B$10,Paramètres!$A$1:$I$89,3,0)*0.475*44/12</f>
        <v>25.41589538919418</v>
      </c>
      <c r="AW41" s="21">
        <f>EXP(-LN(2)/2)*AW40+(1-EXP(-LN(2)/2))/(LN(2)/2)*AQ41*AT41*VLOOKUP('Données projet'!$B$10,Paramètres!$A$1:$I$89,3,0)*0.475*44/12</f>
        <v>6.2135537256397093</v>
      </c>
      <c r="AX41" s="21">
        <f t="shared" si="6"/>
        <v>61.598307098473512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11.4</v>
      </c>
      <c r="BD41" s="12">
        <f>IF('Données projet'!$A$88&gt;35,BD40+BC41-BL40,IF(A41&lt;'Données projet'!$A$88,$BA$205^A41,IF(A41='Données projet'!$A$88,'Données projet'!$B$88,BD40+BC41-BL40)))</f>
        <v>218.20000000000005</v>
      </c>
      <c r="BE41" s="13">
        <f>BD41*VLOOKUP('Données projet'!$B$11,Paramètres!$A$1:$I$89,3,0)*VLOOKUP('Données projet'!$B$11,Paramètres!$A$1:$I$89,5,0)</f>
        <v>170.19600000000005</v>
      </c>
      <c r="BF41" s="13">
        <f t="shared" si="37"/>
        <v>43.13391812093576</v>
      </c>
      <c r="BG41" s="20">
        <f t="shared" si="7"/>
        <v>371.54960739396319</v>
      </c>
      <c r="BH41" s="59">
        <f t="shared" si="8"/>
        <v>664.8829407272965</v>
      </c>
      <c r="BI41" s="59">
        <f ca="1">AVERAGE(OFFSET($BH$3,0,0,'Données projet'!$E$11+1,1))-AVERAGE(OFFSET($H$3,0,0,'Données projet'!$E$11+1,1))</f>
        <v>219.5868031007679</v>
      </c>
      <c r="BJ41" s="59">
        <f t="shared" si="38"/>
        <v>263.3830219837742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8.7052815058030948</v>
      </c>
      <c r="BQ41" s="21">
        <f>EXP(-LN(2)/25)*BQ40+(1-EXP(-LN(2)/25))/(LN(2)/25)*Calculateur!BL41*Calculateur!BN41*VLOOKUP('Données projet'!$B$11,Paramètres!$A$1:$I$89,3,0)*0.475*44/12</f>
        <v>1.6659812522665802</v>
      </c>
      <c r="BR41" s="21">
        <f>EXP(-LN(2)/2)*BR40+(1-EXP(-LN(2)/2))/(LN(2)/2)*BL41*BO41*VLOOKUP('Données projet'!$B$11,Paramètres!$A$1:$I$89,3,0)*0.475*44/12</f>
        <v>1.2905505982059047</v>
      </c>
      <c r="BS41" s="22">
        <f t="shared" si="9"/>
        <v>11.661813356275578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12.4</v>
      </c>
      <c r="BY41" s="12">
        <f>IF('Données projet'!$A$114&gt;35,BY40+BX41-CG40,IF(A41&lt;'Données projet'!$A$114,$BV$205^A41,IF(A41='Données projet'!$A$114,'Données projet'!$B$114,BY40+BX41-CG40)))</f>
        <v>183.20000000000002</v>
      </c>
      <c r="BZ41" s="13">
        <f>BY41*VLOOKUP('Données projet'!$B$12,Paramètres!$A$1:$I$89,3,0)*VLOOKUP('Données projet'!$B$12,Paramètres!$A$1:$I$89,5,0)</f>
        <v>197.19648000000001</v>
      </c>
      <c r="CA41" s="13">
        <f t="shared" si="39"/>
        <v>49.127533588934185</v>
      </c>
      <c r="CB41" s="20">
        <f t="shared" si="10"/>
        <v>429.01432366739368</v>
      </c>
      <c r="CC41" s="59">
        <f t="shared" si="11"/>
        <v>722.34765700072694</v>
      </c>
      <c r="CD41" s="59">
        <f ca="1">AVERAGE(OFFSET($CC$3,0,0,'Données projet'!$E$12+1,1))-AVERAGE(OFFSET($H$3,0,0,'Données projet'!$E$12+1,1))</f>
        <v>244.7364260963538</v>
      </c>
      <c r="CE41" s="59">
        <f t="shared" si="40"/>
        <v>270.32853612539299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6.5090926379278358</v>
      </c>
      <c r="CL41" s="21">
        <f>EXP(-LN(2)/25)*CL40+(1-EXP(-LN(2)/25))/(LN(2)/25)*Calculateur!CG41*Calculateur!CI41*VLOOKUP('Données projet'!$B$12,Paramètres!$A$1:$I$89,3,0)*0.475*44/12</f>
        <v>1.2662400962470526</v>
      </c>
      <c r="CM41" s="21">
        <f>EXP(-LN(2)/2)*CM40+(1-EXP(-LN(2)/2))/(LN(2)/2)*CG41*CJ41*VLOOKUP('Données projet'!$B$12,Paramètres!$A$1:$I$89,3,0)*0.475*44/12</f>
        <v>1.4542464488768205</v>
      </c>
      <c r="CN41" s="22">
        <f t="shared" si="12"/>
        <v>9.2295791830517082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12.4</v>
      </c>
      <c r="CT41" s="12">
        <f>IF('Données projet'!$A$140&gt;35,CT40+CS41-DB40,IF(A41&lt;'Données projet'!$A$140,$CQ$205^A41,IF(A41='Données projet'!$A$140,'Données projet'!$B$140,CT40+CS41-DB40)))</f>
        <v>183.20000000000002</v>
      </c>
      <c r="CU41" s="17">
        <f>CT41*VLOOKUP('Données projet'!$B$13,Paramètres!$A$1:$I$89,3,0)*VLOOKUP('Données projet'!$B$13,Paramètres!$A$1:$I$89,5,0)</f>
        <v>177.19104000000002</v>
      </c>
      <c r="CV41" s="13">
        <f t="shared" si="41"/>
        <v>44.696673403761238</v>
      </c>
      <c r="CW41" s="20">
        <f t="shared" si="13"/>
        <v>386.45443417821753</v>
      </c>
      <c r="CX41" s="59">
        <f t="shared" si="14"/>
        <v>679.78776751155078</v>
      </c>
      <c r="CY41" s="59">
        <f ca="1">AVERAGE(OFFSET($CX$3,0,0,'Données projet'!$E$13+1,1))-AVERAGE(OFFSET($H$3,0,0,'Données projet'!$E$13+1,1))</f>
        <v>216.39536568500222</v>
      </c>
      <c r="CZ41" s="59">
        <f t="shared" si="42"/>
        <v>239.44686980897467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5.8487499065438513</v>
      </c>
      <c r="DG41" s="21">
        <f>EXP(-LN(2)/25)*DG40+(1-EXP(-LN(2)/25))/(LN(2)/25)*Calculateur!DB41*Calculateur!DD41*VLOOKUP('Données projet'!$B$13,Paramètres!$A$1:$I$89,3,0)*0.475*44/12</f>
        <v>1.1377809560480761</v>
      </c>
      <c r="DH41" s="21">
        <f>EXP(-LN(2)/2)*DH40+(1-EXP(-LN(2)/2))/(LN(2)/2)*DB41*DE41*VLOOKUP('Données projet'!$B$13,Paramètres!$A$1:$I$89,3,0)*0.475*44/12</f>
        <v>1.3067142004400414</v>
      </c>
      <c r="DI41" s="22">
        <f t="shared" si="15"/>
        <v>8.2932450630319678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23.119200000000014</v>
      </c>
      <c r="D42" s="11">
        <f t="shared" si="32"/>
        <v>7.39193999378044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235.52458942567372</v>
      </c>
      <c r="H42" s="67">
        <f t="shared" si="1"/>
        <v>346.47356882250097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11.2</v>
      </c>
      <c r="N42" s="13">
        <f>IF('Données projet'!$A$36&gt;35,N41+M42-V41,IF(A42&lt;'Données projet'!$A$36,$K$205^A42,IF(A42='Données projet'!$A$36,'Données projet'!$B$36,N41+M42-V41)))</f>
        <v>163.80000000000001</v>
      </c>
      <c r="O42" s="13">
        <f>N42*VLOOKUP('Données projet'!$B$9,Paramètres!$A$1:$I$89,3,0)*VLOOKUP('Données projet'!$B$9,Paramètres!$A$1:$I$89,5,0)</f>
        <v>148.20624000000001</v>
      </c>
      <c r="P42" s="13">
        <f t="shared" si="33"/>
        <v>38.170662245893794</v>
      </c>
      <c r="Q42" s="20">
        <f t="shared" si="53"/>
        <v>324.60643807826506</v>
      </c>
      <c r="R42" s="59">
        <f t="shared" si="0"/>
        <v>617.93977141159837</v>
      </c>
      <c r="S42" s="59">
        <f ca="1">AVERAGE(OFFSET($R$3,0,0,'Données projet'!$E$9+1,1))-AVERAGE(OFFSET($H$3,0,0,'Données projet'!$E$9+1,1))</f>
        <v>330.30341204367602</v>
      </c>
      <c r="T42" s="59">
        <f t="shared" si="34"/>
        <v>200.36653694091007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4.4502330269711035</v>
      </c>
      <c r="AA42" s="21">
        <f>EXP(-LN(2)/25)*AA41+(1-EXP(-LN(2)/25))/(LN(2)/25)*Calculateur!V42*Calculateur!X42*VLOOKUP('Données projet'!$B$9,Paramètres!$A$1:$I$89,3,0)*0.475*44/12</f>
        <v>0.85889093437416775</v>
      </c>
      <c r="AB42" s="21">
        <f>EXP(-LN(2)/2)*AB41+(1-EXP(-LN(2)/2))/(LN(2)/2)*V42*Y42*VLOOKUP('Données projet'!$B$9,Paramètres!$A$1:$I$89,3,0)*0.475*44/12</f>
        <v>0.7171106479613627</v>
      </c>
      <c r="AC42" s="22">
        <f t="shared" si="3"/>
        <v>6.0262346093066341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33.5</v>
      </c>
      <c r="AI42" s="13">
        <f>IF('Données projet'!$A$62&gt;35,AI41+AH42-AQ41,IF(A42&lt;'Données projet'!$A$62,$AF$205^A42,IF(A42='Données projet'!$A$62,'Données projet'!$B$62,AI41+AH42-AQ41)))</f>
        <v>480.50000000000006</v>
      </c>
      <c r="AJ42" s="13">
        <f>AI42*VLOOKUP('Données projet'!$B$10,Paramètres!$A$1:$I$89,3,0)*VLOOKUP('Données projet'!$B$10,Paramètres!$A$1:$I$89,5,0)</f>
        <v>287.33900000000006</v>
      </c>
      <c r="AK42" s="13">
        <f t="shared" si="35"/>
        <v>68.515607409227584</v>
      </c>
      <c r="AL42" s="20">
        <f t="shared" si="4"/>
        <v>619.78010790440476</v>
      </c>
      <c r="AM42" s="59">
        <f t="shared" si="5"/>
        <v>913.11344123773802</v>
      </c>
      <c r="AN42" s="59">
        <f ca="1">AVERAGE(OFFSET($AM$3,0,0,'Données projet'!$E$10+1,1))-AVERAGE(OFFSET($H$3,0,0,'Données projet'!$E$10+1,1))</f>
        <v>465.77577582457678</v>
      </c>
      <c r="AO42" s="59">
        <f t="shared" si="36"/>
        <v>301.15495784503042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29.381186957778901</v>
      </c>
      <c r="AV42" s="21">
        <f>EXP(-LN(2)/25)*AV41+(1-EXP(-LN(2)/25))/(LN(2)/25)*Calculateur!AQ42*Calculateur!AS42*VLOOKUP('Données projet'!$B$10,Paramètres!$A$1:$I$89,3,0)*0.475*44/12</f>
        <v>24.720896393212815</v>
      </c>
      <c r="AW42" s="21">
        <f>EXP(-LN(2)/2)*AW41+(1-EXP(-LN(2)/2))/(LN(2)/2)*AQ42*AT42*VLOOKUP('Données projet'!$B$10,Paramètres!$A$1:$I$89,3,0)*0.475*44/12</f>
        <v>4.3936459746667751</v>
      </c>
      <c r="AX42" s="21">
        <f t="shared" si="6"/>
        <v>58.495729325658495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11.4</v>
      </c>
      <c r="BD42" s="12">
        <f>IF('Données projet'!$A$88&gt;35,BD41+BC42-BL41,IF(A42&lt;'Données projet'!$A$88,$BA$205^A42,IF(A42='Données projet'!$A$88,'Données projet'!$B$88,BD41+BC42-BL41)))</f>
        <v>229.60000000000005</v>
      </c>
      <c r="BE42" s="13">
        <f>BD42*VLOOKUP('Données projet'!$B$11,Paramètres!$A$1:$I$89,3,0)*VLOOKUP('Données projet'!$B$11,Paramètres!$A$1:$I$89,5,0)</f>
        <v>179.08800000000005</v>
      </c>
      <c r="BF42" s="13">
        <f t="shared" si="37"/>
        <v>45.119223023956835</v>
      </c>
      <c r="BG42" s="20">
        <f t="shared" si="7"/>
        <v>390.49424676672493</v>
      </c>
      <c r="BH42" s="59">
        <f t="shared" si="8"/>
        <v>683.82758010005819</v>
      </c>
      <c r="BI42" s="59">
        <f ca="1">AVERAGE(OFFSET($BH$3,0,0,'Données projet'!$E$11+1,1))-AVERAGE(OFFSET($H$3,0,0,'Données projet'!$E$11+1,1))</f>
        <v>219.5868031007679</v>
      </c>
      <c r="BJ42" s="59">
        <f t="shared" si="38"/>
        <v>263.3830219837742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8.534576245171726</v>
      </c>
      <c r="BQ42" s="21">
        <f>EXP(-LN(2)/25)*BQ41+(1-EXP(-LN(2)/25))/(LN(2)/25)*Calculateur!BL42*Calculateur!BN42*VLOOKUP('Données projet'!$B$11,Paramètres!$A$1:$I$89,3,0)*0.475*44/12</f>
        <v>1.6204249073132042</v>
      </c>
      <c r="BR42" s="21">
        <f>EXP(-LN(2)/2)*BR41+(1-EXP(-LN(2)/2))/(LN(2)/2)*BL42*BO42*VLOOKUP('Données projet'!$B$11,Paramètres!$A$1:$I$89,3,0)*0.475*44/12</f>
        <v>0.91255707945575071</v>
      </c>
      <c r="BS42" s="22">
        <f t="shared" si="9"/>
        <v>11.06755823194068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12.4</v>
      </c>
      <c r="BY42" s="12">
        <f>IF('Données projet'!$A$114&gt;35,BY41+BX42-CG41,IF(A42&lt;'Données projet'!$A$114,$BV$205^A42,IF(A42='Données projet'!$A$114,'Données projet'!$B$114,BY41+BX42-CG41)))</f>
        <v>195.60000000000002</v>
      </c>
      <c r="BZ42" s="13">
        <f>BY42*VLOOKUP('Données projet'!$B$12,Paramètres!$A$1:$I$89,3,0)*VLOOKUP('Données projet'!$B$12,Paramètres!$A$1:$I$89,5,0)</f>
        <v>210.54384000000002</v>
      </c>
      <c r="CA42" s="13">
        <f t="shared" si="39"/>
        <v>52.054410526216479</v>
      </c>
      <c r="CB42" s="20">
        <f t="shared" si="10"/>
        <v>457.35861966649367</v>
      </c>
      <c r="CC42" s="59">
        <f t="shared" si="11"/>
        <v>750.69195299982698</v>
      </c>
      <c r="CD42" s="59">
        <f ca="1">AVERAGE(OFFSET($CC$3,0,0,'Données projet'!$E$12+1,1))-AVERAGE(OFFSET($H$3,0,0,'Données projet'!$E$12+1,1))</f>
        <v>244.7364260963538</v>
      </c>
      <c r="CE42" s="59">
        <f t="shared" si="40"/>
        <v>270.32853612539299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6.3814533014525603</v>
      </c>
      <c r="CL42" s="21">
        <f>EXP(-LN(2)/25)*CL41+(1-EXP(-LN(2)/25))/(LN(2)/25)*Calculateur!CG42*Calculateur!CI42*VLOOKUP('Données projet'!$B$12,Paramètres!$A$1:$I$89,3,0)*0.475*44/12</f>
        <v>1.2316146942265043</v>
      </c>
      <c r="CM42" s="21">
        <f>EXP(-LN(2)/2)*CM41+(1-EXP(-LN(2)/2))/(LN(2)/2)*CG42*CJ42*VLOOKUP('Données projet'!$B$12,Paramètres!$A$1:$I$89,3,0)*0.475*44/12</f>
        <v>1.0283075255172558</v>
      </c>
      <c r="CN42" s="22">
        <f t="shared" si="12"/>
        <v>8.6413755211963199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12.4</v>
      </c>
      <c r="CT42" s="12">
        <f>IF('Données projet'!$A$140&gt;35,CT41+CS42-DB41,IF(A42&lt;'Données projet'!$A$140,$CQ$205^A42,IF(A42='Données projet'!$A$140,'Données projet'!$B$140,CT41+CS42-DB41)))</f>
        <v>195.60000000000002</v>
      </c>
      <c r="CU42" s="17">
        <f>CT42*VLOOKUP('Données projet'!$B$13,Paramètres!$A$1:$I$89,3,0)*VLOOKUP('Données projet'!$B$13,Paramètres!$A$1:$I$89,5,0)</f>
        <v>189.18432000000004</v>
      </c>
      <c r="CV42" s="13">
        <f t="shared" si="41"/>
        <v>47.359572454491826</v>
      </c>
      <c r="CW42" s="20">
        <f t="shared" si="13"/>
        <v>411.9806126915733</v>
      </c>
      <c r="CX42" s="59">
        <f t="shared" si="14"/>
        <v>705.31394602490661</v>
      </c>
      <c r="CY42" s="59">
        <f ca="1">AVERAGE(OFFSET($CX$3,0,0,'Données projet'!$E$13+1,1))-AVERAGE(OFFSET($H$3,0,0,'Données projet'!$E$13+1,1))</f>
        <v>216.39536568500222</v>
      </c>
      <c r="CZ42" s="59">
        <f t="shared" si="42"/>
        <v>239.44686980897467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5.7340594882617193</v>
      </c>
      <c r="DG42" s="21">
        <f>EXP(-LN(2)/25)*DG41+(1-EXP(-LN(2)/25))/(LN(2)/25)*Calculateur!DB42*Calculateur!DD42*VLOOKUP('Données projet'!$B$13,Paramètres!$A$1:$I$89,3,0)*0.475*44/12</f>
        <v>1.1066682759716413</v>
      </c>
      <c r="DH42" s="21">
        <f>EXP(-LN(2)/2)*DH41+(1-EXP(-LN(2)/2))/(LN(2)/2)*DB42*DE42*VLOOKUP('Données projet'!$B$13,Paramètres!$A$1:$I$89,3,0)*0.475*44/12</f>
        <v>0.92398647220391084</v>
      </c>
      <c r="DI42" s="22">
        <f t="shared" si="15"/>
        <v>7.7647142364372712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23.712000000000014</v>
      </c>
      <c r="D43" s="11">
        <f t="shared" si="32"/>
        <v>7.5591672478002492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241.39146647424766</v>
      </c>
      <c r="H43" s="67">
        <f t="shared" si="1"/>
        <v>347.79728295658543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175</v>
      </c>
      <c r="L43" s="12">
        <f>VLOOKUP(A43,'Données projet'!$A$35:$I$55,9,0)</f>
        <v>11.2</v>
      </c>
      <c r="M43" s="12">
        <f t="array" ref="M43">INDEX(L:L,MIN(IF(ISNUMBER(L43:L239),ROW(L43:L239),"")))</f>
        <v>11.2</v>
      </c>
      <c r="N43" s="13">
        <f>IF('Données projet'!$A$36&gt;35,N42+M43-V42,IF(A43&lt;'Données projet'!$A$36,$K$205^A43,IF(A43='Données projet'!$A$36,'Données projet'!$B$36,N42+M43-V42)))</f>
        <v>175</v>
      </c>
      <c r="O43" s="13">
        <f>N43*VLOOKUP('Données projet'!$B$9,Paramètres!$A$1:$I$89,3,0)*VLOOKUP('Données projet'!$B$9,Paramètres!$A$1:$I$89,5,0)</f>
        <v>158.34</v>
      </c>
      <c r="P43" s="13">
        <f t="shared" si="33"/>
        <v>40.467870812652819</v>
      </c>
      <c r="Q43" s="20">
        <f t="shared" si="53"/>
        <v>346.25704166537031</v>
      </c>
      <c r="R43" s="59">
        <f t="shared" si="0"/>
        <v>639.59037499870362</v>
      </c>
      <c r="S43" s="59">
        <f ca="1">AVERAGE(OFFSET($R$3,0,0,'Données projet'!$E$9+1,1))-AVERAGE(OFFSET($H$3,0,0,'Données projet'!$E$9+1,1))</f>
        <v>330.30341204367602</v>
      </c>
      <c r="T43" s="59">
        <f t="shared" si="34"/>
        <v>200.36653694091007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28</v>
      </c>
      <c r="W43" s="16">
        <f>IF(ISNA(VLOOKUP(A43,'Données projet'!$A$35:$I$55,5,0)),0%,VLOOKUP(A43,'Données projet'!$A$35:$I$55,5,0)*VLOOKUP('Données projet'!$B$9,Paramètres!$A$1:$I$89,7,0))</f>
        <v>0.17200000000000001</v>
      </c>
      <c r="X43" s="16">
        <f>IF(ISNA(VLOOKUP(A43,'Données projet'!$A$35:$I$55,6,0)),0%,VLOOKUP(A43,'Données projet'!$A$35:$I$55,6,0)*VLOOKUP('Données projet'!$B$9,Paramètres!$A$1:$I$89,7,0))</f>
        <v>3.44E-2</v>
      </c>
      <c r="Y43" s="16">
        <f>IF(ISNA(VLOOKUP(A43,'Données projet'!$A$35:$I$55,7,0)),0%,VLOOKUP(A43,'Données projet'!$A$35:$I$55,7,0))</f>
        <v>0.12</v>
      </c>
      <c r="Z43" s="21">
        <f>EXP(-LN(2)/35)*Z42+(1-EXP(-LN(2)/35))/(LN(2)/35)*V43*W43*VLOOKUP('Données projet'!$B$9,Paramètres!$A$1:$I$89,3,0)*0.475*44/12</f>
        <v>9.1800724224035299</v>
      </c>
      <c r="AA43" s="21">
        <f>EXP(-LN(2)/25)*AA42+(1-EXP(-LN(2)/25))/(LN(2)/25)*Calculateur!V43*Calculateur!X43*VLOOKUP('Données projet'!$B$9,Paramètres!$A$1:$I$89,3,0)*0.475*44/12</f>
        <v>1.7950323105896837</v>
      </c>
      <c r="AB43" s="21">
        <f>EXP(-LN(2)/2)*AB42+(1-EXP(-LN(2)/2))/(LN(2)/2)*V43*Y43*VLOOKUP('Données projet'!$B$9,Paramètres!$A$1:$I$89,3,0)*0.475*44/12</f>
        <v>3.3755163938800079</v>
      </c>
      <c r="AC43" s="22">
        <f t="shared" si="3"/>
        <v>14.350621126873222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33.5</v>
      </c>
      <c r="AI43" s="13">
        <f>IF('Données projet'!$A$62&gt;35,AI42+AH43-AQ42,IF(A43&lt;'Données projet'!$A$62,$AF$205^A43,IF(A43='Données projet'!$A$62,'Données projet'!$B$62,AI42+AH43-AQ42)))</f>
        <v>514</v>
      </c>
      <c r="AJ43" s="13">
        <f>AI43*VLOOKUP('Données projet'!$B$10,Paramètres!$A$1:$I$89,3,0)*VLOOKUP('Données projet'!$B$10,Paramètres!$A$1:$I$89,5,0)</f>
        <v>307.37200000000001</v>
      </c>
      <c r="AK43" s="13">
        <f t="shared" si="35"/>
        <v>72.719727530969081</v>
      </c>
      <c r="AL43" s="20">
        <f t="shared" si="4"/>
        <v>661.99309211643788</v>
      </c>
      <c r="AM43" s="59">
        <f t="shared" si="5"/>
        <v>955.32642544977125</v>
      </c>
      <c r="AN43" s="59">
        <f ca="1">AVERAGE(OFFSET($AM$3,0,0,'Données projet'!$E$10+1,1))-AVERAGE(OFFSET($H$3,0,0,'Données projet'!$E$10+1,1))</f>
        <v>465.77577582457678</v>
      </c>
      <c r="AO43" s="59">
        <f t="shared" si="36"/>
        <v>301.15495784503042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28.805039802291372</v>
      </c>
      <c r="AV43" s="21">
        <f>EXP(-LN(2)/25)*AV42+(1-EXP(-LN(2)/25))/(LN(2)/25)*Calculateur!AQ43*Calculateur!AS43*VLOOKUP('Données projet'!$B$10,Paramètres!$A$1:$I$89,3,0)*0.475*44/12</f>
        <v>24.044902181324968</v>
      </c>
      <c r="AW43" s="21">
        <f>EXP(-LN(2)/2)*AW42+(1-EXP(-LN(2)/2))/(LN(2)/2)*AQ43*AT43*VLOOKUP('Données projet'!$B$10,Paramètres!$A$1:$I$89,3,0)*0.475*44/12</f>
        <v>3.1067768628198547</v>
      </c>
      <c r="AX43" s="21">
        <f t="shared" si="6"/>
        <v>55.956718846436196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241</v>
      </c>
      <c r="BB43" s="12">
        <f>VLOOKUP(A43,'Données projet'!$A$87:$I$107,9,0)</f>
        <v>11.4</v>
      </c>
      <c r="BC43" s="12">
        <f t="array" ref="BC43">INDEX(BB:BB,MIN(IF(ISNUMBER(BB43:BB239),ROW(BB43:BB239),"")))</f>
        <v>11.4</v>
      </c>
      <c r="BD43" s="12">
        <f>IF('Données projet'!$A$88&gt;35,BD42+BC43-BL42,IF(A43&lt;'Données projet'!$A$88,$BA$205^A43,IF(A43='Données projet'!$A$88,'Données projet'!$B$88,BD42+BC43-BL42)))</f>
        <v>241.00000000000006</v>
      </c>
      <c r="BE43" s="13">
        <f>BD43*VLOOKUP('Données projet'!$B$11,Paramètres!$A$1:$I$89,3,0)*VLOOKUP('Données projet'!$B$11,Paramètres!$A$1:$I$89,5,0)</f>
        <v>187.98000000000005</v>
      </c>
      <c r="BF43" s="13">
        <f t="shared" si="37"/>
        <v>47.093082099012364</v>
      </c>
      <c r="BG43" s="20">
        <f t="shared" si="7"/>
        <v>409.41895132244662</v>
      </c>
      <c r="BH43" s="59">
        <f t="shared" si="8"/>
        <v>702.75228465577993</v>
      </c>
      <c r="BI43" s="59">
        <f ca="1">AVERAGE(OFFSET($BH$3,0,0,'Données projet'!$E$11+1,1))-AVERAGE(OFFSET($H$3,0,0,'Données projet'!$E$11+1,1))</f>
        <v>219.5868031007679</v>
      </c>
      <c r="BJ43" s="59">
        <f t="shared" si="38"/>
        <v>263.3830219837742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32</v>
      </c>
      <c r="BM43" s="16">
        <f>IF(ISNA(VLOOKUP(A43,'Données projet'!$A$87:$I$107,5,0)),0%,VLOOKUP(A43,'Données projet'!$A$87:$I$107,5,0)*VLOOKUP('Données projet'!$B$11,Paramètres!$A$1:$I$89,7,0))</f>
        <v>0.215</v>
      </c>
      <c r="BN43" s="16">
        <f>IF(ISNA(VLOOKUP(A43,'Données projet'!$A$87:$I$107,6,0)),0%,VLOOKUP(A43,'Données projet'!$A$87:$I$107,6,0)*VLOOKUP('Données projet'!$B$11,Paramètres!$A$1:$I$89,7,0))</f>
        <v>4.3000000000000003E-2</v>
      </c>
      <c r="BO43" s="16">
        <f>IF(ISNA(VLOOKUP(A43,'Données projet'!$A$87:$I$107,7,0)),0%,VLOOKUP(A43,'Données projet'!$A$87:$I$107,7,0))</f>
        <v>0.15</v>
      </c>
      <c r="BP43" s="21">
        <f>EXP(-LN(2)/35)*BP42+(1-EXP(-LN(2)/35))/(LN(2)/35)*BL43*BM43*VLOOKUP('Données projet'!$B$11,Paramètres!$A$1:$I$89,3,0)*0.475*44/12</f>
        <v>14.299614655307034</v>
      </c>
      <c r="BQ43" s="21">
        <f>EXP(-LN(2)/25)*BQ42+(1-EXP(-LN(2)/25))/(LN(2)/25)*Calculateur!BL43*Calculateur!BN43*VLOOKUP('Données projet'!$B$11,Paramètres!$A$1:$I$89,3,0)*0.475*44/12</f>
        <v>2.7579219310662735</v>
      </c>
      <c r="BR43" s="21">
        <f>EXP(-LN(2)/2)*BR42+(1-EXP(-LN(2)/2))/(LN(2)/2)*BL43*BO43*VLOOKUP('Données projet'!$B$11,Paramètres!$A$1:$I$89,3,0)*0.475*44/12</f>
        <v>4.1778400673855254</v>
      </c>
      <c r="BS43" s="22">
        <f t="shared" si="9"/>
        <v>21.235376653758831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208</v>
      </c>
      <c r="BW43" s="12">
        <f>VLOOKUP(A43,'Données projet'!$A$113:$I$133,9,0)</f>
        <v>12.4</v>
      </c>
      <c r="BX43" s="12">
        <f t="array" ref="BX43">INDEX(BW:BW,MIN(IF(ISNUMBER(BW43:BW239),ROW(BW43:BW239),"")))</f>
        <v>12.4</v>
      </c>
      <c r="BY43" s="12">
        <f>IF('Données projet'!$A$114&gt;35,BY42+BX43-CG42,IF(A43&lt;'Données projet'!$A$114,$BV$205^A43,IF(A43='Données projet'!$A$114,'Données projet'!$B$114,BY42+BX43-CG42)))</f>
        <v>208.00000000000003</v>
      </c>
      <c r="BZ43" s="13">
        <f>BY43*VLOOKUP('Données projet'!$B$12,Paramètres!$A$1:$I$89,3,0)*VLOOKUP('Données projet'!$B$12,Paramètres!$A$1:$I$89,5,0)</f>
        <v>223.89120000000003</v>
      </c>
      <c r="CA43" s="13">
        <f t="shared" si="39"/>
        <v>54.95975389514863</v>
      </c>
      <c r="CB43" s="20">
        <f t="shared" si="10"/>
        <v>485.66541136738397</v>
      </c>
      <c r="CC43" s="59">
        <f t="shared" si="11"/>
        <v>778.99874470071722</v>
      </c>
      <c r="CD43" s="59">
        <f ca="1">AVERAGE(OFFSET($CC$3,0,0,'Données projet'!$E$12+1,1))-AVERAGE(OFFSET($H$3,0,0,'Données projet'!$E$12+1,1))</f>
        <v>244.7364260963538</v>
      </c>
      <c r="CE43" s="59">
        <f t="shared" si="40"/>
        <v>270.32853612539299</v>
      </c>
      <c r="CF43" s="15">
        <f>IF(ISNA(VLOOKUP(A43,'Données projet'!$A$113:$I$133,3,0)),0,VLOOKUP(A43,'Données projet'!$A$113:$I$133,3,0))</f>
        <v>4</v>
      </c>
      <c r="CG43" s="15">
        <f>IF(ISNA(VLOOKUP(A43,'Données projet'!$A$113:$I$133,4,0)),0,VLOOKUP(A43,'Données projet'!$A$113:$I$133,4,0))</f>
        <v>32</v>
      </c>
      <c r="CH43" s="16">
        <f>IF(ISNA(VLOOKUP(A43,'Données projet'!$A$113:$I$133,5,0)),0%,VLOOKUP(A43,'Données projet'!$A$113:$I$133,5,0)*VLOOKUP('Données projet'!$B$12,Paramètres!$A$1:$I$89,7,0))</f>
        <v>0.215</v>
      </c>
      <c r="CI43" s="16">
        <f>IF(ISNA(VLOOKUP(A43,'Données projet'!$A$113:$I$133,6,0)),0%,VLOOKUP(A43,'Données projet'!$A$113:$I$133,6,0)*VLOOKUP('Données projet'!$B$12,Paramètres!$A$1:$I$89,7,0))</f>
        <v>4.3000000000000003E-2</v>
      </c>
      <c r="CJ43" s="16">
        <f>IF(ISNA(VLOOKUP(A43,'Données projet'!$A$113:$I$133,7,0)),0%,VLOOKUP(A43,'Données projet'!$A$113:$I$133,7,0))</f>
        <v>0.15</v>
      </c>
      <c r="CK43" s="21">
        <f>EXP(-LN(2)/35)*CK42+(1-EXP(-LN(2)/35))/(LN(2)/35)*CG43*CH43*VLOOKUP('Données projet'!$B$12,Paramètres!$A$1:$I$89,3,0)*0.475*44/12</f>
        <v>14.443023712234616</v>
      </c>
      <c r="CL43" s="21">
        <f>EXP(-LN(2)/25)*CL42+(1-EXP(-LN(2)/25))/(LN(2)/25)*Calculateur!CG43*Calculateur!CI43*VLOOKUP('Données projet'!$B$12,Paramètres!$A$1:$I$89,3,0)*0.475*44/12</f>
        <v>2.8288306523651068</v>
      </c>
      <c r="CM43" s="21">
        <f>EXP(-LN(2)/2)*CM42+(1-EXP(-LN(2)/2))/(LN(2)/2)*CG43*CJ43*VLOOKUP('Données projet'!$B$12,Paramètres!$A$1:$I$89,3,0)*0.475*44/12</f>
        <v>5.6020626046683608</v>
      </c>
      <c r="CN43" s="22">
        <f t="shared" si="12"/>
        <v>22.873916969268084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208</v>
      </c>
      <c r="CR43" s="12">
        <f>VLOOKUP(A43,'Données projet'!$A$139:$I$159,9,0)</f>
        <v>12.4</v>
      </c>
      <c r="CS43" s="12">
        <f t="array" ref="CS43">INDEX(CR:CR,MIN(IF(ISNUMBER(CR43:CR239),ROW(CR43:CR239),"")))</f>
        <v>12.4</v>
      </c>
      <c r="CT43" s="12">
        <f>IF('Données projet'!$A$140&gt;35,CT42+CS43-DB42,IF(A43&lt;'Données projet'!$A$140,$CQ$205^A43,IF(A43='Données projet'!$A$140,'Données projet'!$B$140,CT42+CS43-DB42)))</f>
        <v>208.00000000000003</v>
      </c>
      <c r="CU43" s="17">
        <f>CT43*VLOOKUP('Données projet'!$B$13,Paramètres!$A$1:$I$89,3,0)*VLOOKUP('Données projet'!$B$13,Paramètres!$A$1:$I$89,5,0)</f>
        <v>201.17760000000001</v>
      </c>
      <c r="CV43" s="13">
        <f t="shared" si="41"/>
        <v>50.002880070410733</v>
      </c>
      <c r="CW43" s="20">
        <f t="shared" si="13"/>
        <v>437.47266945596539</v>
      </c>
      <c r="CX43" s="59">
        <f t="shared" si="14"/>
        <v>730.80600278929865</v>
      </c>
      <c r="CY43" s="59">
        <f ca="1">AVERAGE(OFFSET($CX$3,0,0,'Données projet'!$E$13+1,1))-AVERAGE(OFFSET($H$3,0,0,'Données projet'!$E$13+1,1))</f>
        <v>216.39536568500222</v>
      </c>
      <c r="CZ43" s="59">
        <f t="shared" si="42"/>
        <v>239.44686980897467</v>
      </c>
      <c r="DA43" s="15">
        <f>IF(ISNA(VLOOKUP(A43,'Données projet'!$A$139:$I$159,3,0)),0,VLOOKUP(A43,'Données projet'!$A$139:$I$159,3,0))</f>
        <v>4</v>
      </c>
      <c r="DB43" s="15">
        <f>IF(ISNA(VLOOKUP(A43,'Données projet'!$A$139:$I$159,4,0)),0,VLOOKUP(A43,'Données projet'!$A$139:$I$159,4,0))</f>
        <v>32</v>
      </c>
      <c r="DC43" s="16">
        <f>IF(ISNA(VLOOKUP(A43,'Données projet'!$A$139:$I$159,5,0)),0%,VLOOKUP(A43,'Données projet'!$A$139:$I$159,5,0)*VLOOKUP('Données projet'!$B$13,Paramètres!$A$1:$I$89,7,0))</f>
        <v>0.215</v>
      </c>
      <c r="DD43" s="16">
        <f>IF(ISNA(VLOOKUP(A43,'Données projet'!$A$139:$I$159,6,0)),0%,VLOOKUP(A43,'Données projet'!$A$139:$I$159,6,0)*VLOOKUP('Données projet'!$B$13,Paramètres!$A$1:$I$89,7,0))</f>
        <v>4.3000000000000003E-2</v>
      </c>
      <c r="DE43" s="16">
        <f>IF(ISNA(VLOOKUP(A43,'Données projet'!$A$139:$I$159,7,0)),0%,VLOOKUP(A43,'Données projet'!$A$139:$I$159,7,0))</f>
        <v>0.15</v>
      </c>
      <c r="DF43" s="21">
        <f>EXP(-LN(2)/35)*DF42+(1-EXP(-LN(2)/35))/(LN(2)/35)*DB43*DC43*VLOOKUP('Données projet'!$B$13,Paramètres!$A$1:$I$89,3,0)*0.475*44/12</f>
        <v>12.977789422587627</v>
      </c>
      <c r="DG43" s="21">
        <f>EXP(-LN(2)/25)*DG42+(1-EXP(-LN(2)/25))/(LN(2)/25)*Calculateur!DB43*Calculateur!DD43*VLOOKUP('Données projet'!$B$13,Paramètres!$A$1:$I$89,3,0)*0.475*44/12</f>
        <v>2.5418478325599505</v>
      </c>
      <c r="DH43" s="21">
        <f>EXP(-LN(2)/2)*DH42+(1-EXP(-LN(2)/2))/(LN(2)/2)*DB43*DE43*VLOOKUP('Données projet'!$B$13,Paramètres!$A$1:$I$89,3,0)*0.475*44/12</f>
        <v>5.0337374128904111</v>
      </c>
      <c r="DI43" s="22">
        <f t="shared" si="15"/>
        <v>20.553374668037989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24.304800000000014</v>
      </c>
      <c r="D44" s="11">
        <f t="shared" si="32"/>
        <v>7.725908524374014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247.25459211797497</v>
      </c>
      <c r="H44" s="67">
        <f t="shared" si="1"/>
        <v>349.12015067995139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</v>
      </c>
      <c r="N44" s="13">
        <f>IF('Données projet'!$A$36&gt;35,N43+M44-V43,IF(A44&lt;'Données projet'!$A$36,$K$205^A44,IF(A44='Données projet'!$A$36,'Données projet'!$B$36,N43+M44-V43)))</f>
        <v>158.4</v>
      </c>
      <c r="O44" s="13">
        <f>N44*VLOOKUP('Données projet'!$B$9,Paramètres!$A$1:$I$89,3,0)*VLOOKUP('Données projet'!$B$9,Paramètres!$A$1:$I$89,5,0)</f>
        <v>143.32032000000001</v>
      </c>
      <c r="P44" s="13">
        <f t="shared" si="33"/>
        <v>37.056603420232349</v>
      </c>
      <c r="Q44" s="20">
        <f t="shared" si="53"/>
        <v>314.15647495690467</v>
      </c>
      <c r="R44" s="59">
        <f t="shared" si="0"/>
        <v>607.48980829023799</v>
      </c>
      <c r="S44" s="59">
        <f ca="1">AVERAGE(OFFSET($R$3,0,0,'Données projet'!$E$9+1,1))-AVERAGE(OFFSET($H$3,0,0,'Données projet'!$E$9+1,1))</f>
        <v>330.30341204367602</v>
      </c>
      <c r="T44" s="59">
        <f t="shared" si="34"/>
        <v>200.36653694091007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9.0000568014914908</v>
      </c>
      <c r="AA44" s="21">
        <f>EXP(-LN(2)/25)*AA43+(1-EXP(-LN(2)/25))/(LN(2)/25)*Calculateur!V44*Calculateur!X44*VLOOKUP('Données projet'!$B$9,Paramètres!$A$1:$I$89,3,0)*0.475*44/12</f>
        <v>1.7459470576599623</v>
      </c>
      <c r="AB44" s="21">
        <f>EXP(-LN(2)/2)*AB43+(1-EXP(-LN(2)/2))/(LN(2)/2)*V44*Y44*VLOOKUP('Données projet'!$B$9,Paramètres!$A$1:$I$89,3,0)*0.475*44/12</f>
        <v>2.3868505321189151</v>
      </c>
      <c r="AC44" s="22">
        <f t="shared" si="3"/>
        <v>13.132854391270369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33.5</v>
      </c>
      <c r="AI44" s="13">
        <f>IF('Données projet'!$A$62&gt;35,AI43+AH44-AQ43,IF(A44&lt;'Données projet'!$A$62,$AF$205^A44,IF(A44='Données projet'!$A$62,'Données projet'!$B$62,AI43+AH44-AQ43)))</f>
        <v>547.5</v>
      </c>
      <c r="AJ44" s="13">
        <f>AI44*VLOOKUP('Données projet'!$B$10,Paramètres!$A$1:$I$89,3,0)*VLOOKUP('Données projet'!$B$10,Paramètres!$A$1:$I$89,5,0)</f>
        <v>327.40500000000003</v>
      </c>
      <c r="AK44" s="13">
        <f t="shared" si="35"/>
        <v>76.89205051355566</v>
      </c>
      <c r="AL44" s="20">
        <f t="shared" si="4"/>
        <v>704.1506963111093</v>
      </c>
      <c r="AM44" s="59">
        <f t="shared" si="5"/>
        <v>997.48402964444267</v>
      </c>
      <c r="AN44" s="59">
        <f ca="1">AVERAGE(OFFSET($AM$3,0,0,'Données projet'!$E$10+1,1))-AVERAGE(OFFSET($H$3,0,0,'Données projet'!$E$10+1,1))</f>
        <v>465.77577582457678</v>
      </c>
      <c r="AO44" s="59">
        <f t="shared" si="36"/>
        <v>301.15495784503042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28.240190541107889</v>
      </c>
      <c r="AV44" s="21">
        <f>EXP(-LN(2)/25)*AV43+(1-EXP(-LN(2)/25))/(LN(2)/25)*Calculateur!AQ44*Calculateur!AS44*VLOOKUP('Données projet'!$B$10,Paramètres!$A$1:$I$89,3,0)*0.475*44/12</f>
        <v>23.387393066710185</v>
      </c>
      <c r="AW44" s="21">
        <f>EXP(-LN(2)/2)*AW43+(1-EXP(-LN(2)/2))/(LN(2)/2)*AQ44*AT44*VLOOKUP('Données projet'!$B$10,Paramètres!$A$1:$I$89,3,0)*0.475*44/12</f>
        <v>2.1968229873333875</v>
      </c>
      <c r="AX44" s="21">
        <f t="shared" si="6"/>
        <v>53.824406595151459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10.8</v>
      </c>
      <c r="BD44" s="12">
        <f>IF('Données projet'!$A$88&gt;35,BD43+BC44-BL43,IF(A44&lt;'Données projet'!$A$88,$BA$205^A44,IF(A44='Données projet'!$A$88,'Données projet'!$B$88,BD43+BC44-BL43)))</f>
        <v>219.80000000000007</v>
      </c>
      <c r="BE44" s="13">
        <f>BD44*VLOOKUP('Données projet'!$B$11,Paramètres!$A$1:$I$89,3,0)*VLOOKUP('Données projet'!$B$11,Paramètres!$A$1:$I$89,5,0)</f>
        <v>171.44400000000005</v>
      </c>
      <c r="BF44" s="13">
        <f t="shared" si="37"/>
        <v>43.413272173627242</v>
      </c>
      <c r="BG44" s="20">
        <f t="shared" si="7"/>
        <v>374.20974903573415</v>
      </c>
      <c r="BH44" s="59">
        <f t="shared" si="8"/>
        <v>667.54308236906741</v>
      </c>
      <c r="BI44" s="59">
        <f ca="1">AVERAGE(OFFSET($BH$3,0,0,'Données projet'!$E$11+1,1))-AVERAGE(OFFSET($H$3,0,0,'Données projet'!$E$11+1,1))</f>
        <v>219.5868031007679</v>
      </c>
      <c r="BJ44" s="59">
        <f t="shared" si="38"/>
        <v>263.3830219837742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14.019207933820185</v>
      </c>
      <c r="BQ44" s="21">
        <f>EXP(-LN(2)/25)*BQ43+(1-EXP(-LN(2)/25))/(LN(2)/25)*Calculateur!BL44*Calculateur!BN44*VLOOKUP('Données projet'!$B$11,Paramètres!$A$1:$I$89,3,0)*0.475*44/12</f>
        <v>2.6825064108284553</v>
      </c>
      <c r="BR44" s="21">
        <f>EXP(-LN(2)/2)*BR43+(1-EXP(-LN(2)/2))/(LN(2)/2)*BL44*BO44*VLOOKUP('Données projet'!$B$11,Paramètres!$A$1:$I$89,3,0)*0.475*44/12</f>
        <v>2.9541790423611678</v>
      </c>
      <c r="BS44" s="22">
        <f t="shared" si="9"/>
        <v>19.655893387009808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11.4</v>
      </c>
      <c r="BY44" s="12">
        <f>IF('Données projet'!$A$114&gt;35,BY43+BX44-CG43,IF(A44&lt;'Données projet'!$A$114,$BV$205^A44,IF(A44='Données projet'!$A$114,'Données projet'!$B$114,BY43+BX44-CG43)))</f>
        <v>187.40000000000003</v>
      </c>
      <c r="BZ44" s="13">
        <f>BY44*VLOOKUP('Données projet'!$B$12,Paramètres!$A$1:$I$89,3,0)*VLOOKUP('Données projet'!$B$12,Paramètres!$A$1:$I$89,5,0)</f>
        <v>201.71736000000001</v>
      </c>
      <c r="CA44" s="13">
        <f t="shared" si="39"/>
        <v>50.121403455877136</v>
      </c>
      <c r="CB44" s="20">
        <f t="shared" si="10"/>
        <v>438.61917968565263</v>
      </c>
      <c r="CC44" s="59">
        <f t="shared" si="11"/>
        <v>731.95251301898588</v>
      </c>
      <c r="CD44" s="59">
        <f ca="1">AVERAGE(OFFSET($CC$3,0,0,'Données projet'!$E$12+1,1))-AVERAGE(OFFSET($H$3,0,0,'Données projet'!$E$12+1,1))</f>
        <v>244.7364260963538</v>
      </c>
      <c r="CE44" s="59">
        <f t="shared" si="40"/>
        <v>270.32853612539299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14.159804826612307</v>
      </c>
      <c r="CL44" s="21">
        <f>EXP(-LN(2)/25)*CL43+(1-EXP(-LN(2)/25))/(LN(2)/25)*Calculateur!CG44*Calculateur!CI44*VLOOKUP('Données projet'!$B$12,Paramètres!$A$1:$I$89,3,0)*0.475*44/12</f>
        <v>2.7514761294144443</v>
      </c>
      <c r="CM44" s="21">
        <f>EXP(-LN(2)/2)*CM43+(1-EXP(-LN(2)/2))/(LN(2)/2)*CG44*CJ44*VLOOKUP('Données projet'!$B$12,Paramètres!$A$1:$I$89,3,0)*0.475*44/12</f>
        <v>3.9612564563925714</v>
      </c>
      <c r="CN44" s="22">
        <f t="shared" si="12"/>
        <v>20.872537412419323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11.4</v>
      </c>
      <c r="CT44" s="12">
        <f>IF('Données projet'!$A$140&gt;35,CT43+CS44-DB43,IF(A44&lt;'Données projet'!$A$140,$CQ$205^A44,IF(A44='Données projet'!$A$140,'Données projet'!$B$140,CT43+CS44-DB43)))</f>
        <v>187.40000000000003</v>
      </c>
      <c r="CU44" s="17">
        <f>CT44*VLOOKUP('Données projet'!$B$13,Paramètres!$A$1:$I$89,3,0)*VLOOKUP('Données projet'!$B$13,Paramètres!$A$1:$I$89,5,0)</f>
        <v>181.25328000000002</v>
      </c>
      <c r="CV44" s="13">
        <f t="shared" si="41"/>
        <v>45.600905177745403</v>
      </c>
      <c r="CW44" s="20">
        <f t="shared" si="13"/>
        <v>395.1043725179066</v>
      </c>
      <c r="CX44" s="59">
        <f t="shared" si="14"/>
        <v>688.43770585123991</v>
      </c>
      <c r="CY44" s="59">
        <f ca="1">AVERAGE(OFFSET($CX$3,0,0,'Données projet'!$E$13+1,1))-AVERAGE(OFFSET($H$3,0,0,'Données projet'!$E$13+1,1))</f>
        <v>216.39536568500222</v>
      </c>
      <c r="CZ44" s="59">
        <f t="shared" si="42"/>
        <v>239.44686980897467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12.723302887680624</v>
      </c>
      <c r="DG44" s="21">
        <f>EXP(-LN(2)/25)*DG43+(1-EXP(-LN(2)/25))/(LN(2)/25)*Calculateur!DB44*Calculateur!DD44*VLOOKUP('Données projet'!$B$13,Paramètres!$A$1:$I$89,3,0)*0.475*44/12</f>
        <v>2.4723408699086304</v>
      </c>
      <c r="DH44" s="21">
        <f>EXP(-LN(2)/2)*DH43+(1-EXP(-LN(2)/2))/(LN(2)/2)*DB44*DE44*VLOOKUP('Données projet'!$B$13,Paramètres!$A$1:$I$89,3,0)*0.475*44/12</f>
        <v>3.5593898593672382</v>
      </c>
      <c r="DI44" s="22">
        <f t="shared" si="15"/>
        <v>18.755033616956496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24.897600000000015</v>
      </c>
      <c r="D45" s="11">
        <f t="shared" si="32"/>
        <v>7.8921770401958273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253.11406838045914</v>
      </c>
      <c r="H45" s="67">
        <f t="shared" si="1"/>
        <v>350.44219501167441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</v>
      </c>
      <c r="N45" s="13">
        <f>IF('Données projet'!$A$36&gt;35,N44+M45-V44,IF(A45&lt;'Données projet'!$A$36,$K$205^A45,IF(A45='Données projet'!$A$36,'Données projet'!$B$36,N44+M45-V44)))</f>
        <v>169.8</v>
      </c>
      <c r="O45" s="13">
        <f>N45*VLOOKUP('Données projet'!$B$9,Paramètres!$A$1:$I$89,3,0)*VLOOKUP('Données projet'!$B$9,Paramètres!$A$1:$I$89,5,0)</f>
        <v>153.63504</v>
      </c>
      <c r="P45" s="13">
        <f t="shared" si="33"/>
        <v>39.403506785222667</v>
      </c>
      <c r="Q45" s="20">
        <f t="shared" si="53"/>
        <v>336.20880231759617</v>
      </c>
      <c r="R45" s="59">
        <f t="shared" si="0"/>
        <v>629.54213565092948</v>
      </c>
      <c r="S45" s="59">
        <f ca="1">AVERAGE(OFFSET($R$3,0,0,'Données projet'!$E$9+1,1))-AVERAGE(OFFSET($H$3,0,0,'Données projet'!$E$9+1,1))</f>
        <v>330.30341204367602</v>
      </c>
      <c r="T45" s="59">
        <f t="shared" si="34"/>
        <v>200.36653694091007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8.8235711771068495</v>
      </c>
      <c r="AA45" s="21">
        <f>EXP(-LN(2)/25)*AA44+(1-EXP(-LN(2)/25))/(LN(2)/25)*Calculateur!V45*Calculateur!X45*VLOOKUP('Données projet'!$B$9,Paramètres!$A$1:$I$89,3,0)*0.475*44/12</f>
        <v>1.6982040435528853</v>
      </c>
      <c r="AB45" s="21">
        <f>EXP(-LN(2)/2)*AB44+(1-EXP(-LN(2)/2))/(LN(2)/2)*V45*Y45*VLOOKUP('Données projet'!$B$9,Paramètres!$A$1:$I$89,3,0)*0.475*44/12</f>
        <v>1.6877581969400044</v>
      </c>
      <c r="AC45" s="22">
        <f t="shared" si="3"/>
        <v>12.209533417599738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33.5</v>
      </c>
      <c r="AI45" s="13">
        <f>IF('Données projet'!$A$62&gt;35,AI44+AH45-AQ44,IF(A45&lt;'Données projet'!$A$62,$AF$205^A45,IF(A45='Données projet'!$A$62,'Données projet'!$B$62,AI44+AH45-AQ44)))</f>
        <v>581</v>
      </c>
      <c r="AJ45" s="13">
        <f>AI45*VLOOKUP('Données projet'!$B$10,Paramètres!$A$1:$I$89,3,0)*VLOOKUP('Données projet'!$B$10,Paramètres!$A$1:$I$89,5,0)</f>
        <v>347.43799999999999</v>
      </c>
      <c r="AK45" s="13">
        <f t="shared" si="35"/>
        <v>81.034743470048156</v>
      </c>
      <c r="AL45" s="20">
        <f t="shared" si="4"/>
        <v>746.25669487700054</v>
      </c>
      <c r="AM45" s="59">
        <f t="shared" si="5"/>
        <v>1039.5900282103339</v>
      </c>
      <c r="AN45" s="59">
        <f ca="1">AVERAGE(OFFSET($AM$3,0,0,'Données projet'!$E$10+1,1))-AVERAGE(OFFSET($H$3,0,0,'Données projet'!$E$10+1,1))</f>
        <v>465.77577582457678</v>
      </c>
      <c r="AO45" s="59">
        <f t="shared" si="36"/>
        <v>301.15495784503042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27.686417629412183</v>
      </c>
      <c r="AV45" s="21">
        <f>EXP(-LN(2)/25)*AV44+(1-EXP(-LN(2)/25))/(LN(2)/25)*Calculateur!AQ45*Calculateur!AS45*VLOOKUP('Données projet'!$B$10,Paramètres!$A$1:$I$89,3,0)*0.475*44/12</f>
        <v>22.747863573411447</v>
      </c>
      <c r="AW45" s="21">
        <f>EXP(-LN(2)/2)*AW44+(1-EXP(-LN(2)/2))/(LN(2)/2)*AQ45*AT45*VLOOKUP('Données projet'!$B$10,Paramètres!$A$1:$I$89,3,0)*0.475*44/12</f>
        <v>1.5533884314099273</v>
      </c>
      <c r="AX45" s="21">
        <f t="shared" si="6"/>
        <v>51.987669634233555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10.8</v>
      </c>
      <c r="BD45" s="12">
        <f>IF('Données projet'!$A$88&gt;35,BD44+BC45-BL44,IF(A45&lt;'Données projet'!$A$88,$BA$205^A45,IF(A45='Données projet'!$A$88,'Données projet'!$B$88,BD44+BC45-BL44)))</f>
        <v>230.60000000000008</v>
      </c>
      <c r="BE45" s="13">
        <f>BD45*VLOOKUP('Données projet'!$B$11,Paramètres!$A$1:$I$89,3,0)*VLOOKUP('Données projet'!$B$11,Paramètres!$A$1:$I$89,5,0)</f>
        <v>179.86800000000008</v>
      </c>
      <c r="BF45" s="13">
        <f t="shared" si="37"/>
        <v>45.292817344769716</v>
      </c>
      <c r="BG45" s="20">
        <f t="shared" si="7"/>
        <v>392.15509020880739</v>
      </c>
      <c r="BH45" s="59">
        <f t="shared" si="8"/>
        <v>685.48842354214071</v>
      </c>
      <c r="BI45" s="59">
        <f ca="1">AVERAGE(OFFSET($BH$3,0,0,'Données projet'!$E$11+1,1))-AVERAGE(OFFSET($H$3,0,0,'Données projet'!$E$11+1,1))</f>
        <v>219.5868031007679</v>
      </c>
      <c r="BJ45" s="59">
        <f t="shared" si="38"/>
        <v>263.3830219837742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13.744299817110482</v>
      </c>
      <c r="BQ45" s="21">
        <f>EXP(-LN(2)/25)*BQ44+(1-EXP(-LN(2)/25))/(LN(2)/25)*Calculateur!BL45*Calculateur!BN45*VLOOKUP('Données projet'!$B$11,Paramètres!$A$1:$I$89,3,0)*0.475*44/12</f>
        <v>2.6091531319574699</v>
      </c>
      <c r="BR45" s="21">
        <f>EXP(-LN(2)/2)*BR44+(1-EXP(-LN(2)/2))/(LN(2)/2)*BL45*BO45*VLOOKUP('Données projet'!$B$11,Paramètres!$A$1:$I$89,3,0)*0.475*44/12</f>
        <v>2.0889200336927631</v>
      </c>
      <c r="BS45" s="22">
        <f t="shared" si="9"/>
        <v>18.442372982760713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11.4</v>
      </c>
      <c r="BY45" s="12">
        <f>IF('Données projet'!$A$114&gt;35,BY44+BX45-CG44,IF(A45&lt;'Données projet'!$A$114,$BV$205^A45,IF(A45='Données projet'!$A$114,'Données projet'!$B$114,BY44+BX45-CG44)))</f>
        <v>198.80000000000004</v>
      </c>
      <c r="BZ45" s="13">
        <f>BY45*VLOOKUP('Données projet'!$B$12,Paramètres!$A$1:$I$89,3,0)*VLOOKUP('Données projet'!$B$12,Paramètres!$A$1:$I$89,5,0)</f>
        <v>213.98832000000004</v>
      </c>
      <c r="CA45" s="13">
        <f t="shared" si="39"/>
        <v>52.806177351621038</v>
      </c>
      <c r="CB45" s="20">
        <f t="shared" si="10"/>
        <v>464.66708288740671</v>
      </c>
      <c r="CC45" s="59">
        <f t="shared" si="11"/>
        <v>758.00041622074002</v>
      </c>
      <c r="CD45" s="59">
        <f ca="1">AVERAGE(OFFSET($CC$3,0,0,'Données projet'!$E$12+1,1))-AVERAGE(OFFSET($H$3,0,0,'Données projet'!$E$12+1,1))</f>
        <v>244.7364260963538</v>
      </c>
      <c r="CE45" s="59">
        <f t="shared" si="40"/>
        <v>270.32853612539299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13.882139690590588</v>
      </c>
      <c r="CL45" s="21">
        <f>EXP(-LN(2)/25)*CL44+(1-EXP(-LN(2)/25))/(LN(2)/25)*Calculateur!CG45*Calculateur!CI45*VLOOKUP('Données projet'!$B$12,Paramètres!$A$1:$I$89,3,0)*0.475*44/12</f>
        <v>2.6762368699617651</v>
      </c>
      <c r="CM45" s="21">
        <f>EXP(-LN(2)/2)*CM44+(1-EXP(-LN(2)/2))/(LN(2)/2)*CG45*CJ45*VLOOKUP('Données projet'!$B$12,Paramètres!$A$1:$I$89,3,0)*0.475*44/12</f>
        <v>2.8010313023341809</v>
      </c>
      <c r="CN45" s="22">
        <f t="shared" si="12"/>
        <v>19.359407862886535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11.4</v>
      </c>
      <c r="CT45" s="12">
        <f>IF('Données projet'!$A$140&gt;35,CT44+CS45-DB44,IF(A45&lt;'Données projet'!$A$140,$CQ$205^A45,IF(A45='Données projet'!$A$140,'Données projet'!$B$140,CT44+CS45-DB44)))</f>
        <v>198.80000000000004</v>
      </c>
      <c r="CU45" s="17">
        <f>CT45*VLOOKUP('Données projet'!$B$13,Paramètres!$A$1:$I$89,3,0)*VLOOKUP('Données projet'!$B$13,Paramètres!$A$1:$I$89,5,0)</f>
        <v>192.27936000000005</v>
      </c>
      <c r="CV45" s="13">
        <f t="shared" si="41"/>
        <v>48.04353669645932</v>
      </c>
      <c r="CW45" s="20">
        <f t="shared" si="13"/>
        <v>418.56237841300003</v>
      </c>
      <c r="CX45" s="59">
        <f t="shared" si="14"/>
        <v>711.89571174633329</v>
      </c>
      <c r="CY45" s="59">
        <f ca="1">AVERAGE(OFFSET($CX$3,0,0,'Données projet'!$E$13+1,1))-AVERAGE(OFFSET($H$3,0,0,'Données projet'!$E$13+1,1))</f>
        <v>216.39536568500222</v>
      </c>
      <c r="CZ45" s="59">
        <f t="shared" si="42"/>
        <v>239.44686980897467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12.473806678501688</v>
      </c>
      <c r="DG45" s="21">
        <f>EXP(-LN(2)/25)*DG44+(1-EXP(-LN(2)/25))/(LN(2)/25)*Calculateur!DB45*Calculateur!DD45*VLOOKUP('Données projet'!$B$13,Paramètres!$A$1:$I$89,3,0)*0.475*44/12</f>
        <v>2.4047345788062233</v>
      </c>
      <c r="DH45" s="21">
        <f>EXP(-LN(2)/2)*DH44+(1-EXP(-LN(2)/2))/(LN(2)/2)*DB45*DE45*VLOOKUP('Données projet'!$B$13,Paramètres!$A$1:$I$89,3,0)*0.475*44/12</f>
        <v>2.516868706445206</v>
      </c>
      <c r="DI45" s="22">
        <f t="shared" si="15"/>
        <v>17.395409963753117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25.490400000000015</v>
      </c>
      <c r="D46" s="11">
        <f t="shared" si="32"/>
        <v>8.0579853466970306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258.96999214994213</v>
      </c>
      <c r="H46" s="67">
        <f t="shared" si="1"/>
        <v>351.763437812164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</v>
      </c>
      <c r="N46" s="13">
        <f>IF('Données projet'!$A$36&gt;35,N45+M46-V45,IF(A46&lt;'Données projet'!$A$36,$K$205^A46,IF(A46='Données projet'!$A$36,'Données projet'!$B$36,N45+M46-V45)))</f>
        <v>181.20000000000002</v>
      </c>
      <c r="O46" s="13">
        <f>N46*VLOOKUP('Données projet'!$B$9,Paramètres!$A$1:$I$89,3,0)*VLOOKUP('Données projet'!$B$9,Paramètres!$A$1:$I$89,5,0)</f>
        <v>163.94976</v>
      </c>
      <c r="P46" s="13">
        <f t="shared" si="33"/>
        <v>41.732126457893308</v>
      </c>
      <c r="Q46" s="20">
        <f t="shared" si="53"/>
        <v>358.22928558083089</v>
      </c>
      <c r="R46" s="59">
        <f t="shared" si="0"/>
        <v>651.5626189141642</v>
      </c>
      <c r="S46" s="59">
        <f ca="1">AVERAGE(OFFSET($R$3,0,0,'Données projet'!$E$9+1,1))-AVERAGE(OFFSET($H$3,0,0,'Données projet'!$E$9+1,1))</f>
        <v>330.30341204367602</v>
      </c>
      <c r="T46" s="59">
        <f t="shared" si="34"/>
        <v>200.36653694091007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8.6505463281707886</v>
      </c>
      <c r="AA46" s="21">
        <f>EXP(-LN(2)/25)*AA45+(1-EXP(-LN(2)/25))/(LN(2)/25)*Calculateur!V46*Calculateur!X46*VLOOKUP('Données projet'!$B$9,Paramètres!$A$1:$I$89,3,0)*0.475*44/12</f>
        <v>1.6517665646772624</v>
      </c>
      <c r="AB46" s="21">
        <f>EXP(-LN(2)/2)*AB45+(1-EXP(-LN(2)/2))/(LN(2)/2)*V46*Y46*VLOOKUP('Données projet'!$B$9,Paramètres!$A$1:$I$89,3,0)*0.475*44/12</f>
        <v>1.1934252660594578</v>
      </c>
      <c r="AC46" s="22">
        <f t="shared" si="3"/>
        <v>11.495738158907509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33.5</v>
      </c>
      <c r="AI46" s="13">
        <f>IF('Données projet'!$A$62&gt;35,AI45+AH46-AQ45,IF(A46&lt;'Données projet'!$A$62,$AF$205^A46,IF(A46='Données projet'!$A$62,'Données projet'!$B$62,AI45+AH46-AQ45)))</f>
        <v>614.5</v>
      </c>
      <c r="AJ46" s="13">
        <f>AI46*VLOOKUP('Données projet'!$B$10,Paramètres!$A$1:$I$89,3,0)*VLOOKUP('Données projet'!$B$10,Paramètres!$A$1:$I$89,5,0)</f>
        <v>367.47100000000006</v>
      </c>
      <c r="AK46" s="13">
        <f t="shared" si="35"/>
        <v>85.149709489407911</v>
      </c>
      <c r="AL46" s="20">
        <f t="shared" si="4"/>
        <v>788.31440236071887</v>
      </c>
      <c r="AM46" s="59">
        <f t="shared" si="5"/>
        <v>1081.6477356940522</v>
      </c>
      <c r="AN46" s="59">
        <f ca="1">AVERAGE(OFFSET($AM$3,0,0,'Données projet'!$E$10+1,1))-AVERAGE(OFFSET($H$3,0,0,'Données projet'!$E$10+1,1))</f>
        <v>465.77577582457678</v>
      </c>
      <c r="AO46" s="59">
        <f t="shared" si="36"/>
        <v>301.15495784503042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27.143503866746705</v>
      </c>
      <c r="AV46" s="21">
        <f>EXP(-LN(2)/25)*AV45+(1-EXP(-LN(2)/25))/(LN(2)/25)*Calculateur!AQ46*Calculateur!AS46*VLOOKUP('Données projet'!$B$10,Paramètres!$A$1:$I$89,3,0)*0.475*44/12</f>
        <v>22.125822047738357</v>
      </c>
      <c r="AW46" s="21">
        <f>EXP(-LN(2)/2)*AW45+(1-EXP(-LN(2)/2))/(LN(2)/2)*AQ46*AT46*VLOOKUP('Données projet'!$B$10,Paramètres!$A$1:$I$89,3,0)*0.475*44/12</f>
        <v>1.0984114936666938</v>
      </c>
      <c r="AX46" s="21">
        <f t="shared" si="6"/>
        <v>50.367737408151761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10.8</v>
      </c>
      <c r="BD46" s="12">
        <f>IF('Données projet'!$A$88&gt;35,BD45+BC46-BL45,IF(A46&lt;'Données projet'!$A$88,$BA$205^A46,IF(A46='Données projet'!$A$88,'Données projet'!$B$88,BD45+BC46-BL45)))</f>
        <v>241.40000000000009</v>
      </c>
      <c r="BE46" s="13">
        <f>BD46*VLOOKUP('Données projet'!$B$11,Paramètres!$A$1:$I$89,3,0)*VLOOKUP('Données projet'!$B$11,Paramètres!$A$1:$I$89,5,0)</f>
        <v>188.29200000000009</v>
      </c>
      <c r="BF46" s="13">
        <f t="shared" si="37"/>
        <v>47.162140074549271</v>
      </c>
      <c r="BG46" s="20">
        <f t="shared" si="7"/>
        <v>410.0826272965067</v>
      </c>
      <c r="BH46" s="59">
        <f t="shared" si="8"/>
        <v>703.41596062984001</v>
      </c>
      <c r="BI46" s="59">
        <f ca="1">AVERAGE(OFFSET($BH$3,0,0,'Données projet'!$E$11+1,1))-AVERAGE(OFFSET($H$3,0,0,'Données projet'!$E$11+1,1))</f>
        <v>219.5868031007679</v>
      </c>
      <c r="BJ46" s="59">
        <f t="shared" si="38"/>
        <v>263.3830219837742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13.474782480892062</v>
      </c>
      <c r="BQ46" s="21">
        <f>EXP(-LN(2)/25)*BQ45+(1-EXP(-LN(2)/25))/(LN(2)/25)*Calculateur!BL46*Calculateur!BN46*VLOOKUP('Données projet'!$B$11,Paramètres!$A$1:$I$89,3,0)*0.475*44/12</f>
        <v>2.5378057023546932</v>
      </c>
      <c r="BR46" s="21">
        <f>EXP(-LN(2)/2)*BR45+(1-EXP(-LN(2)/2))/(LN(2)/2)*BL46*BO46*VLOOKUP('Données projet'!$B$11,Paramètres!$A$1:$I$89,3,0)*0.475*44/12</f>
        <v>1.4770895211805843</v>
      </c>
      <c r="BS46" s="22">
        <f t="shared" si="9"/>
        <v>17.48967770442734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11.4</v>
      </c>
      <c r="BY46" s="12">
        <f>IF('Données projet'!$A$114&gt;35,BY45+BX46-CG45,IF(A46&lt;'Données projet'!$A$114,$BV$205^A46,IF(A46='Données projet'!$A$114,'Données projet'!$B$114,BY45+BX46-CG45)))</f>
        <v>210.20000000000005</v>
      </c>
      <c r="BZ46" s="13">
        <f>BY46*VLOOKUP('Données projet'!$B$12,Paramètres!$A$1:$I$89,3,0)*VLOOKUP('Données projet'!$B$12,Paramètres!$A$1:$I$89,5,0)</f>
        <v>226.25928000000002</v>
      </c>
      <c r="CA46" s="13">
        <f t="shared" si="39"/>
        <v>55.473080123973155</v>
      </c>
      <c r="CB46" s="20">
        <f t="shared" si="10"/>
        <v>490.68386054925332</v>
      </c>
      <c r="CC46" s="59">
        <f t="shared" si="11"/>
        <v>784.01719388258664</v>
      </c>
      <c r="CD46" s="59">
        <f ca="1">AVERAGE(OFFSET($CC$3,0,0,'Données projet'!$E$12+1,1))-AVERAGE(OFFSET($H$3,0,0,'Données projet'!$E$12+1,1))</f>
        <v>244.7364260963538</v>
      </c>
      <c r="CE46" s="59">
        <f t="shared" si="40"/>
        <v>270.32853612539299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13.609919398527245</v>
      </c>
      <c r="CL46" s="21">
        <f>EXP(-LN(2)/25)*CL45+(1-EXP(-LN(2)/25))/(LN(2)/25)*Calculateur!CG46*Calculateur!CI46*VLOOKUP('Données projet'!$B$12,Paramètres!$A$1:$I$89,3,0)*0.475*44/12</f>
        <v>2.6030550320154804</v>
      </c>
      <c r="CM46" s="21">
        <f>EXP(-LN(2)/2)*CM45+(1-EXP(-LN(2)/2))/(LN(2)/2)*CG46*CJ46*VLOOKUP('Données projet'!$B$12,Paramètres!$A$1:$I$89,3,0)*0.475*44/12</f>
        <v>1.9806282281962859</v>
      </c>
      <c r="CN46" s="22">
        <f t="shared" si="12"/>
        <v>18.19360265873901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11.4</v>
      </c>
      <c r="CT46" s="12">
        <f>IF('Données projet'!$A$140&gt;35,CT45+CS46-DB45,IF(A46&lt;'Données projet'!$A$140,$CQ$205^A46,IF(A46='Données projet'!$A$140,'Données projet'!$B$140,CT45+CS46-DB45)))</f>
        <v>210.20000000000005</v>
      </c>
      <c r="CU46" s="17">
        <f>CT46*VLOOKUP('Données projet'!$B$13,Paramètres!$A$1:$I$89,3,0)*VLOOKUP('Données projet'!$B$13,Paramètres!$A$1:$I$89,5,0)</f>
        <v>203.30544000000006</v>
      </c>
      <c r="CV46" s="13">
        <f t="shared" si="41"/>
        <v>50.469908905835965</v>
      </c>
      <c r="CW46" s="20">
        <f t="shared" si="13"/>
        <v>441.9920660109978</v>
      </c>
      <c r="CX46" s="59">
        <f t="shared" si="14"/>
        <v>735.32539934433112</v>
      </c>
      <c r="CY46" s="59">
        <f ca="1">AVERAGE(OFFSET($CX$3,0,0,'Données projet'!$E$13+1,1))-AVERAGE(OFFSET($H$3,0,0,'Données projet'!$E$13+1,1))</f>
        <v>216.39536568500222</v>
      </c>
      <c r="CZ46" s="59">
        <f t="shared" si="42"/>
        <v>239.44686980897467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12.22920293780709</v>
      </c>
      <c r="DG46" s="21">
        <f>EXP(-LN(2)/25)*DG45+(1-EXP(-LN(2)/25))/(LN(2)/25)*Calculateur!DB46*Calculateur!DD46*VLOOKUP('Données projet'!$B$13,Paramètres!$A$1:$I$89,3,0)*0.475*44/12</f>
        <v>2.3389769852892717</v>
      </c>
      <c r="DH46" s="21">
        <f>EXP(-LN(2)/2)*DH45+(1-EXP(-LN(2)/2))/(LN(2)/2)*DB46*DE46*VLOOKUP('Données projet'!$B$13,Paramètres!$A$1:$I$89,3,0)*0.475*44/12</f>
        <v>1.7796949296836193</v>
      </c>
      <c r="DI46" s="22">
        <f t="shared" si="15"/>
        <v>16.347874852779981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26.083200000000016</v>
      </c>
      <c r="D47" s="11">
        <f t="shared" si="32"/>
        <v>8.2233453782130113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264.82245555111814</v>
      </c>
      <c r="H47" s="67">
        <f t="shared" si="1"/>
        <v>353.08389986705436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</v>
      </c>
      <c r="N47" s="13">
        <f>IF('Données projet'!$A$36&gt;35,N46+M47-V46,IF(A47&lt;'Données projet'!$A$36,$K$205^A47,IF(A47='Données projet'!$A$36,'Données projet'!$B$36,N46+M47-V46)))</f>
        <v>192.60000000000002</v>
      </c>
      <c r="O47" s="13">
        <f>N47*VLOOKUP('Données projet'!$B$9,Paramètres!$A$1:$I$89,3,0)*VLOOKUP('Données projet'!$B$9,Paramètres!$A$1:$I$89,5,0)</f>
        <v>174.26447999999999</v>
      </c>
      <c r="P47" s="13">
        <f t="shared" si="33"/>
        <v>44.043743683739521</v>
      </c>
      <c r="Q47" s="20">
        <f t="shared" si="53"/>
        <v>380.22015624917964</v>
      </c>
      <c r="R47" s="59">
        <f t="shared" si="0"/>
        <v>673.55348958251295</v>
      </c>
      <c r="S47" s="59">
        <f ca="1">AVERAGE(OFFSET($R$3,0,0,'Données projet'!$E$9+1,1))-AVERAGE(OFFSET($H$3,0,0,'Données projet'!$E$9+1,1))</f>
        <v>330.30341204367602</v>
      </c>
      <c r="T47" s="59">
        <f t="shared" si="34"/>
        <v>200.36653694091007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8.4809143909876266</v>
      </c>
      <c r="AA47" s="21">
        <f>EXP(-LN(2)/25)*AA46+(1-EXP(-LN(2)/25))/(LN(2)/25)*Calculateur!V47*Calculateur!X47*VLOOKUP('Données projet'!$B$9,Paramètres!$A$1:$I$89,3,0)*0.475*44/12</f>
        <v>1.6065989211035341</v>
      </c>
      <c r="AB47" s="21">
        <f>EXP(-LN(2)/2)*AB46+(1-EXP(-LN(2)/2))/(LN(2)/2)*V47*Y47*VLOOKUP('Données projet'!$B$9,Paramètres!$A$1:$I$89,3,0)*0.475*44/12</f>
        <v>0.84387909847000231</v>
      </c>
      <c r="AC47" s="22">
        <f t="shared" si="3"/>
        <v>10.931392410561164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648</v>
      </c>
      <c r="AG47" s="12">
        <f>VLOOKUP(A47,'Données projet'!$A$61:$I$81,9,0)</f>
        <v>33.5</v>
      </c>
      <c r="AH47" s="12">
        <f t="array" ref="AH47">INDEX(AG:AG,MIN(IF(ISNUMBER(AG47:AG243),ROW(AG47:AG243),"")))</f>
        <v>33.5</v>
      </c>
      <c r="AI47" s="13">
        <f>IF('Données projet'!$A$62&gt;35,AI46+AH47-AQ46,IF(A47&lt;'Données projet'!$A$62,$AF$205^A47,IF(A47='Données projet'!$A$62,'Données projet'!$B$62,AI46+AH47-AQ46)))</f>
        <v>648</v>
      </c>
      <c r="AJ47" s="13">
        <f>AI47*VLOOKUP('Données projet'!$B$10,Paramètres!$A$1:$I$89,3,0)*VLOOKUP('Données projet'!$B$10,Paramètres!$A$1:$I$89,5,0)</f>
        <v>387.50400000000008</v>
      </c>
      <c r="AK47" s="13">
        <f t="shared" si="35"/>
        <v>89.238632444486498</v>
      </c>
      <c r="AL47" s="20">
        <f t="shared" si="4"/>
        <v>830.32675150748071</v>
      </c>
      <c r="AM47" s="59">
        <f t="shared" si="5"/>
        <v>1123.6600848408141</v>
      </c>
      <c r="AN47" s="59">
        <f ca="1">AVERAGE(OFFSET($AM$3,0,0,'Données projet'!$E$10+1,1))-AVERAGE(OFFSET($H$3,0,0,'Données projet'!$E$10+1,1))</f>
        <v>465.77577582457678</v>
      </c>
      <c r="AO47" s="59">
        <f t="shared" si="36"/>
        <v>301.15495784503042</v>
      </c>
      <c r="AP47" s="15">
        <f>IF(ISNA(VLOOKUP(A47,'Données projet'!$A$61:$I$81,3,0)),0,VLOOKUP(A47,'Données projet'!$A$61:$I$81,3,0))</f>
        <v>5</v>
      </c>
      <c r="AQ47" s="15">
        <f>IF(ISNA(VLOOKUP(A47,'Données projet'!$A$61:$I$81,4,0)),0,VLOOKUP(A47,'Données projet'!$A$61:$I$81,4,0))</f>
        <v>88</v>
      </c>
      <c r="AR47" s="16">
        <f>IF(ISNA(VLOOKUP(A47,'Données projet'!$A$61:$I$81,5,0)),0%,VLOOKUP(A47,'Données projet'!$A$61:$I$81,5,0)*VLOOKUP('Données projet'!$B$10,Paramètres!$A$1:$I$89,7,0))</f>
        <v>0.22500000000000001</v>
      </c>
      <c r="AS47" s="16">
        <f>IF(ISNA(VLOOKUP(A47,'Données projet'!$A$61:$I$81,6,0)),0%,VLOOKUP(A47,'Données projet'!$A$61:$I$81,6,0)*VLOOKUP('Données projet'!$B$10,Paramètres!$A$1:$I$89,7,0))</f>
        <v>0.13500000000000001</v>
      </c>
      <c r="AT47" s="16">
        <f>IF(ISNA(VLOOKUP(A47,'Données projet'!$A$61:$I$81,7,0)),0%,VLOOKUP(A47,'Données projet'!$A$61:$I$81,7,0))</f>
        <v>0.2</v>
      </c>
      <c r="AU47" s="21">
        <f>EXP(-LN(2)/35)*AU46+(1-EXP(-LN(2)/35))/(LN(2)/35)*AQ47*AR47*VLOOKUP('Données projet'!$B$10,Paramètres!$A$1:$I$89,3,0)*0.475*44/12</f>
        <v>42.318290090008738</v>
      </c>
      <c r="AV47" s="21">
        <f>EXP(-LN(2)/25)*AV46+(1-EXP(-LN(2)/25))/(LN(2)/25)*Calculateur!AQ47*Calculateur!AS47*VLOOKUP('Données projet'!$B$10,Paramètres!$A$1:$I$89,3,0)*0.475*44/12</f>
        <v>30.907915753859491</v>
      </c>
      <c r="AW47" s="21">
        <f>EXP(-LN(2)/2)*AW46+(1-EXP(-LN(2)/2))/(LN(2)/2)*AQ47*AT47*VLOOKUP('Données projet'!$B$10,Paramètres!$A$1:$I$89,3,0)*0.475*44/12</f>
        <v>12.693212700711513</v>
      </c>
      <c r="AX47" s="21">
        <f t="shared" si="6"/>
        <v>85.919418544579742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10.8</v>
      </c>
      <c r="BD47" s="12">
        <f>IF('Données projet'!$A$88&gt;35,BD46+BC47-BL46,IF(A47&lt;'Données projet'!$A$88,$BA$205^A47,IF(A47='Données projet'!$A$88,'Données projet'!$B$88,BD46+BC47-BL46)))</f>
        <v>252.2000000000001</v>
      </c>
      <c r="BE47" s="13">
        <f>BD47*VLOOKUP('Données projet'!$B$11,Paramètres!$A$1:$I$89,3,0)*VLOOKUP('Données projet'!$B$11,Paramètres!$A$1:$I$89,5,0)</f>
        <v>196.71600000000009</v>
      </c>
      <c r="BF47" s="13">
        <f t="shared" si="37"/>
        <v>49.021749959730052</v>
      </c>
      <c r="BG47" s="20">
        <f t="shared" si="7"/>
        <v>427.99324784652998</v>
      </c>
      <c r="BH47" s="59">
        <f t="shared" si="8"/>
        <v>721.3265811798633</v>
      </c>
      <c r="BI47" s="59">
        <f ca="1">AVERAGE(OFFSET($BH$3,0,0,'Données projet'!$E$11+1,1))-AVERAGE(OFFSET($H$3,0,0,'Données projet'!$E$11+1,1))</f>
        <v>219.5868031007679</v>
      </c>
      <c r="BJ47" s="59">
        <f t="shared" si="38"/>
        <v>263.3830219837742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13.210550215247542</v>
      </c>
      <c r="BQ47" s="21">
        <f>EXP(-LN(2)/25)*BQ46+(1-EXP(-LN(2)/25))/(LN(2)/25)*Calculateur!BL47*Calculateur!BN47*VLOOKUP('Données projet'!$B$11,Paramètres!$A$1:$I$89,3,0)*0.475*44/12</f>
        <v>2.4684092719664026</v>
      </c>
      <c r="BR47" s="21">
        <f>EXP(-LN(2)/2)*BR46+(1-EXP(-LN(2)/2))/(LN(2)/2)*BL47*BO47*VLOOKUP('Données projet'!$B$11,Paramètres!$A$1:$I$89,3,0)*0.475*44/12</f>
        <v>1.0444600168463818</v>
      </c>
      <c r="BS47" s="22">
        <f t="shared" si="9"/>
        <v>16.723419504060328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11.4</v>
      </c>
      <c r="BY47" s="12">
        <f>IF('Données projet'!$A$114&gt;35,BY46+BX47-CG46,IF(A47&lt;'Données projet'!$A$114,$BV$205^A47,IF(A47='Données projet'!$A$114,'Données projet'!$B$114,BY46+BX47-CG46)))</f>
        <v>221.60000000000005</v>
      </c>
      <c r="BZ47" s="13">
        <f>BY47*VLOOKUP('Données projet'!$B$12,Paramètres!$A$1:$I$89,3,0)*VLOOKUP('Données projet'!$B$12,Paramètres!$A$1:$I$89,5,0)</f>
        <v>238.53024000000005</v>
      </c>
      <c r="CA47" s="13">
        <f t="shared" si="39"/>
        <v>58.123191492478597</v>
      </c>
      <c r="CB47" s="20">
        <f t="shared" si="10"/>
        <v>516.6713931827336</v>
      </c>
      <c r="CC47" s="59">
        <f t="shared" si="11"/>
        <v>810.00472651606697</v>
      </c>
      <c r="CD47" s="59">
        <f ca="1">AVERAGE(OFFSET($CC$3,0,0,'Données projet'!$E$12+1,1))-AVERAGE(OFFSET($H$3,0,0,'Données projet'!$E$12+1,1))</f>
        <v>244.7364260963538</v>
      </c>
      <c r="CE47" s="59">
        <f t="shared" si="40"/>
        <v>270.32853612539299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13.34303718035328</v>
      </c>
      <c r="CL47" s="21">
        <f>EXP(-LN(2)/25)*CL46+(1-EXP(-LN(2)/25))/(LN(2)/25)*Calculateur!CG47*Calculateur!CI47*VLOOKUP('Données projet'!$B$12,Paramètres!$A$1:$I$89,3,0)*0.475*44/12</f>
        <v>2.5318743552763023</v>
      </c>
      <c r="CM47" s="21">
        <f>EXP(-LN(2)/2)*CM46+(1-EXP(-LN(2)/2))/(LN(2)/2)*CG47*CJ47*VLOOKUP('Données projet'!$B$12,Paramètres!$A$1:$I$89,3,0)*0.475*44/12</f>
        <v>1.4005156511670906</v>
      </c>
      <c r="CN47" s="22">
        <f t="shared" si="12"/>
        <v>17.275427186796673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11.4</v>
      </c>
      <c r="CT47" s="12">
        <f>IF('Données projet'!$A$140&gt;35,CT46+CS47-DB46,IF(A47&lt;'Données projet'!$A$140,$CQ$205^A47,IF(A47='Données projet'!$A$140,'Données projet'!$B$140,CT46+CS47-DB46)))</f>
        <v>221.60000000000005</v>
      </c>
      <c r="CU47" s="17">
        <f>CT47*VLOOKUP('Données projet'!$B$13,Paramètres!$A$1:$I$89,3,0)*VLOOKUP('Données projet'!$B$13,Paramètres!$A$1:$I$89,5,0)</f>
        <v>214.33152000000004</v>
      </c>
      <c r="CV47" s="13">
        <f t="shared" si="41"/>
        <v>52.881004144461244</v>
      </c>
      <c r="CW47" s="20">
        <f t="shared" si="13"/>
        <v>465.39514621826999</v>
      </c>
      <c r="CX47" s="59">
        <f t="shared" si="14"/>
        <v>758.7284795516033</v>
      </c>
      <c r="CY47" s="59">
        <f ca="1">AVERAGE(OFFSET($CX$3,0,0,'Données projet'!$E$13+1,1))-AVERAGE(OFFSET($H$3,0,0,'Données projet'!$E$13+1,1))</f>
        <v>216.39536568500222</v>
      </c>
      <c r="CZ47" s="59">
        <f t="shared" si="42"/>
        <v>239.44686980897467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11.989395727273962</v>
      </c>
      <c r="DG47" s="21">
        <f>EXP(-LN(2)/25)*DG46+(1-EXP(-LN(2)/25))/(LN(2)/25)*Calculateur!DB47*Calculateur!DD47*VLOOKUP('Données projet'!$B$13,Paramètres!$A$1:$I$89,3,0)*0.475*44/12</f>
        <v>2.2750175366250827</v>
      </c>
      <c r="DH47" s="21">
        <f>EXP(-LN(2)/2)*DH46+(1-EXP(-LN(2)/2))/(LN(2)/2)*DB47*DE47*VLOOKUP('Données projet'!$B$13,Paramètres!$A$1:$I$89,3,0)*0.475*44/12</f>
        <v>1.2584343532226032</v>
      </c>
      <c r="DI47" s="22">
        <f t="shared" si="15"/>
        <v>15.522847617121647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26.676000000000016</v>
      </c>
      <c r="D48" s="11">
        <f t="shared" si="32"/>
        <v>8.3882684956477913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270.67154628219362</v>
      </c>
      <c r="H48" s="67">
        <f t="shared" si="1"/>
        <v>354.40360096325321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204</v>
      </c>
      <c r="L48" s="12">
        <f>VLOOKUP(A48,'Données projet'!$A$35:$I$55,9,0)</f>
        <v>11.4</v>
      </c>
      <c r="M48" s="12">
        <f t="array" ref="M48">INDEX(L:L,MIN(IF(ISNUMBER(L48:L244),ROW(L48:L244),"")))</f>
        <v>11.4</v>
      </c>
      <c r="N48" s="13">
        <f>IF('Données projet'!$A$36&gt;35,N47+M48-V47,IF(A48&lt;'Données projet'!$A$36,$K$205^A48,IF(A48='Données projet'!$A$36,'Données projet'!$B$36,N47+M48-V47)))</f>
        <v>204.00000000000003</v>
      </c>
      <c r="O48" s="13">
        <f>N48*VLOOKUP('Données projet'!$B$9,Paramètres!$A$1:$I$89,3,0)*VLOOKUP('Données projet'!$B$9,Paramètres!$A$1:$I$89,5,0)</f>
        <v>184.57920000000001</v>
      </c>
      <c r="P48" s="13">
        <f t="shared" si="33"/>
        <v>46.339479465836661</v>
      </c>
      <c r="Q48" s="20">
        <f t="shared" si="53"/>
        <v>402.18336673633218</v>
      </c>
      <c r="R48" s="59">
        <f t="shared" si="0"/>
        <v>695.51670006966549</v>
      </c>
      <c r="S48" s="59">
        <f ca="1">AVERAGE(OFFSET($R$3,0,0,'Données projet'!$E$9+1,1))-AVERAGE(OFFSET($H$3,0,0,'Données projet'!$E$9+1,1))</f>
        <v>330.30341204367602</v>
      </c>
      <c r="T48" s="59">
        <f t="shared" si="34"/>
        <v>200.36653694091007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28</v>
      </c>
      <c r="W48" s="16">
        <f>IF(ISNA(VLOOKUP(A48,'Données projet'!$A$35:$I$55,5,0)),0%,VLOOKUP(A48,'Données projet'!$A$35:$I$55,5,0)*VLOOKUP('Données projet'!$B$9,Paramètres!$A$1:$I$89,7,0))</f>
        <v>0.25800000000000001</v>
      </c>
      <c r="X48" s="16">
        <f>IF(ISNA(VLOOKUP(A48,'Données projet'!$A$35:$I$55,6,0)),0%,VLOOKUP(A48,'Données projet'!$A$35:$I$55,6,0)*VLOOKUP('Données projet'!$B$9,Paramètres!$A$1:$I$89,7,0))</f>
        <v>1.72E-2</v>
      </c>
      <c r="Y48" s="16">
        <f>IF(ISNA(VLOOKUP(A48,'Données projet'!$A$35:$I$55,7,0)),0%,VLOOKUP(A48,'Données projet'!$A$35:$I$55,7,0))</f>
        <v>0.06</v>
      </c>
      <c r="Z48" s="21">
        <f>EXP(-LN(2)/35)*Z47+(1-EXP(-LN(2)/35))/(LN(2)/35)*V48*W48*VLOOKUP('Données projet'!$B$9,Paramètres!$A$1:$I$89,3,0)*0.475*44/12</f>
        <v>15.54026745870317</v>
      </c>
      <c r="AA48" s="21">
        <f>EXP(-LN(2)/25)*AA47+(1-EXP(-LN(2)/25))/(LN(2)/25)*Calculateur!V48*Calculateur!X48*VLOOKUP('Données projet'!$B$9,Paramètres!$A$1:$I$89,3,0)*0.475*44/12</f>
        <v>2.0424802861101368</v>
      </c>
      <c r="AB48" s="21">
        <f>EXP(-LN(2)/2)*AB47+(1-EXP(-LN(2)/2))/(LN(2)/2)*V48*Y48*VLOOKUP('Données projet'!$B$9,Paramètres!$A$1:$I$89,3,0)*0.475*44/12</f>
        <v>2.0309339289524537</v>
      </c>
      <c r="AC48" s="22">
        <f t="shared" si="3"/>
        <v>19.613681673765761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30.4</v>
      </c>
      <c r="AI48" s="13">
        <f>IF('Données projet'!$A$62&gt;35,AI47+AH48-AQ47,IF(A48&lt;'Données projet'!$A$62,$AF$205^A48,IF(A48='Données projet'!$A$62,'Données projet'!$B$62,AI47+AH48-AQ47)))</f>
        <v>590.4</v>
      </c>
      <c r="AJ48" s="13">
        <f>AI48*VLOOKUP('Données projet'!$B$10,Paramètres!$A$1:$I$89,3,0)*VLOOKUP('Données projet'!$B$10,Paramètres!$A$1:$I$89,5,0)</f>
        <v>353.05920000000003</v>
      </c>
      <c r="AK48" s="13">
        <f t="shared" si="35"/>
        <v>82.192112885281944</v>
      </c>
      <c r="AL48" s="20">
        <f t="shared" si="4"/>
        <v>758.06270327519951</v>
      </c>
      <c r="AM48" s="59">
        <f t="shared" si="5"/>
        <v>1051.3960366085328</v>
      </c>
      <c r="AN48" s="59">
        <f ca="1">AVERAGE(OFFSET($AM$3,0,0,'Données projet'!$E$10+1,1))-AVERAGE(OFFSET($H$3,0,0,'Données projet'!$E$10+1,1))</f>
        <v>465.77577582457678</v>
      </c>
      <c r="AO48" s="59">
        <f t="shared" si="36"/>
        <v>301.15495784503042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41.488454232951938</v>
      </c>
      <c r="AV48" s="21">
        <f>EXP(-LN(2)/25)*AV47+(1-EXP(-LN(2)/25))/(LN(2)/25)*Calculateur!AQ48*Calculateur!AS48*VLOOKUP('Données projet'!$B$10,Paramètres!$A$1:$I$89,3,0)*0.475*44/12</f>
        <v>30.062737172193554</v>
      </c>
      <c r="AW48" s="21">
        <f>EXP(-LN(2)/2)*AW47+(1-EXP(-LN(2)/2))/(LN(2)/2)*AQ48*AT48*VLOOKUP('Données projet'!$B$10,Paramètres!$A$1:$I$89,3,0)*0.475*44/12</f>
        <v>8.9754567757163226</v>
      </c>
      <c r="AX48" s="21">
        <f t="shared" si="6"/>
        <v>80.526648180861812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263</v>
      </c>
      <c r="BB48" s="12">
        <f>VLOOKUP(A48,'Données projet'!$A$87:$I$107,9,0)</f>
        <v>10.8</v>
      </c>
      <c r="BC48" s="12">
        <f t="array" ref="BC48">INDEX(BB:BB,MIN(IF(ISNUMBER(BB48:BB244),ROW(BB48:BB244),"")))</f>
        <v>10.8</v>
      </c>
      <c r="BD48" s="12">
        <f>IF('Données projet'!$A$88&gt;35,BD47+BC48-BL47,IF(A48&lt;'Données projet'!$A$88,$BA$205^A48,IF(A48='Données projet'!$A$88,'Données projet'!$B$88,BD47+BC48-BL47)))</f>
        <v>263.00000000000011</v>
      </c>
      <c r="BE48" s="13">
        <f>BD48*VLOOKUP('Données projet'!$B$11,Paramètres!$A$1:$I$89,3,0)*VLOOKUP('Données projet'!$B$11,Paramètres!$A$1:$I$89,5,0)</f>
        <v>205.1400000000001</v>
      </c>
      <c r="BF48" s="13">
        <f t="shared" si="37"/>
        <v>50.872110483472362</v>
      </c>
      <c r="BG48" s="20">
        <f t="shared" si="7"/>
        <v>445.88775909204782</v>
      </c>
      <c r="BH48" s="59">
        <f t="shared" si="8"/>
        <v>739.22109242538113</v>
      </c>
      <c r="BI48" s="59">
        <f ca="1">AVERAGE(OFFSET($BH$3,0,0,'Données projet'!$E$11+1,1))-AVERAGE(OFFSET($H$3,0,0,'Données projet'!$E$11+1,1))</f>
        <v>219.5868031007679</v>
      </c>
      <c r="BJ48" s="59">
        <f t="shared" si="38"/>
        <v>263.3830219837742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36</v>
      </c>
      <c r="BM48" s="16">
        <f>IF(ISNA(VLOOKUP(A48,'Données projet'!$A$87:$I$107,5,0)),0%,VLOOKUP(A48,'Données projet'!$A$87:$I$107,5,0)*VLOOKUP('Données projet'!$B$11,Paramètres!$A$1:$I$89,7,0))</f>
        <v>0.215</v>
      </c>
      <c r="BN48" s="16">
        <f>IF(ISNA(VLOOKUP(A48,'Données projet'!$A$87:$I$107,6,0)),0%,VLOOKUP(A48,'Données projet'!$A$87:$I$107,6,0)*VLOOKUP('Données projet'!$B$11,Paramètres!$A$1:$I$89,7,0))</f>
        <v>4.3000000000000003E-2</v>
      </c>
      <c r="BO48" s="16">
        <f>IF(ISNA(VLOOKUP(A48,'Données projet'!$A$87:$I$107,7,0)),0%,VLOOKUP(A48,'Données projet'!$A$87:$I$107,7,0))</f>
        <v>0.15</v>
      </c>
      <c r="BP48" s="21">
        <f>EXP(-LN(2)/35)*BP47+(1-EXP(-LN(2)/35))/(LN(2)/35)*BL48*BM48*VLOOKUP('Données projet'!$B$11,Paramètres!$A$1:$I$89,3,0)*0.475*44/12</f>
        <v>19.625445158482869</v>
      </c>
      <c r="BQ48" s="21">
        <f>EXP(-LN(2)/25)*BQ47+(1-EXP(-LN(2)/25))/(LN(2)/25)*Calculateur!BL48*Calculateur!BN48*VLOOKUP('Données projet'!$B$11,Paramètres!$A$1:$I$89,3,0)*0.475*44/12</f>
        <v>3.7304440721817196</v>
      </c>
      <c r="BR48" s="21">
        <f>EXP(-LN(2)/2)*BR47+(1-EXP(-LN(2)/2))/(LN(2)/2)*BL48*BO48*VLOOKUP('Données projet'!$B$11,Paramètres!$A$1:$I$89,3,0)*0.475*44/12</f>
        <v>4.7126801249081876</v>
      </c>
      <c r="BS48" s="22">
        <f t="shared" si="9"/>
        <v>28.068569355572777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233</v>
      </c>
      <c r="BW48" s="12">
        <f>VLOOKUP(A48,'Données projet'!$A$113:$I$133,9,0)</f>
        <v>11.4</v>
      </c>
      <c r="BX48" s="12">
        <f t="array" ref="BX48">INDEX(BW:BW,MIN(IF(ISNUMBER(BW48:BW244),ROW(BW48:BW244),"")))</f>
        <v>11.4</v>
      </c>
      <c r="BY48" s="12">
        <f>IF('Données projet'!$A$114&gt;35,BY47+BX48-CG47,IF(A48&lt;'Données projet'!$A$114,$BV$205^A48,IF(A48='Données projet'!$A$114,'Données projet'!$B$114,BY47+BX48-CG47)))</f>
        <v>233.00000000000006</v>
      </c>
      <c r="BZ48" s="13">
        <f>BY48*VLOOKUP('Données projet'!$B$12,Paramètres!$A$1:$I$89,3,0)*VLOOKUP('Données projet'!$B$12,Paramètres!$A$1:$I$89,5,0)</f>
        <v>250.80120000000008</v>
      </c>
      <c r="CA48" s="13">
        <f t="shared" si="39"/>
        <v>60.757473811682686</v>
      </c>
      <c r="CB48" s="20">
        <f t="shared" si="10"/>
        <v>542.63135688868078</v>
      </c>
      <c r="CC48" s="59">
        <f t="shared" si="11"/>
        <v>835.96469022201404</v>
      </c>
      <c r="CD48" s="59">
        <f ca="1">AVERAGE(OFFSET($CC$3,0,0,'Données projet'!$E$12+1,1))-AVERAGE(OFFSET($H$3,0,0,'Données projet'!$E$12+1,1))</f>
        <v>244.7364260963538</v>
      </c>
      <c r="CE48" s="59">
        <f t="shared" si="40"/>
        <v>270.32853612539299</v>
      </c>
      <c r="CF48" s="15">
        <f>IF(ISNA(VLOOKUP(A48,'Données projet'!$A$113:$I$133,3,0)),0,VLOOKUP(A48,'Données projet'!$A$113:$I$133,3,0))</f>
        <v>5</v>
      </c>
      <c r="CG48" s="15">
        <f>IF(ISNA(VLOOKUP(A48,'Données projet'!$A$113:$I$133,4,0)),0,VLOOKUP(A48,'Données projet'!$A$113:$I$133,4,0))</f>
        <v>31</v>
      </c>
      <c r="CH48" s="16">
        <f>IF(ISNA(VLOOKUP(A48,'Données projet'!$A$113:$I$133,5,0)),0%,VLOOKUP(A48,'Données projet'!$A$113:$I$133,5,0)*VLOOKUP('Données projet'!$B$12,Paramètres!$A$1:$I$89,7,0))</f>
        <v>0.215</v>
      </c>
      <c r="CI48" s="16">
        <f>IF(ISNA(VLOOKUP(A48,'Données projet'!$A$113:$I$133,6,0)),0%,VLOOKUP(A48,'Données projet'!$A$113:$I$133,6,0)*VLOOKUP('Données projet'!$B$12,Paramètres!$A$1:$I$89,7,0))</f>
        <v>4.3000000000000003E-2</v>
      </c>
      <c r="CJ48" s="16">
        <f>IF(ISNA(VLOOKUP(A48,'Données projet'!$A$113:$I$133,7,0)),0%,VLOOKUP(A48,'Données projet'!$A$113:$I$133,7,0))</f>
        <v>0.15</v>
      </c>
      <c r="CK48" s="21">
        <f>EXP(-LN(2)/35)*CK47+(1-EXP(-LN(2)/35))/(LN(2)/35)*CG48*CH48*VLOOKUP('Données projet'!$B$12,Paramètres!$A$1:$I$89,3,0)*0.475*44/12</f>
        <v>21.012260589363194</v>
      </c>
      <c r="CL48" s="21">
        <f>EXP(-LN(2)/25)*CL47+(1-EXP(-LN(2)/25))/(LN(2)/25)*Calculateur!CG48*Calculateur!CI48*VLOOKUP('Données projet'!$B$12,Paramètres!$A$1:$I$89,3,0)*0.475*44/12</f>
        <v>4.0425691906458132</v>
      </c>
      <c r="CM48" s="21">
        <f>EXP(-LN(2)/2)*CM47+(1-EXP(-LN(2)/2))/(LN(2)/2)*CG48*CJ48*VLOOKUP('Données projet'!$B$12,Paramètres!$A$1:$I$89,3,0)*0.475*44/12</f>
        <v>5.7129116386959069</v>
      </c>
      <c r="CN48" s="22">
        <f t="shared" si="12"/>
        <v>30.767741418704915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233</v>
      </c>
      <c r="CR48" s="12">
        <f>VLOOKUP(A48,'Données projet'!$A$139:$I$159,9,0)</f>
        <v>11.4</v>
      </c>
      <c r="CS48" s="12">
        <f t="array" ref="CS48">INDEX(CR:CR,MIN(IF(ISNUMBER(CR48:CR244),ROW(CR48:CR244),"")))</f>
        <v>11.4</v>
      </c>
      <c r="CT48" s="12">
        <f>IF('Données projet'!$A$140&gt;35,CT47+CS48-DB47,IF(A48&lt;'Données projet'!$A$140,$CQ$205^A48,IF(A48='Données projet'!$A$140,'Données projet'!$B$140,CT47+CS48-DB47)))</f>
        <v>233.00000000000006</v>
      </c>
      <c r="CU48" s="17">
        <f>CT48*VLOOKUP('Données projet'!$B$13,Paramètres!$A$1:$I$89,3,0)*VLOOKUP('Données projet'!$B$13,Paramètres!$A$1:$I$89,5,0)</f>
        <v>225.35760000000008</v>
      </c>
      <c r="CV48" s="13">
        <f t="shared" si="41"/>
        <v>55.277697971185205</v>
      </c>
      <c r="CW48" s="20">
        <f t="shared" si="13"/>
        <v>488.77314396648103</v>
      </c>
      <c r="CX48" s="59">
        <f t="shared" si="14"/>
        <v>782.10647729981429</v>
      </c>
      <c r="CY48" s="59">
        <f ca="1">AVERAGE(OFFSET($CX$3,0,0,'Données projet'!$E$13+1,1))-AVERAGE(OFFSET($H$3,0,0,'Données projet'!$E$13+1,1))</f>
        <v>216.39536568500222</v>
      </c>
      <c r="CZ48" s="59">
        <f t="shared" si="42"/>
        <v>239.44686980897467</v>
      </c>
      <c r="DA48" s="15">
        <f>IF(ISNA(VLOOKUP(A48,'Données projet'!$A$139:$I$159,3,0)),0,VLOOKUP(A48,'Données projet'!$A$139:$I$159,3,0))</f>
        <v>5</v>
      </c>
      <c r="DB48" s="15">
        <f>IF(ISNA(VLOOKUP(A48,'Données projet'!$A$139:$I$159,4,0)),0,VLOOKUP(A48,'Données projet'!$A$139:$I$159,4,0))</f>
        <v>31</v>
      </c>
      <c r="DC48" s="16">
        <f>IF(ISNA(VLOOKUP(A48,'Données projet'!$A$139:$I$159,5,0)),0%,VLOOKUP(A48,'Données projet'!$A$139:$I$159,5,0)*VLOOKUP('Données projet'!$B$13,Paramètres!$A$1:$I$89,7,0))</f>
        <v>0.215</v>
      </c>
      <c r="DD48" s="16">
        <f>IF(ISNA(VLOOKUP(A48,'Données projet'!$A$139:$I$159,6,0)),0%,VLOOKUP(A48,'Données projet'!$A$139:$I$159,6,0)*VLOOKUP('Données projet'!$B$13,Paramètres!$A$1:$I$89,7,0))</f>
        <v>4.3000000000000003E-2</v>
      </c>
      <c r="DE48" s="16">
        <f>IF(ISNA(VLOOKUP(A48,'Données projet'!$A$139:$I$159,7,0)),0%,VLOOKUP(A48,'Données projet'!$A$139:$I$159,7,0))</f>
        <v>0.15</v>
      </c>
      <c r="DF48" s="21">
        <f>EXP(-LN(2)/35)*DF47+(1-EXP(-LN(2)/35))/(LN(2)/35)*DB48*DC48*VLOOKUP('Données projet'!$B$13,Paramètres!$A$1:$I$89,3,0)*0.475*44/12</f>
        <v>18.880581978848088</v>
      </c>
      <c r="DG48" s="21">
        <f>EXP(-LN(2)/25)*DG47+(1-EXP(-LN(2)/25))/(LN(2)/25)*Calculateur!DB48*Calculateur!DD48*VLOOKUP('Données projet'!$B$13,Paramètres!$A$1:$I$89,3,0)*0.475*44/12</f>
        <v>3.6324534756527589</v>
      </c>
      <c r="DH48" s="21">
        <f>EXP(-LN(2)/2)*DH47+(1-EXP(-LN(2)/2))/(LN(2)/2)*DB48*DE48*VLOOKUP('Données projet'!$B$13,Paramètres!$A$1:$I$89,3,0)*0.475*44/12</f>
        <v>5.1333408927412512</v>
      </c>
      <c r="DI48" s="22">
        <f t="shared" si="15"/>
        <v>27.6463763472421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27.268800000000017</v>
      </c>
      <c r="D49" s="11">
        <f t="shared" si="32"/>
        <v>8.5527655261478337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276.51734792114132</v>
      </c>
      <c r="H49" s="67">
        <f t="shared" si="1"/>
        <v>355.72255995804085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</v>
      </c>
      <c r="N49" s="13">
        <f>IF('Données projet'!$A$36&gt;35,N48+M49-V48,IF(A49&lt;'Données projet'!$A$36,$K$205^A49,IF(A49='Données projet'!$A$36,'Données projet'!$B$36,N48+M49-V48)))</f>
        <v>187.00000000000003</v>
      </c>
      <c r="O49" s="13">
        <f>N49*VLOOKUP('Données projet'!$B$9,Paramètres!$A$1:$I$89,3,0)*VLOOKUP('Données projet'!$B$9,Paramètres!$A$1:$I$89,5,0)</f>
        <v>169.19760000000002</v>
      </c>
      <c r="P49" s="13">
        <f t="shared" si="33"/>
        <v>42.910263223432885</v>
      </c>
      <c r="Q49" s="20">
        <f t="shared" si="53"/>
        <v>369.42119511414558</v>
      </c>
      <c r="R49" s="59">
        <f t="shared" si="0"/>
        <v>662.75452844747883</v>
      </c>
      <c r="S49" s="59">
        <f ca="1">AVERAGE(OFFSET($R$3,0,0,'Données projet'!$E$9+1,1))-AVERAGE(OFFSET($H$3,0,0,'Données projet'!$E$9+1,1))</f>
        <v>330.30341204367602</v>
      </c>
      <c r="T49" s="59">
        <f t="shared" si="34"/>
        <v>200.36653694091007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15.235532292465214</v>
      </c>
      <c r="AA49" s="21">
        <f>EXP(-LN(2)/25)*AA48+(1-EXP(-LN(2)/25))/(LN(2)/25)*Calculateur!V49*Calculateur!X49*VLOOKUP('Données projet'!$B$9,Paramètres!$A$1:$I$89,3,0)*0.475*44/12</f>
        <v>1.986628555277085</v>
      </c>
      <c r="AB49" s="21">
        <f>EXP(-LN(2)/2)*AB48+(1-EXP(-LN(2)/2))/(LN(2)/2)*V49*Y49*VLOOKUP('Données projet'!$B$9,Paramètres!$A$1:$I$89,3,0)*0.475*44/12</f>
        <v>1.436087153304118</v>
      </c>
      <c r="AC49" s="22">
        <f t="shared" si="3"/>
        <v>18.658248001046417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30.4</v>
      </c>
      <c r="AI49" s="13">
        <f>IF('Données projet'!$A$62&gt;35,AI48+AH49-AQ48,IF(A49&lt;'Données projet'!$A$62,$AF$205^A49,IF(A49='Données projet'!$A$62,'Données projet'!$B$62,AI48+AH49-AQ48)))</f>
        <v>620.79999999999995</v>
      </c>
      <c r="AJ49" s="13">
        <f>AI49*VLOOKUP('Données projet'!$B$10,Paramètres!$A$1:$I$89,3,0)*VLOOKUP('Données projet'!$B$10,Paramètres!$A$1:$I$89,5,0)</f>
        <v>371.23840000000001</v>
      </c>
      <c r="AK49" s="13">
        <f t="shared" si="35"/>
        <v>85.92061173661925</v>
      </c>
      <c r="AL49" s="20">
        <f t="shared" si="4"/>
        <v>796.21861210794521</v>
      </c>
      <c r="AM49" s="59">
        <f t="shared" si="5"/>
        <v>1089.5519454412786</v>
      </c>
      <c r="AN49" s="59">
        <f ca="1">AVERAGE(OFFSET($AM$3,0,0,'Données projet'!$E$10+1,1))-AVERAGE(OFFSET($H$3,0,0,'Données projet'!$E$10+1,1))</f>
        <v>465.77577582457678</v>
      </c>
      <c r="AO49" s="59">
        <f t="shared" si="36"/>
        <v>301.15495784503042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40.674890950902125</v>
      </c>
      <c r="AV49" s="21">
        <f>EXP(-LN(2)/25)*AV48+(1-EXP(-LN(2)/25))/(LN(2)/25)*Calculateur!AQ49*Calculateur!AS49*VLOOKUP('Données projet'!$B$10,Paramètres!$A$1:$I$89,3,0)*0.475*44/12</f>
        <v>29.240670043289281</v>
      </c>
      <c r="AW49" s="21">
        <f>EXP(-LN(2)/2)*AW48+(1-EXP(-LN(2)/2))/(LN(2)/2)*AQ49*AT49*VLOOKUP('Données projet'!$B$10,Paramètres!$A$1:$I$89,3,0)*0.475*44/12</f>
        <v>6.3466063503557573</v>
      </c>
      <c r="AX49" s="21">
        <f t="shared" si="6"/>
        <v>76.262167344547166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11.2</v>
      </c>
      <c r="BD49" s="12">
        <f>IF('Données projet'!$A$88&gt;35,BD48+BC49-BL48,IF(A49&lt;'Données projet'!$A$88,$BA$205^A49,IF(A49='Données projet'!$A$88,'Données projet'!$B$88,BD48+BC49-BL48)))</f>
        <v>238.2000000000001</v>
      </c>
      <c r="BE49" s="13">
        <f>BD49*VLOOKUP('Données projet'!$B$11,Paramètres!$A$1:$I$89,3,0)*VLOOKUP('Données projet'!$B$11,Paramètres!$A$1:$I$89,5,0)</f>
        <v>185.79600000000008</v>
      </c>
      <c r="BF49" s="13">
        <f t="shared" si="37"/>
        <v>46.60930127448345</v>
      </c>
      <c r="BG49" s="20">
        <f t="shared" si="7"/>
        <v>404.7725663863921</v>
      </c>
      <c r="BH49" s="59">
        <f t="shared" si="8"/>
        <v>698.10589971972536</v>
      </c>
      <c r="BI49" s="59">
        <f ca="1">AVERAGE(OFFSET($BH$3,0,0,'Données projet'!$E$11+1,1))-AVERAGE(OFFSET($H$3,0,0,'Données projet'!$E$11+1,1))</f>
        <v>219.5868031007679</v>
      </c>
      <c r="BJ49" s="59">
        <f t="shared" si="38"/>
        <v>263.3830219837742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19.240602149264593</v>
      </c>
      <c r="BQ49" s="21">
        <f>EXP(-LN(2)/25)*BQ48+(1-EXP(-LN(2)/25))/(LN(2)/25)*Calculateur!BL49*Calculateur!BN49*VLOOKUP('Données projet'!$B$11,Paramètres!$A$1:$I$89,3,0)*0.475*44/12</f>
        <v>3.6284348828523827</v>
      </c>
      <c r="BR49" s="21">
        <f>EXP(-LN(2)/2)*BR48+(1-EXP(-LN(2)/2))/(LN(2)/2)*BL49*BO49*VLOOKUP('Données projet'!$B$11,Paramètres!$A$1:$I$89,3,0)*0.475*44/12</f>
        <v>3.3323680738856454</v>
      </c>
      <c r="BS49" s="22">
        <f t="shared" si="9"/>
        <v>26.201405106002621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10.199999999999999</v>
      </c>
      <c r="BY49" s="12">
        <f>IF('Données projet'!$A$114&gt;35,BY48+BX49-CG48,IF(A49&lt;'Données projet'!$A$114,$BV$205^A49,IF(A49='Données projet'!$A$114,'Données projet'!$B$114,BY48+BX49-CG48)))</f>
        <v>212.20000000000005</v>
      </c>
      <c r="BZ49" s="13">
        <f>BY49*VLOOKUP('Données projet'!$B$12,Paramètres!$A$1:$I$89,3,0)*VLOOKUP('Données projet'!$B$12,Paramètres!$A$1:$I$89,5,0)</f>
        <v>228.41208000000003</v>
      </c>
      <c r="CA49" s="13">
        <f t="shared" si="39"/>
        <v>55.939197785226767</v>
      </c>
      <c r="CB49" s="20">
        <f t="shared" si="10"/>
        <v>495.24514214260336</v>
      </c>
      <c r="CC49" s="59">
        <f t="shared" si="11"/>
        <v>788.57847547593667</v>
      </c>
      <c r="CD49" s="59">
        <f ca="1">AVERAGE(OFFSET($CC$3,0,0,'Données projet'!$E$12+1,1))-AVERAGE(OFFSET($H$3,0,0,'Données projet'!$E$12+1,1))</f>
        <v>244.7364260963538</v>
      </c>
      <c r="CE49" s="59">
        <f t="shared" si="40"/>
        <v>270.32853612539299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20.600222975419246</v>
      </c>
      <c r="CL49" s="21">
        <f>EXP(-LN(2)/25)*CL48+(1-EXP(-LN(2)/25))/(LN(2)/25)*Calculateur!CG49*Calculateur!CI49*VLOOKUP('Données projet'!$B$12,Paramètres!$A$1:$I$89,3,0)*0.475*44/12</f>
        <v>3.9320249235381293</v>
      </c>
      <c r="CM49" s="21">
        <f>EXP(-LN(2)/2)*CM48+(1-EXP(-LN(2)/2))/(LN(2)/2)*CG49*CJ49*VLOOKUP('Données projet'!$B$12,Paramètres!$A$1:$I$89,3,0)*0.475*44/12</f>
        <v>4.0396385600414275</v>
      </c>
      <c r="CN49" s="22">
        <f t="shared" si="12"/>
        <v>28.571886458998804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10.199999999999999</v>
      </c>
      <c r="CT49" s="12">
        <f>IF('Données projet'!$A$140&gt;35,CT48+CS49-DB48,IF(A49&lt;'Données projet'!$A$140,$CQ$205^A49,IF(A49='Données projet'!$A$140,'Données projet'!$B$140,CT48+CS49-DB48)))</f>
        <v>212.20000000000005</v>
      </c>
      <c r="CU49" s="17">
        <f>CT49*VLOOKUP('Données projet'!$B$13,Paramètres!$A$1:$I$89,3,0)*VLOOKUP('Données projet'!$B$13,Paramètres!$A$1:$I$89,5,0)</f>
        <v>205.23984000000004</v>
      </c>
      <c r="CV49" s="13">
        <f t="shared" si="41"/>
        <v>50.893986960458122</v>
      </c>
      <c r="CW49" s="20">
        <f t="shared" si="13"/>
        <v>446.09974862279796</v>
      </c>
      <c r="CX49" s="59">
        <f t="shared" si="14"/>
        <v>739.43308195613122</v>
      </c>
      <c r="CY49" s="59">
        <f ca="1">AVERAGE(OFFSET($CX$3,0,0,'Données projet'!$E$13+1,1))-AVERAGE(OFFSET($H$3,0,0,'Données projet'!$E$13+1,1))</f>
        <v>216.39536568500222</v>
      </c>
      <c r="CZ49" s="59">
        <f t="shared" si="42"/>
        <v>239.44686980897467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18.510345282260772</v>
      </c>
      <c r="DG49" s="21">
        <f>EXP(-LN(2)/25)*DG48+(1-EXP(-LN(2)/25))/(LN(2)/25)*Calculateur!DB49*Calculateur!DD49*VLOOKUP('Données projet'!$B$13,Paramètres!$A$1:$I$89,3,0)*0.475*44/12</f>
        <v>3.5331238443386082</v>
      </c>
      <c r="DH49" s="21">
        <f>EXP(-LN(2)/2)*DH48+(1-EXP(-LN(2)/2))/(LN(2)/2)*DB49*DE49*VLOOKUP('Données projet'!$B$13,Paramètres!$A$1:$I$89,3,0)*0.475*44/12</f>
        <v>3.6298201553995448</v>
      </c>
      <c r="DI49" s="22">
        <f t="shared" si="15"/>
        <v>25.673289281998926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27.861600000000017</v>
      </c>
      <c r="D50" s="11">
        <f t="shared" si="32"/>
        <v>8.7168467992286782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282.35994020457235</v>
      </c>
      <c r="H50" s="67">
        <f t="shared" si="1"/>
        <v>357.04079484198996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</v>
      </c>
      <c r="N50" s="13">
        <f>IF('Données projet'!$A$36&gt;35,N49+M50-V49,IF(A50&lt;'Données projet'!$A$36,$K$205^A50,IF(A50='Données projet'!$A$36,'Données projet'!$B$36,N49+M50-V49)))</f>
        <v>198.00000000000003</v>
      </c>
      <c r="O50" s="13">
        <f>N50*VLOOKUP('Données projet'!$B$9,Paramètres!$A$1:$I$89,3,0)*VLOOKUP('Données projet'!$B$9,Paramètres!$A$1:$I$89,5,0)</f>
        <v>179.15040000000002</v>
      </c>
      <c r="P50" s="13">
        <f t="shared" si="33"/>
        <v>45.133113803437304</v>
      </c>
      <c r="Q50" s="20">
        <f t="shared" si="53"/>
        <v>390.62711987431999</v>
      </c>
      <c r="R50" s="59">
        <f t="shared" si="0"/>
        <v>683.96045320765325</v>
      </c>
      <c r="S50" s="59">
        <f ca="1">AVERAGE(OFFSET($R$3,0,0,'Données projet'!$E$9+1,1))-AVERAGE(OFFSET($H$3,0,0,'Données projet'!$E$9+1,1))</f>
        <v>330.30341204367602</v>
      </c>
      <c r="T50" s="59">
        <f t="shared" si="34"/>
        <v>200.36653694091007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14.936772796967086</v>
      </c>
      <c r="AA50" s="21">
        <f>EXP(-LN(2)/25)*AA49+(1-EXP(-LN(2)/25))/(LN(2)/25)*Calculateur!V50*Calculateur!X50*VLOOKUP('Données projet'!$B$9,Paramètres!$A$1:$I$89,3,0)*0.475*44/12</f>
        <v>1.932304092960778</v>
      </c>
      <c r="AB50" s="21">
        <f>EXP(-LN(2)/2)*AB49+(1-EXP(-LN(2)/2))/(LN(2)/2)*V50*Y50*VLOOKUP('Données projet'!$B$9,Paramètres!$A$1:$I$89,3,0)*0.475*44/12</f>
        <v>1.0154669644762269</v>
      </c>
      <c r="AC50" s="22">
        <f t="shared" si="3"/>
        <v>17.884543854404093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30.4</v>
      </c>
      <c r="AI50" s="13">
        <f>IF('Données projet'!$A$62&gt;35,AI49+AH50-AQ49,IF(A50&lt;'Données projet'!$A$62,$AF$205^A50,IF(A50='Données projet'!$A$62,'Données projet'!$B$62,AI49+AH50-AQ49)))</f>
        <v>651.19999999999993</v>
      </c>
      <c r="AJ50" s="13">
        <f>AI50*VLOOKUP('Données projet'!$B$10,Paramètres!$A$1:$I$89,3,0)*VLOOKUP('Données projet'!$B$10,Paramètres!$A$1:$I$89,5,0)</f>
        <v>389.41759999999999</v>
      </c>
      <c r="AK50" s="13">
        <f t="shared" si="35"/>
        <v>89.627909653035474</v>
      </c>
      <c r="AL50" s="20">
        <f t="shared" si="4"/>
        <v>834.33759597903679</v>
      </c>
      <c r="AM50" s="59">
        <f t="shared" si="5"/>
        <v>1127.6709293123702</v>
      </c>
      <c r="AN50" s="59">
        <f ca="1">AVERAGE(OFFSET($AM$3,0,0,'Données projet'!$E$10+1,1))-AVERAGE(OFFSET($H$3,0,0,'Données projet'!$E$10+1,1))</f>
        <v>465.77577582457678</v>
      </c>
      <c r="AO50" s="59">
        <f t="shared" si="36"/>
        <v>301.15495784503042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39.877281148588708</v>
      </c>
      <c r="AV50" s="21">
        <f>EXP(-LN(2)/25)*AV49+(1-EXP(-LN(2)/25))/(LN(2)/25)*Calculateur!AQ50*Calculateur!AS50*VLOOKUP('Données projet'!$B$10,Paramètres!$A$1:$I$89,3,0)*0.475*44/12</f>
        <v>28.44108238325553</v>
      </c>
      <c r="AW50" s="21">
        <f>EXP(-LN(2)/2)*AW49+(1-EXP(-LN(2)/2))/(LN(2)/2)*AQ50*AT50*VLOOKUP('Données projet'!$B$10,Paramètres!$A$1:$I$89,3,0)*0.475*44/12</f>
        <v>4.4877283878581613</v>
      </c>
      <c r="AX50" s="21">
        <f t="shared" si="6"/>
        <v>72.806091919702396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11.2</v>
      </c>
      <c r="BD50" s="12">
        <f>IF('Données projet'!$A$88&gt;35,BD49+BC50-BL49,IF(A50&lt;'Données projet'!$A$88,$BA$205^A50,IF(A50='Données projet'!$A$88,'Données projet'!$B$88,BD49+BC50-BL49)))</f>
        <v>249.40000000000009</v>
      </c>
      <c r="BE50" s="13">
        <f>BD50*VLOOKUP('Données projet'!$B$11,Paramètres!$A$1:$I$89,3,0)*VLOOKUP('Données projet'!$B$11,Paramètres!$A$1:$I$89,5,0)</f>
        <v>194.53200000000007</v>
      </c>
      <c r="BF50" s="13">
        <f t="shared" si="37"/>
        <v>48.540534952652621</v>
      </c>
      <c r="BG50" s="20">
        <f t="shared" si="7"/>
        <v>423.35133170920341</v>
      </c>
      <c r="BH50" s="59">
        <f t="shared" si="8"/>
        <v>716.68466504253672</v>
      </c>
      <c r="BI50" s="59">
        <f ca="1">AVERAGE(OFFSET($BH$3,0,0,'Données projet'!$E$11+1,1))-AVERAGE(OFFSET($H$3,0,0,'Données projet'!$E$11+1,1))</f>
        <v>219.5868031007679</v>
      </c>
      <c r="BJ50" s="59">
        <f t="shared" si="38"/>
        <v>263.3830219837742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18.863305676726029</v>
      </c>
      <c r="BQ50" s="21">
        <f>EXP(-LN(2)/25)*BQ49+(1-EXP(-LN(2)/25))/(LN(2)/25)*Calculateur!BL50*Calculateur!BN50*VLOOKUP('Données projet'!$B$11,Paramètres!$A$1:$I$89,3,0)*0.475*44/12</f>
        <v>3.5292151401696867</v>
      </c>
      <c r="BR50" s="21">
        <f>EXP(-LN(2)/2)*BR49+(1-EXP(-LN(2)/2))/(LN(2)/2)*BL50*BO50*VLOOKUP('Données projet'!$B$11,Paramètres!$A$1:$I$89,3,0)*0.475*44/12</f>
        <v>2.3563400624540942</v>
      </c>
      <c r="BS50" s="22">
        <f t="shared" si="9"/>
        <v>24.748860879349809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10.199999999999999</v>
      </c>
      <c r="BY50" s="12">
        <f>IF('Données projet'!$A$114&gt;35,BY49+BX50-CG49,IF(A50&lt;'Données projet'!$A$114,$BV$205^A50,IF(A50='Données projet'!$A$114,'Données projet'!$B$114,BY49+BX50-CG49)))</f>
        <v>222.40000000000003</v>
      </c>
      <c r="BZ50" s="13">
        <f>BY50*VLOOKUP('Données projet'!$B$12,Paramètres!$A$1:$I$89,3,0)*VLOOKUP('Données projet'!$B$12,Paramètres!$A$1:$I$89,5,0)</f>
        <v>239.39136000000005</v>
      </c>
      <c r="CA50" s="13">
        <f t="shared" si="39"/>
        <v>58.30855927515961</v>
      </c>
      <c r="CB50" s="20">
        <f t="shared" si="10"/>
        <v>518.49402607090303</v>
      </c>
      <c r="CC50" s="59">
        <f t="shared" si="11"/>
        <v>811.8273594042364</v>
      </c>
      <c r="CD50" s="59">
        <f ca="1">AVERAGE(OFFSET($CC$3,0,0,'Données projet'!$E$12+1,1))-AVERAGE(OFFSET($H$3,0,0,'Données projet'!$E$12+1,1))</f>
        <v>244.7364260963538</v>
      </c>
      <c r="CE50" s="59">
        <f t="shared" si="40"/>
        <v>270.32853612539299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20.196265167766608</v>
      </c>
      <c r="CL50" s="21">
        <f>EXP(-LN(2)/25)*CL49+(1-EXP(-LN(2)/25))/(LN(2)/25)*Calculateur!CG50*Calculateur!CI50*VLOOKUP('Données projet'!$B$12,Paramètres!$A$1:$I$89,3,0)*0.475*44/12</f>
        <v>3.8245034952277752</v>
      </c>
      <c r="CM50" s="21">
        <f>EXP(-LN(2)/2)*CM49+(1-EXP(-LN(2)/2))/(LN(2)/2)*CG50*CJ50*VLOOKUP('Données projet'!$B$12,Paramètres!$A$1:$I$89,3,0)*0.475*44/12</f>
        <v>2.8564558193479539</v>
      </c>
      <c r="CN50" s="22">
        <f t="shared" si="12"/>
        <v>26.877224482342339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10.199999999999999</v>
      </c>
      <c r="CT50" s="12">
        <f>IF('Données projet'!$A$140&gt;35,CT49+CS50-DB49,IF(A50&lt;'Données projet'!$A$140,$CQ$205^A50,IF(A50='Données projet'!$A$140,'Données projet'!$B$140,CT49+CS50-DB49)))</f>
        <v>222.40000000000003</v>
      </c>
      <c r="CU50" s="17">
        <f>CT50*VLOOKUP('Données projet'!$B$13,Paramètres!$A$1:$I$89,3,0)*VLOOKUP('Données projet'!$B$13,Paramètres!$A$1:$I$89,5,0)</f>
        <v>215.10528000000005</v>
      </c>
      <c r="CV50" s="13">
        <f t="shared" si="41"/>
        <v>53.049653425970028</v>
      </c>
      <c r="CW50" s="20">
        <f t="shared" si="13"/>
        <v>467.03650905023113</v>
      </c>
      <c r="CX50" s="59">
        <f t="shared" si="14"/>
        <v>760.36984238356445</v>
      </c>
      <c r="CY50" s="59">
        <f ca="1">AVERAGE(OFFSET($CX$3,0,0,'Données projet'!$E$13+1,1))-AVERAGE(OFFSET($H$3,0,0,'Données projet'!$E$13+1,1))</f>
        <v>216.39536568500222</v>
      </c>
      <c r="CZ50" s="59">
        <f t="shared" si="42"/>
        <v>239.44686980897467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18.147368701471446</v>
      </c>
      <c r="DG50" s="21">
        <f>EXP(-LN(2)/25)*DG49+(1-EXP(-LN(2)/25))/(LN(2)/25)*Calculateur!DB50*Calculateur!DD50*VLOOKUP('Données projet'!$B$13,Paramètres!$A$1:$I$89,3,0)*0.475*44/12</f>
        <v>3.436510387016261</v>
      </c>
      <c r="DH50" s="21">
        <f>EXP(-LN(2)/2)*DH49+(1-EXP(-LN(2)/2))/(LN(2)/2)*DB50*DE50*VLOOKUP('Données projet'!$B$13,Paramètres!$A$1:$I$89,3,0)*0.475*44/12</f>
        <v>2.566670446370626</v>
      </c>
      <c r="DI50" s="22">
        <f t="shared" si="15"/>
        <v>24.150549534858332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28.454400000000017</v>
      </c>
      <c r="D51" s="11">
        <f t="shared" si="32"/>
        <v>8.880522179740165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288.19939928220492</v>
      </c>
      <c r="H51" s="67">
        <f t="shared" si="1"/>
        <v>358.35832279638078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</v>
      </c>
      <c r="N51" s="13">
        <f>IF('Données projet'!$A$36&gt;35,N50+M51-V50,IF(A51&lt;'Données projet'!$A$36,$K$205^A51,IF(A51='Données projet'!$A$36,'Données projet'!$B$36,N50+M51-V50)))</f>
        <v>209.00000000000003</v>
      </c>
      <c r="O51" s="13">
        <f>N51*VLOOKUP('Données projet'!$B$9,Paramètres!$A$1:$I$89,3,0)*VLOOKUP('Données projet'!$B$9,Paramètres!$A$1:$I$89,5,0)</f>
        <v>189.10320000000002</v>
      </c>
      <c r="P51" s="13">
        <f t="shared" si="33"/>
        <v>47.34162854278712</v>
      </c>
      <c r="Q51" s="20">
        <f t="shared" si="53"/>
        <v>411.80807637868764</v>
      </c>
      <c r="R51" s="59">
        <f t="shared" si="0"/>
        <v>705.14140971202096</v>
      </c>
      <c r="S51" s="59">
        <f ca="1">AVERAGE(OFFSET($R$3,0,0,'Données projet'!$E$9+1,1))-AVERAGE(OFFSET($H$3,0,0,'Données projet'!$E$9+1,1))</f>
        <v>330.30341204367602</v>
      </c>
      <c r="T51" s="59">
        <f t="shared" si="34"/>
        <v>200.36653694091007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14.643871792950376</v>
      </c>
      <c r="AA51" s="21">
        <f>EXP(-LN(2)/25)*AA50+(1-EXP(-LN(2)/25))/(LN(2)/25)*Calculateur!V51*Calculateur!X51*VLOOKUP('Données projet'!$B$9,Paramètres!$A$1:$I$89,3,0)*0.475*44/12</f>
        <v>1.8794651359233097</v>
      </c>
      <c r="AB51" s="21">
        <f>EXP(-LN(2)/2)*AB50+(1-EXP(-LN(2)/2))/(LN(2)/2)*V51*Y51*VLOOKUP('Données projet'!$B$9,Paramètres!$A$1:$I$89,3,0)*0.475*44/12</f>
        <v>0.71804357665205898</v>
      </c>
      <c r="AC51" s="22">
        <f t="shared" si="3"/>
        <v>17.241380505525743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30.4</v>
      </c>
      <c r="AI51" s="13">
        <f>IF('Données projet'!$A$62&gt;35,AI50+AH51-AQ50,IF(A51&lt;'Données projet'!$A$62,$AF$205^A51,IF(A51='Données projet'!$A$62,'Données projet'!$B$62,AI50+AH51-AQ50)))</f>
        <v>681.59999999999991</v>
      </c>
      <c r="AJ51" s="13">
        <f>AI51*VLOOKUP('Données projet'!$B$10,Paramètres!$A$1:$I$89,3,0)*VLOOKUP('Données projet'!$B$10,Paramètres!$A$1:$I$89,5,0)</f>
        <v>407.59679999999992</v>
      </c>
      <c r="AK51" s="13">
        <f t="shared" si="35"/>
        <v>93.31510938504708</v>
      </c>
      <c r="AL51" s="20">
        <f t="shared" si="4"/>
        <v>872.42157551229013</v>
      </c>
      <c r="AM51" s="59">
        <f t="shared" si="5"/>
        <v>1165.7549088456235</v>
      </c>
      <c r="AN51" s="59">
        <f ca="1">AVERAGE(OFFSET($AM$3,0,0,'Données projet'!$E$10+1,1))-AVERAGE(OFFSET($H$3,0,0,'Données projet'!$E$10+1,1))</f>
        <v>465.77577582457678</v>
      </c>
      <c r="AO51" s="59">
        <f t="shared" si="36"/>
        <v>301.15495784503042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39.09531198800471</v>
      </c>
      <c r="AV51" s="21">
        <f>EXP(-LN(2)/25)*AV50+(1-EXP(-LN(2)/25))/(LN(2)/25)*Calculateur!AQ51*Calculateur!AS51*VLOOKUP('Données projet'!$B$10,Paramètres!$A$1:$I$89,3,0)*0.475*44/12</f>
        <v>27.663359489833887</v>
      </c>
      <c r="AW51" s="21">
        <f>EXP(-LN(2)/2)*AW50+(1-EXP(-LN(2)/2))/(LN(2)/2)*AQ51*AT51*VLOOKUP('Données projet'!$B$10,Paramètres!$A$1:$I$89,3,0)*0.475*44/12</f>
        <v>3.1733031751778786</v>
      </c>
      <c r="AX51" s="21">
        <f t="shared" si="6"/>
        <v>69.931974653016468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11.2</v>
      </c>
      <c r="BD51" s="12">
        <f>IF('Données projet'!$A$88&gt;35,BD50+BC51-BL50,IF(A51&lt;'Données projet'!$A$88,$BA$205^A51,IF(A51='Données projet'!$A$88,'Données projet'!$B$88,BD50+BC51-BL50)))</f>
        <v>260.60000000000008</v>
      </c>
      <c r="BE51" s="13">
        <f>BD51*VLOOKUP('Données projet'!$B$11,Paramètres!$A$1:$I$89,3,0)*VLOOKUP('Données projet'!$B$11,Paramètres!$A$1:$I$89,5,0)</f>
        <v>203.26800000000006</v>
      </c>
      <c r="BF51" s="13">
        <f t="shared" si="37"/>
        <v>50.461696323746594</v>
      </c>
      <c r="BG51" s="20">
        <f t="shared" si="7"/>
        <v>441.9125544305254</v>
      </c>
      <c r="BH51" s="59">
        <f t="shared" si="8"/>
        <v>735.24588776385872</v>
      </c>
      <c r="BI51" s="59">
        <f ca="1">AVERAGE(OFFSET($BH$3,0,0,'Données projet'!$E$11+1,1))-AVERAGE(OFFSET($H$3,0,0,'Données projet'!$E$11+1,1))</f>
        <v>219.5868031007679</v>
      </c>
      <c r="BJ51" s="59">
        <f t="shared" si="38"/>
        <v>263.3830219837742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18.493407757885823</v>
      </c>
      <c r="BQ51" s="21">
        <f>EXP(-LN(2)/25)*BQ50+(1-EXP(-LN(2)/25))/(LN(2)/25)*Calculateur!BL51*Calculateur!BN51*VLOOKUP('Données projet'!$B$11,Paramètres!$A$1:$I$89,3,0)*0.475*44/12</f>
        <v>3.4327085665683885</v>
      </c>
      <c r="BR51" s="21">
        <f>EXP(-LN(2)/2)*BR50+(1-EXP(-LN(2)/2))/(LN(2)/2)*BL51*BO51*VLOOKUP('Données projet'!$B$11,Paramètres!$A$1:$I$89,3,0)*0.475*44/12</f>
        <v>1.6661840369428231</v>
      </c>
      <c r="BS51" s="22">
        <f t="shared" si="9"/>
        <v>23.592300361397037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10.199999999999999</v>
      </c>
      <c r="BY51" s="12">
        <f>IF('Données projet'!$A$114&gt;35,BY50+BX51-CG50,IF(A51&lt;'Données projet'!$A$114,$BV$205^A51,IF(A51='Données projet'!$A$114,'Données projet'!$B$114,BY50+BX51-CG50)))</f>
        <v>232.60000000000002</v>
      </c>
      <c r="BZ51" s="13">
        <f>BY51*VLOOKUP('Données projet'!$B$12,Paramètres!$A$1:$I$89,3,0)*VLOOKUP('Données projet'!$B$12,Paramètres!$A$1:$I$89,5,0)</f>
        <v>250.37064000000001</v>
      </c>
      <c r="CA51" s="13">
        <f t="shared" si="39"/>
        <v>60.665300985567541</v>
      </c>
      <c r="CB51" s="20">
        <f t="shared" si="10"/>
        <v>541.72093054986351</v>
      </c>
      <c r="CC51" s="59">
        <f t="shared" si="11"/>
        <v>835.05426388319688</v>
      </c>
      <c r="CD51" s="59">
        <f ca="1">AVERAGE(OFFSET($CC$3,0,0,'Données projet'!$E$12+1,1))-AVERAGE(OFFSET($H$3,0,0,'Données projet'!$E$12+1,1))</f>
        <v>244.7364260963538</v>
      </c>
      <c r="CE51" s="59">
        <f t="shared" si="40"/>
        <v>270.32853612539299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19.800228726332104</v>
      </c>
      <c r="CL51" s="21">
        <f>EXP(-LN(2)/25)*CL50+(1-EXP(-LN(2)/25))/(LN(2)/25)*Calculateur!CG51*Calculateur!CI51*VLOOKUP('Données projet'!$B$12,Paramètres!$A$1:$I$89,3,0)*0.475*44/12</f>
        <v>3.7199222460288741</v>
      </c>
      <c r="CM51" s="21">
        <f>EXP(-LN(2)/2)*CM50+(1-EXP(-LN(2)/2))/(LN(2)/2)*CG51*CJ51*VLOOKUP('Données projet'!$B$12,Paramètres!$A$1:$I$89,3,0)*0.475*44/12</f>
        <v>2.0198192800207142</v>
      </c>
      <c r="CN51" s="22">
        <f t="shared" si="12"/>
        <v>25.539970252381693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10.199999999999999</v>
      </c>
      <c r="CT51" s="12">
        <f>IF('Données projet'!$A$140&gt;35,CT50+CS51-DB50,IF(A51&lt;'Données projet'!$A$140,$CQ$205^A51,IF(A51='Données projet'!$A$140,'Données projet'!$B$140,CT50+CS51-DB50)))</f>
        <v>232.60000000000002</v>
      </c>
      <c r="CU51" s="17">
        <f>CT51*VLOOKUP('Données projet'!$B$13,Paramètres!$A$1:$I$89,3,0)*VLOOKUP('Données projet'!$B$13,Paramètres!$A$1:$I$89,5,0)</f>
        <v>224.97072000000003</v>
      </c>
      <c r="CV51" s="13">
        <f t="shared" si="41"/>
        <v>55.19383830218478</v>
      </c>
      <c r="CW51" s="20">
        <f t="shared" si="13"/>
        <v>487.95327237630516</v>
      </c>
      <c r="CX51" s="59">
        <f t="shared" si="14"/>
        <v>781.28660570963848</v>
      </c>
      <c r="CY51" s="59">
        <f ca="1">AVERAGE(OFFSET($CX$3,0,0,'Données projet'!$E$13+1,1))-AVERAGE(OFFSET($H$3,0,0,'Données projet'!$E$13+1,1))</f>
        <v>216.39536568500222</v>
      </c>
      <c r="CZ51" s="59">
        <f t="shared" si="42"/>
        <v>239.44686980897467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17.791509870037547</v>
      </c>
      <c r="DG51" s="21">
        <f>EXP(-LN(2)/25)*DG50+(1-EXP(-LN(2)/25))/(LN(2)/25)*Calculateur!DB51*Calculateur!DD51*VLOOKUP('Données projet'!$B$13,Paramètres!$A$1:$I$89,3,0)*0.475*44/12</f>
        <v>3.3425388297650742</v>
      </c>
      <c r="DH51" s="21">
        <f>EXP(-LN(2)/2)*DH50+(1-EXP(-LN(2)/2))/(LN(2)/2)*DB51*DE51*VLOOKUP('Données projet'!$B$13,Paramètres!$A$1:$I$89,3,0)*0.475*44/12</f>
        <v>1.8149100776997726</v>
      </c>
      <c r="DI51" s="22">
        <f t="shared" si="15"/>
        <v>22.948958777502394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29.047200000000018</v>
      </c>
      <c r="D52" s="11">
        <f t="shared" si="32"/>
        <v>9.0438010980070924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294.03579794952861</v>
      </c>
      <c r="H52" s="67">
        <f t="shared" si="1"/>
        <v>359.67516024569568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</v>
      </c>
      <c r="N52" s="13">
        <f>IF('Données projet'!$A$36&gt;35,N51+M52-V51,IF(A52&lt;'Données projet'!$A$36,$K$205^A52,IF(A52='Données projet'!$A$36,'Données projet'!$B$36,N51+M52-V51)))</f>
        <v>220.00000000000003</v>
      </c>
      <c r="O52" s="13">
        <f>N52*VLOOKUP('Données projet'!$B$9,Paramètres!$A$1:$I$89,3,0)*VLOOKUP('Données projet'!$B$9,Paramètres!$A$1:$I$89,5,0)</f>
        <v>199.05600000000001</v>
      </c>
      <c r="P52" s="13">
        <f t="shared" si="33"/>
        <v>49.536648006253934</v>
      </c>
      <c r="Q52" s="20">
        <f t="shared" si="53"/>
        <v>432.96552861089231</v>
      </c>
      <c r="R52" s="59">
        <f t="shared" si="0"/>
        <v>726.29886194422556</v>
      </c>
      <c r="S52" s="59">
        <f ca="1">AVERAGE(OFFSET($R$3,0,0,'Données projet'!$E$9+1,1))-AVERAGE(OFFSET($H$3,0,0,'Données projet'!$E$9+1,1))</f>
        <v>330.30341204367602</v>
      </c>
      <c r="T52" s="59">
        <f t="shared" si="34"/>
        <v>200.36653694091007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14.356714398970464</v>
      </c>
      <c r="AA52" s="21">
        <f>EXP(-LN(2)/25)*AA51+(1-EXP(-LN(2)/25))/(LN(2)/25)*Calculateur!V52*Calculateur!X52*VLOOKUP('Données projet'!$B$9,Paramètres!$A$1:$I$89,3,0)*0.475*44/12</f>
        <v>1.8280710629447108</v>
      </c>
      <c r="AB52" s="21">
        <f>EXP(-LN(2)/2)*AB51+(1-EXP(-LN(2)/2))/(LN(2)/2)*V52*Y52*VLOOKUP('Données projet'!$B$9,Paramètres!$A$1:$I$89,3,0)*0.475*44/12</f>
        <v>0.50773348223811343</v>
      </c>
      <c r="AC52" s="22">
        <f t="shared" si="3"/>
        <v>16.692518944153289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30.4</v>
      </c>
      <c r="AI52" s="13">
        <f>IF('Données projet'!$A$62&gt;35,AI51+AH52-AQ51,IF(A52&lt;'Données projet'!$A$62,$AF$205^A52,IF(A52='Données projet'!$A$62,'Données projet'!$B$62,AI51+AH52-AQ51)))</f>
        <v>711.99999999999989</v>
      </c>
      <c r="AJ52" s="13">
        <f>AI52*VLOOKUP('Données projet'!$B$10,Paramètres!$A$1:$I$89,3,0)*VLOOKUP('Données projet'!$B$10,Paramètres!$A$1:$I$89,5,0)</f>
        <v>425.77600000000001</v>
      </c>
      <c r="AK52" s="13">
        <f t="shared" si="35"/>
        <v>96.98320975445705</v>
      </c>
      <c r="AL52" s="20">
        <f t="shared" si="4"/>
        <v>910.472290322346</v>
      </c>
      <c r="AM52" s="59">
        <f t="shared" si="5"/>
        <v>1203.8056236556793</v>
      </c>
      <c r="AN52" s="59">
        <f ca="1">AVERAGE(OFFSET($AM$3,0,0,'Données projet'!$E$10+1,1))-AVERAGE(OFFSET($H$3,0,0,'Données projet'!$E$10+1,1))</f>
        <v>465.77577582457678</v>
      </c>
      <c r="AO52" s="59">
        <f t="shared" si="36"/>
        <v>301.15495784503042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38.328676765705673</v>
      </c>
      <c r="AV52" s="21">
        <f>EXP(-LN(2)/25)*AV51+(1-EXP(-LN(2)/25))/(LN(2)/25)*Calculateur!AQ52*Calculateur!AS52*VLOOKUP('Données projet'!$B$10,Paramètres!$A$1:$I$89,3,0)*0.475*44/12</f>
        <v>26.90690346983153</v>
      </c>
      <c r="AW52" s="21">
        <f>EXP(-LN(2)/2)*AW51+(1-EXP(-LN(2)/2))/(LN(2)/2)*AQ52*AT52*VLOOKUP('Données projet'!$B$10,Paramètres!$A$1:$I$89,3,0)*0.475*44/12</f>
        <v>2.2438641939290807</v>
      </c>
      <c r="AX52" s="21">
        <f t="shared" si="6"/>
        <v>67.479444429466284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11.2</v>
      </c>
      <c r="BD52" s="12">
        <f>IF('Données projet'!$A$88&gt;35,BD51+BC52-BL51,IF(A52&lt;'Données projet'!$A$88,$BA$205^A52,IF(A52='Données projet'!$A$88,'Données projet'!$B$88,BD51+BC52-BL51)))</f>
        <v>271.80000000000007</v>
      </c>
      <c r="BE52" s="13">
        <f>BD52*VLOOKUP('Données projet'!$B$11,Paramètres!$A$1:$I$89,3,0)*VLOOKUP('Données projet'!$B$11,Paramètres!$A$1:$I$89,5,0)</f>
        <v>212.00400000000005</v>
      </c>
      <c r="BF52" s="13">
        <f t="shared" si="37"/>
        <v>52.373267756879777</v>
      </c>
      <c r="BG52" s="20">
        <f t="shared" si="7"/>
        <v>460.45707467656558</v>
      </c>
      <c r="BH52" s="59">
        <f t="shared" si="8"/>
        <v>753.7904080098989</v>
      </c>
      <c r="BI52" s="59">
        <f ca="1">AVERAGE(OFFSET($BH$3,0,0,'Données projet'!$E$11+1,1))-AVERAGE(OFFSET($H$3,0,0,'Données projet'!$E$11+1,1))</f>
        <v>219.5868031007679</v>
      </c>
      <c r="BJ52" s="59">
        <f t="shared" si="38"/>
        <v>263.3830219837742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18.130763311618619</v>
      </c>
      <c r="BQ52" s="21">
        <f>EXP(-LN(2)/25)*BQ51+(1-EXP(-LN(2)/25))/(LN(2)/25)*Calculateur!BL52*Calculateur!BN52*VLOOKUP('Données projet'!$B$11,Paramètres!$A$1:$I$89,3,0)*0.475*44/12</f>
        <v>3.3388409702972779</v>
      </c>
      <c r="BR52" s="21">
        <f>EXP(-LN(2)/2)*BR51+(1-EXP(-LN(2)/2))/(LN(2)/2)*BL52*BO52*VLOOKUP('Données projet'!$B$11,Paramètres!$A$1:$I$89,3,0)*0.475*44/12</f>
        <v>1.1781700312270473</v>
      </c>
      <c r="BS52" s="22">
        <f t="shared" si="9"/>
        <v>22.647774313142943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10.199999999999999</v>
      </c>
      <c r="BY52" s="12">
        <f>IF('Données projet'!$A$114&gt;35,BY51+BX52-CG51,IF(A52&lt;'Données projet'!$A$114,$BV$205^A52,IF(A52='Données projet'!$A$114,'Données projet'!$B$114,BY51+BX52-CG51)))</f>
        <v>242.8</v>
      </c>
      <c r="BZ52" s="13">
        <f>BY52*VLOOKUP('Données projet'!$B$12,Paramètres!$A$1:$I$89,3,0)*VLOOKUP('Données projet'!$B$12,Paramètres!$A$1:$I$89,5,0)</f>
        <v>261.34992</v>
      </c>
      <c r="CA52" s="13">
        <f t="shared" si="39"/>
        <v>63.010039566000174</v>
      </c>
      <c r="CB52" s="20">
        <f t="shared" si="10"/>
        <v>564.92692957745021</v>
      </c>
      <c r="CC52" s="59">
        <f t="shared" si="11"/>
        <v>858.26026291078347</v>
      </c>
      <c r="CD52" s="59">
        <f ca="1">AVERAGE(OFFSET($CC$3,0,0,'Données projet'!$E$12+1,1))-AVERAGE(OFFSET($H$3,0,0,'Données projet'!$E$12+1,1))</f>
        <v>244.7364260963538</v>
      </c>
      <c r="CE52" s="59">
        <f t="shared" si="40"/>
        <v>270.32853612539299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19.411958317955754</v>
      </c>
      <c r="CL52" s="21">
        <f>EXP(-LN(2)/25)*CL51+(1-EXP(-LN(2)/25))/(LN(2)/25)*Calculateur!CG52*Calculateur!CI52*VLOOKUP('Données projet'!$B$12,Paramètres!$A$1:$I$89,3,0)*0.475*44/12</f>
        <v>3.6182007765890054</v>
      </c>
      <c r="CM52" s="21">
        <f>EXP(-LN(2)/2)*CM51+(1-EXP(-LN(2)/2))/(LN(2)/2)*CG52*CJ52*VLOOKUP('Données projet'!$B$12,Paramètres!$A$1:$I$89,3,0)*0.475*44/12</f>
        <v>1.4282279096739772</v>
      </c>
      <c r="CN52" s="22">
        <f t="shared" si="12"/>
        <v>24.458387004218739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10.199999999999999</v>
      </c>
      <c r="CT52" s="12">
        <f>IF('Données projet'!$A$140&gt;35,CT51+CS52-DB51,IF(A52&lt;'Données projet'!$A$140,$CQ$205^A52,IF(A52='Données projet'!$A$140,'Données projet'!$B$140,CT51+CS52-DB51)))</f>
        <v>242.8</v>
      </c>
      <c r="CU52" s="17">
        <f>CT52*VLOOKUP('Données projet'!$B$13,Paramètres!$A$1:$I$89,3,0)*VLOOKUP('Données projet'!$B$13,Paramètres!$A$1:$I$89,5,0)</f>
        <v>234.83616000000001</v>
      </c>
      <c r="CV52" s="13">
        <f t="shared" si="41"/>
        <v>57.327102622427489</v>
      </c>
      <c r="CW52" s="20">
        <f t="shared" si="13"/>
        <v>508.85101573406126</v>
      </c>
      <c r="CX52" s="59">
        <f t="shared" si="14"/>
        <v>802.18434906739458</v>
      </c>
      <c r="CY52" s="59">
        <f ca="1">AVERAGE(OFFSET($CX$3,0,0,'Données projet'!$E$13+1,1))-AVERAGE(OFFSET($H$3,0,0,'Données projet'!$E$13+1,1))</f>
        <v>216.39536568500222</v>
      </c>
      <c r="CZ52" s="59">
        <f t="shared" si="42"/>
        <v>239.44686980897467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17.442629213235609</v>
      </c>
      <c r="DG52" s="21">
        <f>EXP(-LN(2)/25)*DG51+(1-EXP(-LN(2)/25))/(LN(2)/25)*Calculateur!DB52*Calculateur!DD52*VLOOKUP('Données projet'!$B$13,Paramètres!$A$1:$I$89,3,0)*0.475*44/12</f>
        <v>3.2511369296886707</v>
      </c>
      <c r="DH52" s="21">
        <f>EXP(-LN(2)/2)*DH51+(1-EXP(-LN(2)/2))/(LN(2)/2)*DB52*DE52*VLOOKUP('Données projet'!$B$13,Paramètres!$A$1:$I$89,3,0)*0.475*44/12</f>
        <v>1.2833352231853132</v>
      </c>
      <c r="DI52" s="22">
        <f t="shared" si="15"/>
        <v>21.977101366109594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29.640000000000018</v>
      </c>
      <c r="D53" s="11">
        <f t="shared" si="32"/>
        <v>9.2066925774398385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299.86920586093925</v>
      </c>
      <c r="H53" s="67">
        <f t="shared" si="1"/>
        <v>360.9913229057077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231</v>
      </c>
      <c r="L53" s="12">
        <f>VLOOKUP(A53,'Données projet'!$A$35:$I$55,9,0)</f>
        <v>11</v>
      </c>
      <c r="M53" s="12">
        <f t="array" ref="M53">INDEX(L:L,MIN(IF(ISNUMBER(L53:L249),ROW(L53:L249),"")))</f>
        <v>11</v>
      </c>
      <c r="N53" s="13">
        <f>IF('Données projet'!$A$36&gt;35,N52+M53-V52,IF(A53&lt;'Données projet'!$A$36,$K$205^A53,IF(A53='Données projet'!$A$36,'Données projet'!$B$36,N52+M53-V52)))</f>
        <v>231.00000000000003</v>
      </c>
      <c r="O53" s="13">
        <f>N53*VLOOKUP('Données projet'!$B$9,Paramètres!$A$1:$I$89,3,0)*VLOOKUP('Données projet'!$B$9,Paramètres!$A$1:$I$89,5,0)</f>
        <v>209.00880000000004</v>
      </c>
      <c r="P53" s="13">
        <f t="shared" si="33"/>
        <v>51.718923953824252</v>
      </c>
      <c r="Q53" s="20">
        <f t="shared" si="53"/>
        <v>454.10078588624395</v>
      </c>
      <c r="R53" s="59">
        <f t="shared" si="0"/>
        <v>747.43411921957727</v>
      </c>
      <c r="S53" s="59">
        <f ca="1">AVERAGE(OFFSET($R$3,0,0,'Données projet'!$E$9+1,1))-AVERAGE(OFFSET($H$3,0,0,'Données projet'!$E$9+1,1))</f>
        <v>330.30341204367602</v>
      </c>
      <c r="T53" s="59">
        <f t="shared" si="34"/>
        <v>200.36653694091007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0.25800000000000001</v>
      </c>
      <c r="X53" s="16">
        <f>IF(ISNA(VLOOKUP(A53,'Données projet'!$A$35:$I$55,6,0)),0%,VLOOKUP(A53,'Données projet'!$A$35:$I$55,6,0)*VLOOKUP('Données projet'!$B$9,Paramètres!$A$1:$I$89,7,0))</f>
        <v>1.72E-2</v>
      </c>
      <c r="Y53" s="16">
        <f>IF(ISNA(VLOOKUP(A53,'Données projet'!$A$35:$I$55,7,0)),0%,VLOOKUP(A53,'Données projet'!$A$35:$I$55,7,0))</f>
        <v>0.06</v>
      </c>
      <c r="Z53" s="21">
        <f>EXP(-LN(2)/35)*Z52+(1-EXP(-LN(2)/35))/(LN(2)/35)*V53*W53*VLOOKUP('Données projet'!$B$9,Paramètres!$A$1:$I$89,3,0)*0.475*44/12</f>
        <v>21.30084661241359</v>
      </c>
      <c r="AA53" s="21">
        <f>EXP(-LN(2)/25)*AA52+(1-EXP(-LN(2)/25))/(LN(2)/25)*Calculateur!V53*Calculateur!X53*VLOOKUP('Données projet'!$B$9,Paramètres!$A$1:$I$89,3,0)*0.475*44/12</f>
        <v>2.2578962605859529</v>
      </c>
      <c r="AB53" s="21">
        <f>EXP(-LN(2)/2)*AB52+(1-EXP(-LN(2)/2))/(LN(2)/2)*V53*Y53*VLOOKUP('Données projet'!$B$9,Paramètres!$A$1:$I$89,3,0)*0.475*44/12</f>
        <v>1.7932430842487541</v>
      </c>
      <c r="AC53" s="22">
        <f t="shared" si="3"/>
        <v>25.351985957248296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30.4</v>
      </c>
      <c r="AI53" s="13">
        <f>IF('Données projet'!$A$62&gt;35,AI52+AH53-AQ52,IF(A53&lt;'Données projet'!$A$62,$AF$205^A53,IF(A53='Données projet'!$A$62,'Données projet'!$B$62,AI52+AH53-AQ52)))</f>
        <v>742.39999999999986</v>
      </c>
      <c r="AJ53" s="13">
        <f>AI53*VLOOKUP('Données projet'!$B$10,Paramètres!$A$1:$I$89,3,0)*VLOOKUP('Données projet'!$B$10,Paramètres!$A$1:$I$89,5,0)</f>
        <v>443.95519999999999</v>
      </c>
      <c r="AK53" s="13">
        <f t="shared" si="35"/>
        <v>100.6331194662048</v>
      </c>
      <c r="AL53" s="20">
        <f t="shared" si="4"/>
        <v>948.49132307030675</v>
      </c>
      <c r="AM53" s="59">
        <f t="shared" si="5"/>
        <v>1241.8246564036401</v>
      </c>
      <c r="AN53" s="59">
        <f ca="1">AVERAGE(OFFSET($AM$3,0,0,'Données projet'!$E$10+1,1))-AVERAGE(OFFSET($H$3,0,0,'Données projet'!$E$10+1,1))</f>
        <v>465.77577582457678</v>
      </c>
      <c r="AO53" s="59">
        <f t="shared" si="36"/>
        <v>301.15495784503042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37.577074792514608</v>
      </c>
      <c r="AV53" s="21">
        <f>EXP(-LN(2)/25)*AV52+(1-EXP(-LN(2)/25))/(LN(2)/25)*Calculateur!AQ53*Calculateur!AS53*VLOOKUP('Données projet'!$B$10,Paramètres!$A$1:$I$89,3,0)*0.475*44/12</f>
        <v>26.17113277947643</v>
      </c>
      <c r="AW53" s="21">
        <f>EXP(-LN(2)/2)*AW52+(1-EXP(-LN(2)/2))/(LN(2)/2)*AQ53*AT53*VLOOKUP('Données projet'!$B$10,Paramètres!$A$1:$I$89,3,0)*0.475*44/12</f>
        <v>1.5866515875889393</v>
      </c>
      <c r="AX53" s="21">
        <f t="shared" si="6"/>
        <v>65.334859159579977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283</v>
      </c>
      <c r="BB53" s="12">
        <f>VLOOKUP(A53,'Données projet'!$A$87:$I$107,9,0)</f>
        <v>11.2</v>
      </c>
      <c r="BC53" s="12">
        <f t="array" ref="BC53">INDEX(BB:BB,MIN(IF(ISNUMBER(BB53:BB249),ROW(BB53:BB249),"")))</f>
        <v>11.2</v>
      </c>
      <c r="BD53" s="12">
        <f>IF('Données projet'!$A$88&gt;35,BD52+BC53-BL52,IF(A53&lt;'Données projet'!$A$88,$BA$205^A53,IF(A53='Données projet'!$A$88,'Données projet'!$B$88,BD52+BC53-BL52)))</f>
        <v>283.00000000000006</v>
      </c>
      <c r="BE53" s="13">
        <f>BD53*VLOOKUP('Données projet'!$B$11,Paramètres!$A$1:$I$89,3,0)*VLOOKUP('Données projet'!$B$11,Paramètres!$A$1:$I$89,5,0)</f>
        <v>220.74000000000007</v>
      </c>
      <c r="BF53" s="13">
        <f t="shared" si="37"/>
        <v>54.275689618029304</v>
      </c>
      <c r="BG53" s="20">
        <f t="shared" si="7"/>
        <v>478.98565941806777</v>
      </c>
      <c r="BH53" s="59">
        <f t="shared" si="8"/>
        <v>772.31899275140108</v>
      </c>
      <c r="BI53" s="59">
        <f ca="1">AVERAGE(OFFSET($BH$3,0,0,'Données projet'!$E$11+1,1))-AVERAGE(OFFSET($H$3,0,0,'Données projet'!$E$11+1,1))</f>
        <v>219.5868031007679</v>
      </c>
      <c r="BJ53" s="59">
        <f t="shared" si="38"/>
        <v>263.3830219837742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35</v>
      </c>
      <c r="BM53" s="16">
        <f>IF(ISNA(VLOOKUP(A53,'Données projet'!$A$87:$I$107,5,0)),0%,VLOOKUP(A53,'Données projet'!$A$87:$I$107,5,0)*VLOOKUP('Données projet'!$B$11,Paramètres!$A$1:$I$89,7,0))</f>
        <v>0.215</v>
      </c>
      <c r="BN53" s="16">
        <f>IF(ISNA(VLOOKUP(A53,'Données projet'!$A$87:$I$107,6,0)),0%,VLOOKUP(A53,'Données projet'!$A$87:$I$107,6,0)*VLOOKUP('Données projet'!$B$11,Paramètres!$A$1:$I$89,7,0))</f>
        <v>4.3000000000000003E-2</v>
      </c>
      <c r="BO53" s="16">
        <f>IF(ISNA(VLOOKUP(A53,'Données projet'!$A$87:$I$107,7,0)),0%,VLOOKUP(A53,'Données projet'!$A$87:$I$107,7,0))</f>
        <v>0.15</v>
      </c>
      <c r="BP53" s="21">
        <f>EXP(-LN(2)/35)*BP52+(1-EXP(-LN(2)/35))/(LN(2)/35)*BL53*BM53*VLOOKUP('Données projet'!$B$11,Paramètres!$A$1:$I$89,3,0)*0.475*44/12</f>
        <v>24.263788494420094</v>
      </c>
      <c r="BQ53" s="21">
        <f>EXP(-LN(2)/25)*BQ52+(1-EXP(-LN(2)/25))/(LN(2)/25)*Calculateur!BL53*Calculateur!BN53*VLOOKUP('Données projet'!$B$11,Paramètres!$A$1:$I$89,3,0)*0.475*44/12</f>
        <v>4.5401422815709109</v>
      </c>
      <c r="BR53" s="21">
        <f>EXP(-LN(2)/2)*BR52+(1-EXP(-LN(2)/2))/(LN(2)/2)*BL53*BO53*VLOOKUP('Données projet'!$B$11,Paramètres!$A$1:$I$89,3,0)*0.475*44/12</f>
        <v>4.6968347337804772</v>
      </c>
      <c r="BS53" s="22">
        <f t="shared" si="9"/>
        <v>33.500765509771483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253</v>
      </c>
      <c r="BW53" s="12">
        <f>VLOOKUP(A53,'Données projet'!$A$113:$I$133,9,0)</f>
        <v>10.199999999999999</v>
      </c>
      <c r="BX53" s="12">
        <f t="array" ref="BX53">INDEX(BW:BW,MIN(IF(ISNUMBER(BW53:BW249),ROW(BW53:BW249),"")))</f>
        <v>10.199999999999999</v>
      </c>
      <c r="BY53" s="12">
        <f>IF('Données projet'!$A$114&gt;35,BY52+BX53-CG52,IF(A53&lt;'Données projet'!$A$114,$BV$205^A53,IF(A53='Données projet'!$A$114,'Données projet'!$B$114,BY52+BX53-CG52)))</f>
        <v>253</v>
      </c>
      <c r="BZ53" s="13">
        <f>BY53*VLOOKUP('Données projet'!$B$12,Paramètres!$A$1:$I$89,3,0)*VLOOKUP('Données projet'!$B$12,Paramètres!$A$1:$I$89,5,0)</f>
        <v>272.32920000000001</v>
      </c>
      <c r="CA53" s="13">
        <f t="shared" si="39"/>
        <v>65.34333692428207</v>
      </c>
      <c r="CB53" s="20">
        <f t="shared" si="10"/>
        <v>588.1130018097914</v>
      </c>
      <c r="CC53" s="59">
        <f t="shared" si="11"/>
        <v>881.44633514312477</v>
      </c>
      <c r="CD53" s="59">
        <f ca="1">AVERAGE(OFFSET($CC$3,0,0,'Données projet'!$E$12+1,1))-AVERAGE(OFFSET($H$3,0,0,'Données projet'!$E$12+1,1))</f>
        <v>244.7364260963538</v>
      </c>
      <c r="CE53" s="59">
        <f t="shared" si="40"/>
        <v>270.32853612539299</v>
      </c>
      <c r="CF53" s="15">
        <f>IF(ISNA(VLOOKUP(A53,'Données projet'!$A$113:$I$133,3,0)),0,VLOOKUP(A53,'Données projet'!$A$113:$I$133,3,0))</f>
        <v>6</v>
      </c>
      <c r="CG53" s="15">
        <f>IF(ISNA(VLOOKUP(A53,'Données projet'!$A$113:$I$133,4,0)),0,VLOOKUP(A53,'Données projet'!$A$113:$I$133,4,0))</f>
        <v>30</v>
      </c>
      <c r="CH53" s="16">
        <f>IF(ISNA(VLOOKUP(A53,'Données projet'!$A$113:$I$133,5,0)),0%,VLOOKUP(A53,'Données projet'!$A$113:$I$133,5,0)*VLOOKUP('Données projet'!$B$12,Paramètres!$A$1:$I$89,7,0))</f>
        <v>0.215</v>
      </c>
      <c r="CI53" s="16">
        <f>IF(ISNA(VLOOKUP(A53,'Données projet'!$A$113:$I$133,6,0)),0%,VLOOKUP(A53,'Données projet'!$A$113:$I$133,6,0)*VLOOKUP('Données projet'!$B$12,Paramètres!$A$1:$I$89,7,0))</f>
        <v>4.3000000000000003E-2</v>
      </c>
      <c r="CJ53" s="16">
        <f>IF(ISNA(VLOOKUP(A53,'Données projet'!$A$113:$I$133,7,0)),0%,VLOOKUP(A53,'Données projet'!$A$113:$I$133,7,0))</f>
        <v>0.15</v>
      </c>
      <c r="CK53" s="21">
        <f>EXP(-LN(2)/35)*CK52+(1-EXP(-LN(2)/35))/(LN(2)/35)*CG53*CH53*VLOOKUP('Données projet'!$B$12,Paramètres!$A$1:$I$89,3,0)*0.475*44/12</f>
        <v>26.706339297079875</v>
      </c>
      <c r="CL53" s="21">
        <f>EXP(-LN(2)/25)*CL52+(1-EXP(-LN(2)/25))/(LN(2)/25)*Calculateur!CG53*Calculateur!CI53*VLOOKUP('Données projet'!$B$12,Paramètres!$A$1:$I$89,3,0)*0.475*44/12</f>
        <v>5.0482245048802961</v>
      </c>
      <c r="CM53" s="21">
        <f>EXP(-LN(2)/2)*CM52+(1-EXP(-LN(2)/2))/(LN(2)/2)*CG53*CJ53*VLOOKUP('Données projet'!$B$12,Paramètres!$A$1:$I$89,3,0)*0.475*44/12</f>
        <v>5.5801653089759364</v>
      </c>
      <c r="CN53" s="22">
        <f t="shared" si="12"/>
        <v>37.334729110936109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253</v>
      </c>
      <c r="CR53" s="12">
        <f>VLOOKUP(A53,'Données projet'!$A$139:$I$159,9,0)</f>
        <v>10.199999999999999</v>
      </c>
      <c r="CS53" s="12">
        <f t="array" ref="CS53">INDEX(CR:CR,MIN(IF(ISNUMBER(CR53:CR249),ROW(CR53:CR249),"")))</f>
        <v>10.199999999999999</v>
      </c>
      <c r="CT53" s="12">
        <f>IF('Données projet'!$A$140&gt;35,CT52+CS53-DB52,IF(A53&lt;'Données projet'!$A$140,$CQ$205^A53,IF(A53='Données projet'!$A$140,'Données projet'!$B$140,CT52+CS53-DB52)))</f>
        <v>253</v>
      </c>
      <c r="CU53" s="17">
        <f>CT53*VLOOKUP('Données projet'!$B$13,Paramètres!$A$1:$I$89,3,0)*VLOOKUP('Données projet'!$B$13,Paramètres!$A$1:$I$89,5,0)</f>
        <v>244.70159999999998</v>
      </c>
      <c r="CV53" s="13">
        <f t="shared" si="41"/>
        <v>59.449957615507699</v>
      </c>
      <c r="CW53" s="20">
        <f t="shared" si="13"/>
        <v>529.73062951367581</v>
      </c>
      <c r="CX53" s="59">
        <f t="shared" si="14"/>
        <v>823.06396284700918</v>
      </c>
      <c r="CY53" s="59">
        <f ca="1">AVERAGE(OFFSET($CX$3,0,0,'Données projet'!$E$13+1,1))-AVERAGE(OFFSET($H$3,0,0,'Données projet'!$E$13+1,1))</f>
        <v>216.39536568500222</v>
      </c>
      <c r="CZ53" s="59">
        <f t="shared" si="42"/>
        <v>239.44686980897467</v>
      </c>
      <c r="DA53" s="15">
        <f>IF(ISNA(VLOOKUP(A53,'Données projet'!$A$139:$I$159,3,0)),0,VLOOKUP(A53,'Données projet'!$A$139:$I$159,3,0))</f>
        <v>6</v>
      </c>
      <c r="DB53" s="15">
        <f>IF(ISNA(VLOOKUP(A53,'Données projet'!$A$139:$I$159,4,0)),0,VLOOKUP(A53,'Données projet'!$A$139:$I$159,4,0))</f>
        <v>30</v>
      </c>
      <c r="DC53" s="16">
        <f>IF(ISNA(VLOOKUP(A53,'Données projet'!$A$139:$I$159,5,0)),0%,VLOOKUP(A53,'Données projet'!$A$139:$I$159,5,0)*VLOOKUP('Données projet'!$B$13,Paramètres!$A$1:$I$89,7,0))</f>
        <v>0.215</v>
      </c>
      <c r="DD53" s="16">
        <f>IF(ISNA(VLOOKUP(A53,'Données projet'!$A$139:$I$159,6,0)),0%,VLOOKUP(A53,'Données projet'!$A$139:$I$159,6,0)*VLOOKUP('Données projet'!$B$13,Paramètres!$A$1:$I$89,7,0))</f>
        <v>4.3000000000000003E-2</v>
      </c>
      <c r="DE53" s="16">
        <f>IF(ISNA(VLOOKUP(A53,'Données projet'!$A$139:$I$159,7,0)),0%,VLOOKUP(A53,'Données projet'!$A$139:$I$159,7,0))</f>
        <v>0.15</v>
      </c>
      <c r="DF53" s="21">
        <f>EXP(-LN(2)/35)*DF52+(1-EXP(-LN(2)/35))/(LN(2)/35)*DB53*DC53*VLOOKUP('Données projet'!$B$13,Paramètres!$A$1:$I$89,3,0)*0.475*44/12</f>
        <v>23.997000527810908</v>
      </c>
      <c r="DG53" s="21">
        <f>EXP(-LN(2)/25)*DG52+(1-EXP(-LN(2)/25))/(LN(2)/25)*Calculateur!DB53*Calculateur!DD53*VLOOKUP('Données projet'!$B$13,Paramètres!$A$1:$I$89,3,0)*0.475*44/12</f>
        <v>4.5360857869938886</v>
      </c>
      <c r="DH53" s="21">
        <f>EXP(-LN(2)/2)*DH52+(1-EXP(-LN(2)/2))/(LN(2)/2)*DB53*DE53*VLOOKUP('Données projet'!$B$13,Paramètres!$A$1:$I$89,3,0)*0.475*44/12</f>
        <v>5.0140615819783783</v>
      </c>
      <c r="DI53" s="22">
        <f t="shared" si="15"/>
        <v>33.547147896783173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30.232800000000019</v>
      </c>
      <c r="D54" s="11">
        <f t="shared" si="32"/>
        <v>9.369205259873798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305.69968972534178</v>
      </c>
      <c r="H54" s="67">
        <f t="shared" si="1"/>
        <v>362.30682582761352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10.199999999999999</v>
      </c>
      <c r="N54" s="13">
        <f>IF('Données projet'!$A$36&gt;35,N53+M54-V53,IF(A54&lt;'Données projet'!$A$36,$K$205^A54,IF(A54='Données projet'!$A$36,'Données projet'!$B$36,N53+M54-V53)))</f>
        <v>213.20000000000002</v>
      </c>
      <c r="O54" s="13">
        <f>N54*VLOOKUP('Données projet'!$B$9,Paramètres!$A$1:$I$89,3,0)*VLOOKUP('Données projet'!$B$9,Paramètres!$A$1:$I$89,5,0)</f>
        <v>192.90336000000002</v>
      </c>
      <c r="P54" s="13">
        <f t="shared" si="33"/>
        <v>48.181276881765257</v>
      </c>
      <c r="Q54" s="20">
        <f t="shared" si="53"/>
        <v>419.88907590240791</v>
      </c>
      <c r="R54" s="59">
        <f t="shared" si="0"/>
        <v>713.22240923574122</v>
      </c>
      <c r="S54" s="59">
        <f ca="1">AVERAGE(OFFSET($R$3,0,0,'Données projet'!$E$9+1,1))-AVERAGE(OFFSET($H$3,0,0,'Données projet'!$E$9+1,1))</f>
        <v>330.30341204367602</v>
      </c>
      <c r="T54" s="59">
        <f t="shared" si="34"/>
        <v>200.36653694091007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20.883150002577718</v>
      </c>
      <c r="AA54" s="21">
        <f>EXP(-LN(2)/25)*AA53+(1-EXP(-LN(2)/25))/(LN(2)/25)*Calculateur!V54*Calculateur!X54*VLOOKUP('Données projet'!$B$9,Paramètres!$A$1:$I$89,3,0)*0.475*44/12</f>
        <v>2.1961539686026263</v>
      </c>
      <c r="AB54" s="21">
        <f>EXP(-LN(2)/2)*AB53+(1-EXP(-LN(2)/2))/(LN(2)/2)*V54*Y54*VLOOKUP('Données projet'!$B$9,Paramètres!$A$1:$I$89,3,0)*0.475*44/12</f>
        <v>1.2680143451881736</v>
      </c>
      <c r="AC54" s="22">
        <f t="shared" si="3"/>
        <v>24.347318316368519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30.4</v>
      </c>
      <c r="AI54" s="13">
        <f>IF('Données projet'!$A$62&gt;35,AI53+AH54-AQ53,IF(A54&lt;'Données projet'!$A$62,$AF$205^A54,IF(A54='Données projet'!$A$62,'Données projet'!$B$62,AI53+AH54-AQ53)))</f>
        <v>772.79999999999984</v>
      </c>
      <c r="AJ54" s="13">
        <f>AI54*VLOOKUP('Données projet'!$B$10,Paramètres!$A$1:$I$89,3,0)*VLOOKUP('Données projet'!$B$10,Paramètres!$A$1:$I$89,5,0)</f>
        <v>462.13439999999991</v>
      </c>
      <c r="AK54" s="13">
        <f t="shared" si="35"/>
        <v>104.2656685942147</v>
      </c>
      <c r="AL54" s="20">
        <f t="shared" si="4"/>
        <v>986.48011946825727</v>
      </c>
      <c r="AM54" s="59">
        <f t="shared" si="5"/>
        <v>1279.8134528015905</v>
      </c>
      <c r="AN54" s="59">
        <f ca="1">AVERAGE(OFFSET($AM$3,0,0,'Données projet'!$E$10+1,1))-AVERAGE(OFFSET($H$3,0,0,'Données projet'!$E$10+1,1))</f>
        <v>465.77577582457678</v>
      </c>
      <c r="AO54" s="59">
        <f t="shared" si="36"/>
        <v>301.15495784503042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36.840211275585879</v>
      </c>
      <c r="AV54" s="21">
        <f>EXP(-LN(2)/25)*AV53+(1-EXP(-LN(2)/25))/(LN(2)/25)*Calculateur!AQ54*Calculateur!AS54*VLOOKUP('Données projet'!$B$10,Paramètres!$A$1:$I$89,3,0)*0.475*44/12</f>
        <v>25.455481777341589</v>
      </c>
      <c r="AW54" s="21">
        <f>EXP(-LN(2)/2)*AW53+(1-EXP(-LN(2)/2))/(LN(2)/2)*AQ54*AT54*VLOOKUP('Données projet'!$B$10,Paramètres!$A$1:$I$89,3,0)*0.475*44/12</f>
        <v>1.1219320969645403</v>
      </c>
      <c r="AX54" s="21">
        <f t="shared" si="6"/>
        <v>63.417625149892011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9.8000000000000007</v>
      </c>
      <c r="BD54" s="12">
        <f>IF('Données projet'!$A$88&gt;35,BD53+BC54-BL53,IF(A54&lt;'Données projet'!$A$88,$BA$205^A54,IF(A54='Données projet'!$A$88,'Données projet'!$B$88,BD53+BC54-BL53)))</f>
        <v>257.80000000000007</v>
      </c>
      <c r="BE54" s="13">
        <f>BD54*VLOOKUP('Données projet'!$B$11,Paramètres!$A$1:$I$89,3,0)*VLOOKUP('Données projet'!$B$11,Paramètres!$A$1:$I$89,5,0)</f>
        <v>201.08400000000006</v>
      </c>
      <c r="BF54" s="13">
        <f t="shared" si="37"/>
        <v>49.982323118757684</v>
      </c>
      <c r="BG54" s="20">
        <f t="shared" si="7"/>
        <v>437.27384609850304</v>
      </c>
      <c r="BH54" s="59">
        <f t="shared" si="8"/>
        <v>730.60717943183636</v>
      </c>
      <c r="BI54" s="59">
        <f ca="1">AVERAGE(OFFSET($BH$3,0,0,'Données projet'!$E$11+1,1))-AVERAGE(OFFSET($H$3,0,0,'Données projet'!$E$11+1,1))</f>
        <v>219.5868031007679</v>
      </c>
      <c r="BJ54" s="59">
        <f t="shared" si="38"/>
        <v>263.3830219837742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23.787990401494174</v>
      </c>
      <c r="BQ54" s="21">
        <f>EXP(-LN(2)/25)*BQ53+(1-EXP(-LN(2)/25))/(LN(2)/25)*Calculateur!BL54*Calculateur!BN54*VLOOKUP('Données projet'!$B$11,Paramètres!$A$1:$I$89,3,0)*0.475*44/12</f>
        <v>4.4159918521256483</v>
      </c>
      <c r="BR54" s="21">
        <f>EXP(-LN(2)/2)*BR53+(1-EXP(-LN(2)/2))/(LN(2)/2)*BL54*BO54*VLOOKUP('Données projet'!$B$11,Paramètres!$A$1:$I$89,3,0)*0.475*44/12</f>
        <v>3.3211636903686883</v>
      </c>
      <c r="BS54" s="22">
        <f t="shared" si="9"/>
        <v>31.525145943988509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8.1999999999999993</v>
      </c>
      <c r="BY54" s="12">
        <f>IF('Données projet'!$A$114&gt;35,BY53+BX54-CG53,IF(A54&lt;'Données projet'!$A$114,$BV$205^A54,IF(A54='Données projet'!$A$114,'Données projet'!$B$114,BY53+BX54-CG53)))</f>
        <v>231.2</v>
      </c>
      <c r="BZ54" s="13">
        <f>BY54*VLOOKUP('Données projet'!$B$12,Paramètres!$A$1:$I$89,3,0)*VLOOKUP('Données projet'!$B$12,Paramètres!$A$1:$I$89,5,0)</f>
        <v>248.86367999999999</v>
      </c>
      <c r="CA54" s="13">
        <f t="shared" si="39"/>
        <v>60.342550549293399</v>
      </c>
      <c r="CB54" s="20">
        <f t="shared" si="10"/>
        <v>538.53418487335261</v>
      </c>
      <c r="CC54" s="59">
        <f t="shared" si="11"/>
        <v>831.86751820668587</v>
      </c>
      <c r="CD54" s="59">
        <f ca="1">AVERAGE(OFFSET($CC$3,0,0,'Données projet'!$E$12+1,1))-AVERAGE(OFFSET($H$3,0,0,'Données projet'!$E$12+1,1))</f>
        <v>244.7364260963538</v>
      </c>
      <c r="CE54" s="59">
        <f t="shared" si="40"/>
        <v>270.32853612539299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26.18264427272268</v>
      </c>
      <c r="CL54" s="21">
        <f>EXP(-LN(2)/25)*CL53+(1-EXP(-LN(2)/25))/(LN(2)/25)*Calculateur!CG54*Calculateur!CI54*VLOOKUP('Données projet'!$B$12,Paramètres!$A$1:$I$89,3,0)*0.475*44/12</f>
        <v>4.9101805403197556</v>
      </c>
      <c r="CM54" s="21">
        <f>EXP(-LN(2)/2)*CM53+(1-EXP(-LN(2)/2))/(LN(2)/2)*CG54*CJ54*VLOOKUP('Données projet'!$B$12,Paramètres!$A$1:$I$89,3,0)*0.475*44/12</f>
        <v>3.945772730118811</v>
      </c>
      <c r="CN54" s="22">
        <f t="shared" si="12"/>
        <v>35.038597543161245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8.1999999999999993</v>
      </c>
      <c r="CT54" s="12">
        <f>IF('Données projet'!$A$140&gt;35,CT53+CS54-DB53,IF(A54&lt;'Données projet'!$A$140,$CQ$205^A54,IF(A54='Données projet'!$A$140,'Données projet'!$B$140,CT53+CS54-DB53)))</f>
        <v>231.2</v>
      </c>
      <c r="CU54" s="17">
        <f>CT54*VLOOKUP('Données projet'!$B$13,Paramètres!$A$1:$I$89,3,0)*VLOOKUP('Données projet'!$B$13,Paramètres!$A$1:$I$89,5,0)</f>
        <v>223.61663999999999</v>
      </c>
      <c r="CV54" s="13">
        <f t="shared" si="41"/>
        <v>54.900197042646539</v>
      </c>
      <c r="CW54" s="20">
        <f t="shared" si="13"/>
        <v>485.08349118260935</v>
      </c>
      <c r="CX54" s="59">
        <f t="shared" si="14"/>
        <v>778.41682451594261</v>
      </c>
      <c r="CY54" s="59">
        <f ca="1">AVERAGE(OFFSET($CX$3,0,0,'Données projet'!$E$13+1,1))-AVERAGE(OFFSET($H$3,0,0,'Données projet'!$E$13+1,1))</f>
        <v>216.39536568500222</v>
      </c>
      <c r="CZ54" s="59">
        <f t="shared" si="42"/>
        <v>239.44686980897467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23.526433984185601</v>
      </c>
      <c r="DG54" s="21">
        <f>EXP(-LN(2)/25)*DG53+(1-EXP(-LN(2)/25))/(LN(2)/25)*Calculateur!DB54*Calculateur!DD54*VLOOKUP('Données projet'!$B$13,Paramètres!$A$1:$I$89,3,0)*0.475*44/12</f>
        <v>4.4120462826061564</v>
      </c>
      <c r="DH54" s="21">
        <f>EXP(-LN(2)/2)*DH53+(1-EXP(-LN(2)/2))/(LN(2)/2)*DB54*DE54*VLOOKUP('Données projet'!$B$13,Paramètres!$A$1:$I$89,3,0)*0.475*44/12</f>
        <v>3.5454769459038595</v>
      </c>
      <c r="DI54" s="22">
        <f t="shared" si="15"/>
        <v>31.483957212695618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30.825600000000019</v>
      </c>
      <c r="D55" s="11">
        <f t="shared" si="32"/>
        <v>9.5313474288652582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311.52731348597757</v>
      </c>
      <c r="H55" s="67">
        <f t="shared" si="1"/>
        <v>363.62168343860696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10.199999999999999</v>
      </c>
      <c r="N55" s="13">
        <f>IF('Données projet'!$A$36&gt;35,N54+M55-V54,IF(A55&lt;'Données projet'!$A$36,$K$205^A55,IF(A55='Données projet'!$A$36,'Données projet'!$B$36,N54+M55-V54)))</f>
        <v>223.4</v>
      </c>
      <c r="O55" s="13">
        <f>N55*VLOOKUP('Données projet'!$B$9,Paramètres!$A$1:$I$89,3,0)*VLOOKUP('Données projet'!$B$9,Paramètres!$A$1:$I$89,5,0)</f>
        <v>202.13232000000002</v>
      </c>
      <c r="P55" s="13">
        <f t="shared" si="33"/>
        <v>50.212497488959627</v>
      </c>
      <c r="Q55" s="20">
        <f t="shared" si="53"/>
        <v>439.50055712660469</v>
      </c>
      <c r="R55" s="59">
        <f t="shared" si="0"/>
        <v>732.83389045993795</v>
      </c>
      <c r="S55" s="59">
        <f ca="1">AVERAGE(OFFSET($R$3,0,0,'Données projet'!$E$9+1,1))-AVERAGE(OFFSET($H$3,0,0,'Données projet'!$E$9+1,1))</f>
        <v>330.30341204367602</v>
      </c>
      <c r="T55" s="59">
        <f t="shared" si="34"/>
        <v>200.36653694091007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20.473644168490949</v>
      </c>
      <c r="AA55" s="21">
        <f>EXP(-LN(2)/25)*AA54+(1-EXP(-LN(2)/25))/(LN(2)/25)*Calculateur!V55*Calculateur!X55*VLOOKUP('Données projet'!$B$9,Paramètres!$A$1:$I$89,3,0)*0.475*44/12</f>
        <v>2.1361000228404698</v>
      </c>
      <c r="AB55" s="21">
        <f>EXP(-LN(2)/2)*AB54+(1-EXP(-LN(2)/2))/(LN(2)/2)*V55*Y55*VLOOKUP('Données projet'!$B$9,Paramètres!$A$1:$I$89,3,0)*0.475*44/12</f>
        <v>0.89662154212437728</v>
      </c>
      <c r="AC55" s="22">
        <f t="shared" si="3"/>
        <v>23.506365733455798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30.4</v>
      </c>
      <c r="AI55" s="13">
        <f>IF('Données projet'!$A$62&gt;35,AI54+AH55-AQ54,IF(A55&lt;'Données projet'!$A$62,$AF$205^A55,IF(A55='Données projet'!$A$62,'Données projet'!$B$62,AI54+AH55-AQ54)))</f>
        <v>803.19999999999982</v>
      </c>
      <c r="AJ55" s="13">
        <f>AI55*VLOOKUP('Données projet'!$B$10,Paramètres!$A$1:$I$89,3,0)*VLOOKUP('Données projet'!$B$10,Paramètres!$A$1:$I$89,5,0)</f>
        <v>480.31359999999989</v>
      </c>
      <c r="AK55" s="13">
        <f t="shared" si="35"/>
        <v>107.88161820909176</v>
      </c>
      <c r="AL55" s="20">
        <f t="shared" si="4"/>
        <v>1024.4400050475012</v>
      </c>
      <c r="AM55" s="59">
        <f t="shared" si="5"/>
        <v>1317.7733383808345</v>
      </c>
      <c r="AN55" s="59">
        <f ca="1">AVERAGE(OFFSET($AM$3,0,0,'Données projet'!$E$10+1,1))-AVERAGE(OFFSET($H$3,0,0,'Données projet'!$E$10+1,1))</f>
        <v>465.77577582457678</v>
      </c>
      <c r="AO55" s="59">
        <f t="shared" si="36"/>
        <v>301.15495784503042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36.117797202781759</v>
      </c>
      <c r="AV55" s="21">
        <f>EXP(-LN(2)/25)*AV54+(1-EXP(-LN(2)/25))/(LN(2)/25)*Calculateur!AQ55*Calculateur!AS55*VLOOKUP('Données projet'!$B$10,Paramètres!$A$1:$I$89,3,0)*0.475*44/12</f>
        <v>24.759400289494575</v>
      </c>
      <c r="AW55" s="21">
        <f>EXP(-LN(2)/2)*AW54+(1-EXP(-LN(2)/2))/(LN(2)/2)*AQ55*AT55*VLOOKUP('Données projet'!$B$10,Paramètres!$A$1:$I$89,3,0)*0.475*44/12</f>
        <v>0.79332579379446966</v>
      </c>
      <c r="AX55" s="21">
        <f t="shared" si="6"/>
        <v>61.670523286070811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9.8000000000000007</v>
      </c>
      <c r="BD55" s="12">
        <f>IF('Données projet'!$A$88&gt;35,BD54+BC55-BL54,IF(A55&lt;'Données projet'!$A$88,$BA$205^A55,IF(A55='Données projet'!$A$88,'Données projet'!$B$88,BD54+BC55-BL54)))</f>
        <v>267.60000000000008</v>
      </c>
      <c r="BE55" s="13">
        <f>BD55*VLOOKUP('Données projet'!$B$11,Paramètres!$A$1:$I$89,3,0)*VLOOKUP('Données projet'!$B$11,Paramètres!$A$1:$I$89,5,0)</f>
        <v>208.72800000000007</v>
      </c>
      <c r="BF55" s="13">
        <f t="shared" si="37"/>
        <v>51.657523484203345</v>
      </c>
      <c r="BG55" s="20">
        <f t="shared" si="7"/>
        <v>453.50478673498765</v>
      </c>
      <c r="BH55" s="59">
        <f t="shared" si="8"/>
        <v>746.8381200683209</v>
      </c>
      <c r="BI55" s="59">
        <f ca="1">AVERAGE(OFFSET($BH$3,0,0,'Données projet'!$E$11+1,1))-AVERAGE(OFFSET($H$3,0,0,'Données projet'!$E$11+1,1))</f>
        <v>219.5868031007679</v>
      </c>
      <c r="BJ55" s="59">
        <f t="shared" si="38"/>
        <v>263.3830219837742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23.321522418962349</v>
      </c>
      <c r="BQ55" s="21">
        <f>EXP(-LN(2)/25)*BQ54+(1-EXP(-LN(2)/25))/(LN(2)/25)*Calculateur!BL55*Calculateur!BN55*VLOOKUP('Données projet'!$B$11,Paramètres!$A$1:$I$89,3,0)*0.475*44/12</f>
        <v>4.2952363227023538</v>
      </c>
      <c r="BR55" s="21">
        <f>EXP(-LN(2)/2)*BR54+(1-EXP(-LN(2)/2))/(LN(2)/2)*BL55*BO55*VLOOKUP('Données projet'!$B$11,Paramètres!$A$1:$I$89,3,0)*0.475*44/12</f>
        <v>2.3484173668902391</v>
      </c>
      <c r="BS55" s="22">
        <f t="shared" si="9"/>
        <v>29.965176108554942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8.1999999999999993</v>
      </c>
      <c r="BY55" s="12">
        <f>IF('Données projet'!$A$114&gt;35,BY54+BX55-CG54,IF(A55&lt;'Données projet'!$A$114,$BV$205^A55,IF(A55='Données projet'!$A$114,'Données projet'!$B$114,BY54+BX55-CG54)))</f>
        <v>239.39999999999998</v>
      </c>
      <c r="BZ55" s="13">
        <f>BY55*VLOOKUP('Données projet'!$B$12,Paramètres!$A$1:$I$89,3,0)*VLOOKUP('Données projet'!$B$12,Paramètres!$A$1:$I$89,5,0)</f>
        <v>257.69015999999999</v>
      </c>
      <c r="CA55" s="13">
        <f t="shared" si="39"/>
        <v>62.229757988797239</v>
      </c>
      <c r="CB55" s="20">
        <f t="shared" si="10"/>
        <v>557.1938571638218</v>
      </c>
      <c r="CC55" s="59">
        <f t="shared" si="11"/>
        <v>850.52719049715506</v>
      </c>
      <c r="CD55" s="59">
        <f ca="1">AVERAGE(OFFSET($CC$3,0,0,'Données projet'!$E$12+1,1))-AVERAGE(OFFSET($H$3,0,0,'Données projet'!$E$12+1,1))</f>
        <v>244.7364260963538</v>
      </c>
      <c r="CE55" s="59">
        <f t="shared" si="40"/>
        <v>270.32853612539299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25.669218588370704</v>
      </c>
      <c r="CL55" s="21">
        <f>EXP(-LN(2)/25)*CL54+(1-EXP(-LN(2)/25))/(LN(2)/25)*Calculateur!CG55*Calculateur!CI55*VLOOKUP('Données projet'!$B$12,Paramètres!$A$1:$I$89,3,0)*0.475*44/12</f>
        <v>4.7759113952295396</v>
      </c>
      <c r="CM55" s="21">
        <f>EXP(-LN(2)/2)*CM54+(1-EXP(-LN(2)/2))/(LN(2)/2)*CG55*CJ55*VLOOKUP('Données projet'!$B$12,Paramètres!$A$1:$I$89,3,0)*0.475*44/12</f>
        <v>2.7900826544879687</v>
      </c>
      <c r="CN55" s="22">
        <f t="shared" si="12"/>
        <v>33.235212638088214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8.1999999999999993</v>
      </c>
      <c r="CT55" s="12">
        <f>IF('Données projet'!$A$140&gt;35,CT54+CS55-DB54,IF(A55&lt;'Données projet'!$A$140,$CQ$205^A55,IF(A55='Données projet'!$A$140,'Données projet'!$B$140,CT54+CS55-DB54)))</f>
        <v>239.39999999999998</v>
      </c>
      <c r="CU55" s="17">
        <f>CT55*VLOOKUP('Données projet'!$B$13,Paramètres!$A$1:$I$89,3,0)*VLOOKUP('Données projet'!$B$13,Paramètres!$A$1:$I$89,5,0)</f>
        <v>231.54768000000001</v>
      </c>
      <c r="CV55" s="13">
        <f t="shared" si="41"/>
        <v>56.617195401946411</v>
      </c>
      <c r="CW55" s="20">
        <f t="shared" si="13"/>
        <v>501.88715799172331</v>
      </c>
      <c r="CX55" s="59">
        <f t="shared" si="14"/>
        <v>795.22049132505663</v>
      </c>
      <c r="CY55" s="59">
        <f ca="1">AVERAGE(OFFSET($CX$3,0,0,'Données projet'!$E$13+1,1))-AVERAGE(OFFSET($H$3,0,0,'Données projet'!$E$13+1,1))</f>
        <v>216.39536568500222</v>
      </c>
      <c r="CZ55" s="59">
        <f t="shared" si="42"/>
        <v>239.44686980897467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23.065094963463537</v>
      </c>
      <c r="DG55" s="21">
        <f>EXP(-LN(2)/25)*DG54+(1-EXP(-LN(2)/25))/(LN(2)/25)*Calculateur!DB55*Calculateur!DD55*VLOOKUP('Données projet'!$B$13,Paramètres!$A$1:$I$89,3,0)*0.475*44/12</f>
        <v>4.2913986449888606</v>
      </c>
      <c r="DH55" s="21">
        <f>EXP(-LN(2)/2)*DH54+(1-EXP(-LN(2)/2))/(LN(2)/2)*DB55*DE55*VLOOKUP('Données projet'!$B$13,Paramètres!$A$1:$I$89,3,0)*0.475*44/12</f>
        <v>2.5070307909891896</v>
      </c>
      <c r="DI55" s="22">
        <f t="shared" si="15"/>
        <v>29.863524399441587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31.41840000000002</v>
      </c>
      <c r="D56" s="11">
        <f t="shared" si="32"/>
        <v>9.6931270311445914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317.35213848602859</v>
      </c>
      <c r="H56" s="67">
        <f t="shared" si="1"/>
        <v>364.93590957924351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10.199999999999999</v>
      </c>
      <c r="N56" s="13">
        <f>IF('Données projet'!$A$36&gt;35,N55+M56-V55,IF(A56&lt;'Données projet'!$A$36,$K$205^A56,IF(A56='Données projet'!$A$36,'Données projet'!$B$36,N55+M56-V55)))</f>
        <v>233.6</v>
      </c>
      <c r="O56" s="13">
        <f>N56*VLOOKUP('Données projet'!$B$9,Paramètres!$A$1:$I$89,3,0)*VLOOKUP('Données projet'!$B$9,Paramètres!$A$1:$I$89,5,0)</f>
        <v>211.36127999999999</v>
      </c>
      <c r="P56" s="13">
        <f t="shared" si="33"/>
        <v>52.232947669705631</v>
      </c>
      <c r="Q56" s="20">
        <f t="shared" si="53"/>
        <v>459.09327985807062</v>
      </c>
      <c r="R56" s="59">
        <f t="shared" si="0"/>
        <v>752.42661319140393</v>
      </c>
      <c r="S56" s="59">
        <f ca="1">AVERAGE(OFFSET($R$3,0,0,'Données projet'!$E$9+1,1))-AVERAGE(OFFSET($H$3,0,0,'Données projet'!$E$9+1,1))</f>
        <v>330.30341204367602</v>
      </c>
      <c r="T56" s="59">
        <f t="shared" si="34"/>
        <v>200.36653694091007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20.072168494036728</v>
      </c>
      <c r="AA56" s="21">
        <f>EXP(-LN(2)/25)*AA55+(1-EXP(-LN(2)/25))/(LN(2)/25)*Calculateur!V56*Calculateur!X56*VLOOKUP('Données projet'!$B$9,Paramètres!$A$1:$I$89,3,0)*0.475*44/12</f>
        <v>2.0776882553832792</v>
      </c>
      <c r="AB56" s="21">
        <f>EXP(-LN(2)/2)*AB55+(1-EXP(-LN(2)/2))/(LN(2)/2)*V56*Y56*VLOOKUP('Données projet'!$B$9,Paramètres!$A$1:$I$89,3,0)*0.475*44/12</f>
        <v>0.6340071725940869</v>
      </c>
      <c r="AC56" s="22">
        <f t="shared" si="3"/>
        <v>22.783863922014092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30.4</v>
      </c>
      <c r="AI56" s="13">
        <f>IF('Données projet'!$A$62&gt;35,AI55+AH56-AQ55,IF(A56&lt;'Données projet'!$A$62,$AF$205^A56,IF(A56='Données projet'!$A$62,'Données projet'!$B$62,AI55+AH56-AQ55)))</f>
        <v>833.5999999999998</v>
      </c>
      <c r="AJ56" s="13">
        <f>AI56*VLOOKUP('Données projet'!$B$10,Paramètres!$A$1:$I$89,3,0)*VLOOKUP('Données projet'!$B$10,Paramètres!$A$1:$I$89,5,0)</f>
        <v>498.49279999999987</v>
      </c>
      <c r="AK56" s="13">
        <f t="shared" si="35"/>
        <v>111.48166850724996</v>
      </c>
      <c r="AL56" s="20">
        <f t="shared" si="4"/>
        <v>1062.3721993167935</v>
      </c>
      <c r="AM56" s="59">
        <f t="shared" si="5"/>
        <v>1355.7055326501268</v>
      </c>
      <c r="AN56" s="59">
        <f ca="1">AVERAGE(OFFSET($AM$3,0,0,'Données projet'!$E$10+1,1))-AVERAGE(OFFSET($H$3,0,0,'Données projet'!$E$10+1,1))</f>
        <v>465.77577582457678</v>
      </c>
      <c r="AO56" s="59">
        <f t="shared" si="36"/>
        <v>301.15495784503042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35.409549229316255</v>
      </c>
      <c r="AV56" s="21">
        <f>EXP(-LN(2)/25)*AV55+(1-EXP(-LN(2)/25))/(LN(2)/25)*Calculateur!AQ56*Calculateur!AS56*VLOOKUP('Données projet'!$B$10,Paramètres!$A$1:$I$89,3,0)*0.475*44/12</f>
        <v>24.082353186538072</v>
      </c>
      <c r="AW56" s="21">
        <f>EXP(-LN(2)/2)*AW55+(1-EXP(-LN(2)/2))/(LN(2)/2)*AQ56*AT56*VLOOKUP('Données projet'!$B$10,Paramètres!$A$1:$I$89,3,0)*0.475*44/12</f>
        <v>0.56096604848227016</v>
      </c>
      <c r="AX56" s="21">
        <f t="shared" si="6"/>
        <v>60.052868464336598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9.8000000000000007</v>
      </c>
      <c r="BD56" s="12">
        <f>IF('Données projet'!$A$88&gt;35,BD55+BC56-BL55,IF(A56&lt;'Données projet'!$A$88,$BA$205^A56,IF(A56='Données projet'!$A$88,'Données projet'!$B$88,BD55+BC56-BL55)))</f>
        <v>277.40000000000009</v>
      </c>
      <c r="BE56" s="13">
        <f>BD56*VLOOKUP('Données projet'!$B$11,Paramètres!$A$1:$I$89,3,0)*VLOOKUP('Données projet'!$B$11,Paramètres!$A$1:$I$89,5,0)</f>
        <v>216.37200000000007</v>
      </c>
      <c r="BF56" s="13">
        <f t="shared" si="37"/>
        <v>53.325596354398634</v>
      </c>
      <c r="BG56" s="20">
        <f t="shared" si="7"/>
        <v>469.72331365057767</v>
      </c>
      <c r="BH56" s="59">
        <f t="shared" si="8"/>
        <v>763.05664698391092</v>
      </c>
      <c r="BI56" s="59">
        <f ca="1">AVERAGE(OFFSET($BH$3,0,0,'Données projet'!$E$11+1,1))-AVERAGE(OFFSET($H$3,0,0,'Données projet'!$E$11+1,1))</f>
        <v>219.5868031007679</v>
      </c>
      <c r="BJ56" s="59">
        <f t="shared" si="38"/>
        <v>263.3830219837742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22.864201589050598</v>
      </c>
      <c r="BQ56" s="21">
        <f>EXP(-LN(2)/25)*BQ55+(1-EXP(-LN(2)/25))/(LN(2)/25)*Calculateur!BL56*Calculateur!BN56*VLOOKUP('Données projet'!$B$11,Paramètres!$A$1:$I$89,3,0)*0.475*44/12</f>
        <v>4.1777828595813968</v>
      </c>
      <c r="BR56" s="21">
        <f>EXP(-LN(2)/2)*BR55+(1-EXP(-LN(2)/2))/(LN(2)/2)*BL56*BO56*VLOOKUP('Données projet'!$B$11,Paramètres!$A$1:$I$89,3,0)*0.475*44/12</f>
        <v>1.6605818451843444</v>
      </c>
      <c r="BS56" s="22">
        <f t="shared" si="9"/>
        <v>28.702566293816339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8.1999999999999993</v>
      </c>
      <c r="BY56" s="12">
        <f>IF('Données projet'!$A$114&gt;35,BY55+BX56-CG55,IF(A56&lt;'Données projet'!$A$114,$BV$205^A56,IF(A56='Données projet'!$A$114,'Données projet'!$B$114,BY55+BX56-CG55)))</f>
        <v>247.59999999999997</v>
      </c>
      <c r="BZ56" s="13">
        <f>BY56*VLOOKUP('Données projet'!$B$12,Paramètres!$A$1:$I$89,3,0)*VLOOKUP('Données projet'!$B$12,Paramètres!$A$1:$I$89,5,0)</f>
        <v>266.51663999999994</v>
      </c>
      <c r="CA56" s="13">
        <f t="shared" si="39"/>
        <v>64.109454621794569</v>
      </c>
      <c r="CB56" s="20">
        <f t="shared" si="10"/>
        <v>575.84044813295873</v>
      </c>
      <c r="CC56" s="59">
        <f t="shared" si="11"/>
        <v>869.17378146629198</v>
      </c>
      <c r="CD56" s="59">
        <f ca="1">AVERAGE(OFFSET($CC$3,0,0,'Données projet'!$E$12+1,1))-AVERAGE(OFFSET($H$3,0,0,'Données projet'!$E$12+1,1))</f>
        <v>244.7364260963538</v>
      </c>
      <c r="CE56" s="59">
        <f t="shared" si="40"/>
        <v>270.32853612539299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25.165860868530125</v>
      </c>
      <c r="CL56" s="21">
        <f>EXP(-LN(2)/25)*CL55+(1-EXP(-LN(2)/25))/(LN(2)/25)*Calculateur!CG56*Calculateur!CI56*VLOOKUP('Données projet'!$B$12,Paramètres!$A$1:$I$89,3,0)*0.475*44/12</f>
        <v>4.6453138469727229</v>
      </c>
      <c r="CM56" s="21">
        <f>EXP(-LN(2)/2)*CM55+(1-EXP(-LN(2)/2))/(LN(2)/2)*CG56*CJ56*VLOOKUP('Données projet'!$B$12,Paramètres!$A$1:$I$89,3,0)*0.475*44/12</f>
        <v>1.972886365059406</v>
      </c>
      <c r="CN56" s="22">
        <f t="shared" si="12"/>
        <v>31.784061080562253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8.1999999999999993</v>
      </c>
      <c r="CT56" s="12">
        <f>IF('Données projet'!$A$140&gt;35,CT55+CS56-DB55,IF(A56&lt;'Données projet'!$A$140,$CQ$205^A56,IF(A56='Données projet'!$A$140,'Données projet'!$B$140,CT55+CS56-DB55)))</f>
        <v>247.59999999999997</v>
      </c>
      <c r="CU56" s="17">
        <f>CT56*VLOOKUP('Données projet'!$B$13,Paramètres!$A$1:$I$89,3,0)*VLOOKUP('Données projet'!$B$13,Paramètres!$A$1:$I$89,5,0)</f>
        <v>239.47871999999995</v>
      </c>
      <c r="CV56" s="13">
        <f t="shared" si="41"/>
        <v>58.327360361706539</v>
      </c>
      <c r="CW56" s="20">
        <f t="shared" si="13"/>
        <v>518.6789232966388</v>
      </c>
      <c r="CX56" s="59">
        <f t="shared" si="14"/>
        <v>812.01225662997217</v>
      </c>
      <c r="CY56" s="59">
        <f ca="1">AVERAGE(OFFSET($CX$3,0,0,'Données projet'!$E$13+1,1))-AVERAGE(OFFSET($H$3,0,0,'Données projet'!$E$13+1,1))</f>
        <v>216.39536568500222</v>
      </c>
      <c r="CZ56" s="59">
        <f t="shared" si="42"/>
        <v>239.44686980897467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22.612802519548815</v>
      </c>
      <c r="DG56" s="21">
        <f>EXP(-LN(2)/25)*DG55+(1-EXP(-LN(2)/25))/(LN(2)/25)*Calculateur!DB56*Calculateur!DD56*VLOOKUP('Données projet'!$B$13,Paramètres!$A$1:$I$89,3,0)*0.475*44/12</f>
        <v>4.1740501233667935</v>
      </c>
      <c r="DH56" s="21">
        <f>EXP(-LN(2)/2)*DH55+(1-EXP(-LN(2)/2))/(LN(2)/2)*DB56*DE56*VLOOKUP('Données projet'!$B$13,Paramètres!$A$1:$I$89,3,0)*0.475*44/12</f>
        <v>1.7727384729519302</v>
      </c>
      <c r="DI56" s="22">
        <f t="shared" si="15"/>
        <v>28.559591115867537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32.011200000000017</v>
      </c>
      <c r="D57" s="11">
        <f t="shared" si="32"/>
        <v>9.8545516964045827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323.17422362136887</v>
      </c>
      <c r="H57" s="67">
        <f t="shared" si="1"/>
        <v>366.24951753790464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10.199999999999999</v>
      </c>
      <c r="N57" s="13">
        <f>IF('Données projet'!$A$36&gt;35,N56+M57-V56,IF(A57&lt;'Données projet'!$A$36,$K$205^A57,IF(A57='Données projet'!$A$36,'Données projet'!$B$36,N56+M57-V56)))</f>
        <v>243.79999999999998</v>
      </c>
      <c r="O57" s="13">
        <f>N57*VLOOKUP('Données projet'!$B$9,Paramètres!$A$1:$I$89,3,0)*VLOOKUP('Données projet'!$B$9,Paramètres!$A$1:$I$89,5,0)</f>
        <v>220.59023999999997</v>
      </c>
      <c r="P57" s="13">
        <f t="shared" si="33"/>
        <v>54.24315145708789</v>
      </c>
      <c r="Q57" s="20">
        <f t="shared" si="53"/>
        <v>478.66815678776129</v>
      </c>
      <c r="R57" s="59">
        <f t="shared" si="0"/>
        <v>772.00149012109455</v>
      </c>
      <c r="S57" s="59">
        <f ca="1">AVERAGE(OFFSET($R$3,0,0,'Données projet'!$E$9+1,1))-AVERAGE(OFFSET($H$3,0,0,'Données projet'!$E$9+1,1))</f>
        <v>330.30341204367602</v>
      </c>
      <c r="T57" s="59">
        <f t="shared" si="34"/>
        <v>200.36653694091007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19.678565512682571</v>
      </c>
      <c r="AA57" s="21">
        <f>EXP(-LN(2)/25)*AA56+(1-EXP(-LN(2)/25))/(LN(2)/25)*Calculateur!V57*Calculateur!X57*VLOOKUP('Données projet'!$B$9,Paramètres!$A$1:$I$89,3,0)*0.475*44/12</f>
        <v>2.0208737607789469</v>
      </c>
      <c r="AB57" s="21">
        <f>EXP(-LN(2)/2)*AB56+(1-EXP(-LN(2)/2))/(LN(2)/2)*V57*Y57*VLOOKUP('Données projet'!$B$9,Paramètres!$A$1:$I$89,3,0)*0.475*44/12</f>
        <v>0.4483107710621887</v>
      </c>
      <c r="AC57" s="22">
        <f t="shared" si="3"/>
        <v>22.147750044523708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864</v>
      </c>
      <c r="AG57" s="12">
        <f>VLOOKUP(A57,'Données projet'!$A$61:$I$81,9,0)</f>
        <v>30.4</v>
      </c>
      <c r="AH57" s="12">
        <f t="array" ref="AH57">INDEX(AG:AG,MIN(IF(ISNUMBER(AG57:AG253),ROW(AG57:AG253),"")))</f>
        <v>30.4</v>
      </c>
      <c r="AI57" s="13">
        <f>IF('Données projet'!$A$62&gt;35,AI56+AH57-AQ56,IF(A57&lt;'Données projet'!$A$62,$AF$205^A57,IF(A57='Données projet'!$A$62,'Données projet'!$B$62,AI56+AH57-AQ56)))</f>
        <v>863.99999999999977</v>
      </c>
      <c r="AJ57" s="13">
        <f>AI57*VLOOKUP('Données projet'!$B$10,Paramètres!$A$1:$I$89,3,0)*VLOOKUP('Données projet'!$B$10,Paramètres!$A$1:$I$89,5,0)</f>
        <v>516.67199999999991</v>
      </c>
      <c r="AK57" s="13">
        <f t="shared" si="35"/>
        <v>115.06646572088937</v>
      </c>
      <c r="AL57" s="20">
        <f t="shared" si="4"/>
        <v>1100.2778277972154</v>
      </c>
      <c r="AM57" s="59">
        <f t="shared" si="5"/>
        <v>1393.6111611305487</v>
      </c>
      <c r="AN57" s="59">
        <f ca="1">AVERAGE(OFFSET($AM$3,0,0,'Données projet'!$E$10+1,1))-AVERAGE(OFFSET($H$3,0,0,'Données projet'!$E$10+1,1))</f>
        <v>465.77577582457678</v>
      </c>
      <c r="AO57" s="59">
        <f t="shared" si="36"/>
        <v>301.15495784503042</v>
      </c>
      <c r="AP57" s="15">
        <f>IF(ISNA(VLOOKUP(A57,'Données projet'!$A$61:$I$81,3,0)),0,VLOOKUP(A57,'Données projet'!$A$61:$I$81,3,0))</f>
        <v>6</v>
      </c>
      <c r="AQ57" s="15">
        <f>IF(ISNA(VLOOKUP(A57,'Données projet'!$A$61:$I$81,4,0)),0,VLOOKUP(A57,'Données projet'!$A$61:$I$81,4,0))</f>
        <v>95</v>
      </c>
      <c r="AR57" s="16">
        <f>IF(ISNA(VLOOKUP(A57,'Données projet'!$A$61:$I$81,5,0)),0%,VLOOKUP(A57,'Données projet'!$A$61:$I$81,5,0)*VLOOKUP('Données projet'!$B$10,Paramètres!$A$1:$I$89,7,0))</f>
        <v>0.22500000000000001</v>
      </c>
      <c r="AS57" s="16">
        <f>IF(ISNA(VLOOKUP(A57,'Données projet'!$A$61:$I$81,6,0)),0%,VLOOKUP(A57,'Données projet'!$A$61:$I$81,6,0)*VLOOKUP('Données projet'!$B$10,Paramètres!$A$1:$I$89,7,0))</f>
        <v>0.13500000000000001</v>
      </c>
      <c r="AT57" s="16">
        <f>IF(ISNA(VLOOKUP(A57,'Données projet'!$A$61:$I$81,7,0)),0%,VLOOKUP(A57,'Données projet'!$A$61:$I$81,7,0))</f>
        <v>0.2</v>
      </c>
      <c r="AU57" s="21">
        <f>EXP(-LN(2)/35)*AU56+(1-EXP(-LN(2)/35))/(LN(2)/35)*AQ57*AR57*VLOOKUP('Données projet'!$B$10,Paramètres!$A$1:$I$89,3,0)*0.475*44/12</f>
        <v>51.671668077163858</v>
      </c>
      <c r="AV57" s="21">
        <f>EXP(-LN(2)/25)*AV56+(1-EXP(-LN(2)/25))/(LN(2)/25)*Calculateur!AQ57*Calculateur!AS57*VLOOKUP('Données projet'!$B$10,Paramètres!$A$1:$I$89,3,0)*0.475*44/12</f>
        <v>33.557648608449007</v>
      </c>
      <c r="AW57" s="21">
        <f>EXP(-LN(2)/2)*AW56+(1-EXP(-LN(2)/2))/(LN(2)/2)*AQ57*AT57*VLOOKUP('Données projet'!$B$10,Paramètres!$A$1:$I$89,3,0)*0.475*44/12</f>
        <v>13.26108626139294</v>
      </c>
      <c r="AX57" s="21">
        <f t="shared" si="6"/>
        <v>98.490402947005805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9.8000000000000007</v>
      </c>
      <c r="BD57" s="12">
        <f>IF('Données projet'!$A$88&gt;35,BD56+BC57-BL56,IF(A57&lt;'Données projet'!$A$88,$BA$205^A57,IF(A57='Données projet'!$A$88,'Données projet'!$B$88,BD56+BC57-BL56)))</f>
        <v>287.2000000000001</v>
      </c>
      <c r="BE57" s="13">
        <f>BD57*VLOOKUP('Données projet'!$B$11,Paramètres!$A$1:$I$89,3,0)*VLOOKUP('Données projet'!$B$11,Paramètres!$A$1:$I$89,5,0)</f>
        <v>224.01600000000008</v>
      </c>
      <c r="BF57" s="13">
        <f t="shared" si="37"/>
        <v>54.986822380896371</v>
      </c>
      <c r="BG57" s="20">
        <f t="shared" si="7"/>
        <v>485.92991564672792</v>
      </c>
      <c r="BH57" s="59">
        <f t="shared" si="8"/>
        <v>779.26324898006123</v>
      </c>
      <c r="BI57" s="59">
        <f ca="1">AVERAGE(OFFSET($BH$3,0,0,'Données projet'!$E$11+1,1))-AVERAGE(OFFSET($H$3,0,0,'Données projet'!$E$11+1,1))</f>
        <v>219.5868031007679</v>
      </c>
      <c r="BJ57" s="59">
        <f t="shared" si="38"/>
        <v>263.3830219837742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22.415848541675253</v>
      </c>
      <c r="BQ57" s="21">
        <f>EXP(-LN(2)/25)*BQ56+(1-EXP(-LN(2)/25))/(LN(2)/25)*Calculateur!BL57*Calculateur!BN57*VLOOKUP('Données projet'!$B$11,Paramètres!$A$1:$I$89,3,0)*0.475*44/12</f>
        <v>4.0635411675860915</v>
      </c>
      <c r="BR57" s="21">
        <f>EXP(-LN(2)/2)*BR56+(1-EXP(-LN(2)/2))/(LN(2)/2)*BL57*BO57*VLOOKUP('Données projet'!$B$11,Paramètres!$A$1:$I$89,3,0)*0.475*44/12</f>
        <v>1.1742086834451195</v>
      </c>
      <c r="BS57" s="22">
        <f t="shared" si="9"/>
        <v>27.653598392706463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8.1999999999999993</v>
      </c>
      <c r="BY57" s="12">
        <f>IF('Données projet'!$A$114&gt;35,BY56+BX57-CG56,IF(A57&lt;'Données projet'!$A$114,$BV$205^A57,IF(A57='Données projet'!$A$114,'Données projet'!$B$114,BY56+BX57-CG56)))</f>
        <v>255.79999999999995</v>
      </c>
      <c r="BZ57" s="13">
        <f>BY57*VLOOKUP('Données projet'!$B$12,Paramètres!$A$1:$I$89,3,0)*VLOOKUP('Données projet'!$B$12,Paramètres!$A$1:$I$89,5,0)</f>
        <v>275.34311999999994</v>
      </c>
      <c r="CA57" s="13">
        <f t="shared" si="39"/>
        <v>65.981917712653129</v>
      </c>
      <c r="CB57" s="20">
        <f t="shared" si="10"/>
        <v>594.47444068287075</v>
      </c>
      <c r="CC57" s="59">
        <f t="shared" si="11"/>
        <v>887.80777401620412</v>
      </c>
      <c r="CD57" s="59">
        <f ca="1">AVERAGE(OFFSET($CC$3,0,0,'Données projet'!$E$12+1,1))-AVERAGE(OFFSET($H$3,0,0,'Données projet'!$E$12+1,1))</f>
        <v>244.7364260963538</v>
      </c>
      <c r="CE57" s="59">
        <f t="shared" si="40"/>
        <v>270.32853612539299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24.672373686557727</v>
      </c>
      <c r="CL57" s="21">
        <f>EXP(-LN(2)/25)*CL56+(1-EXP(-LN(2)/25))/(LN(2)/25)*Calculateur!CG57*Calculateur!CI57*VLOOKUP('Données projet'!$B$12,Paramètres!$A$1:$I$89,3,0)*0.475*44/12</f>
        <v>4.5182874955408154</v>
      </c>
      <c r="CM57" s="21">
        <f>EXP(-LN(2)/2)*CM56+(1-EXP(-LN(2)/2))/(LN(2)/2)*CG57*CJ57*VLOOKUP('Données projet'!$B$12,Paramètres!$A$1:$I$89,3,0)*0.475*44/12</f>
        <v>1.3950413272439846</v>
      </c>
      <c r="CN57" s="22">
        <f t="shared" si="12"/>
        <v>30.585702509342525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8.1999999999999993</v>
      </c>
      <c r="CT57" s="12">
        <f>IF('Données projet'!$A$140&gt;35,CT56+CS57-DB56,IF(A57&lt;'Données projet'!$A$140,$CQ$205^A57,IF(A57='Données projet'!$A$140,'Données projet'!$B$140,CT56+CS57-DB56)))</f>
        <v>255.79999999999995</v>
      </c>
      <c r="CU57" s="17">
        <f>CT57*VLOOKUP('Données projet'!$B$13,Paramètres!$A$1:$I$89,3,0)*VLOOKUP('Données projet'!$B$13,Paramètres!$A$1:$I$89,5,0)</f>
        <v>247.40975999999998</v>
      </c>
      <c r="CV57" s="13">
        <f t="shared" si="41"/>
        <v>60.030944179550609</v>
      </c>
      <c r="CW57" s="20">
        <f t="shared" si="13"/>
        <v>535.45922644605059</v>
      </c>
      <c r="CX57" s="59">
        <f t="shared" si="14"/>
        <v>828.79255977938396</v>
      </c>
      <c r="CY57" s="59">
        <f ca="1">AVERAGE(OFFSET($CX$3,0,0,'Données projet'!$E$13+1,1))-AVERAGE(OFFSET($H$3,0,0,'Données projet'!$E$13+1,1))</f>
        <v>216.39536568500222</v>
      </c>
      <c r="CZ57" s="59">
        <f t="shared" si="42"/>
        <v>239.44686980897467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22.169379254588108</v>
      </c>
      <c r="DG57" s="21">
        <f>EXP(-LN(2)/25)*DG56+(1-EXP(-LN(2)/25))/(LN(2)/25)*Calculateur!DB57*Calculateur!DD57*VLOOKUP('Données projet'!$B$13,Paramètres!$A$1:$I$89,3,0)*0.475*44/12</f>
        <v>4.0599105032395721</v>
      </c>
      <c r="DH57" s="21">
        <f>EXP(-LN(2)/2)*DH56+(1-EXP(-LN(2)/2))/(LN(2)/2)*DB57*DE57*VLOOKUP('Données projet'!$B$13,Paramètres!$A$1:$I$89,3,0)*0.475*44/12</f>
        <v>1.253515395494595</v>
      </c>
      <c r="DI57" s="22">
        <f t="shared" si="15"/>
        <v>27.482805153322275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32.604000000000013</v>
      </c>
      <c r="D58" s="11">
        <f t="shared" si="32"/>
        <v>10.015628755581481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328.9936254816817</v>
      </c>
      <c r="H58" s="67">
        <f t="shared" si="1"/>
        <v>367.56252008263777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254</v>
      </c>
      <c r="L58" s="12">
        <f>VLOOKUP(A58,'Données projet'!$A$35:$I$55,9,0)</f>
        <v>10.199999999999999</v>
      </c>
      <c r="M58" s="12">
        <f t="array" ref="M58">INDEX(L:L,MIN(IF(ISNUMBER(L58:L254),ROW(L58:L254),"")))</f>
        <v>10.199999999999999</v>
      </c>
      <c r="N58" s="13">
        <f>IF('Données projet'!$A$36&gt;35,N57+M58-V57,IF(A58&lt;'Données projet'!$A$36,$K$205^A58,IF(A58='Données projet'!$A$36,'Données projet'!$B$36,N57+M58-V57)))</f>
        <v>253.99999999999997</v>
      </c>
      <c r="O58" s="13">
        <f>N58*VLOOKUP('Données projet'!$B$9,Paramètres!$A$1:$I$89,3,0)*VLOOKUP('Données projet'!$B$9,Paramètres!$A$1:$I$89,5,0)</f>
        <v>229.81919999999997</v>
      </c>
      <c r="P58" s="13">
        <f t="shared" si="33"/>
        <v>56.243586554989342</v>
      </c>
      <c r="Q58" s="20">
        <f t="shared" si="53"/>
        <v>498.22601991660639</v>
      </c>
      <c r="R58" s="59">
        <f t="shared" si="0"/>
        <v>791.5593532499397</v>
      </c>
      <c r="S58" s="59">
        <f ca="1">AVERAGE(OFFSET($R$3,0,0,'Données projet'!$E$9+1,1))-AVERAGE(OFFSET($H$3,0,0,'Données projet'!$E$9+1,1))</f>
        <v>330.30341204367602</v>
      </c>
      <c r="T58" s="59">
        <f t="shared" si="34"/>
        <v>200.36653694091007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28</v>
      </c>
      <c r="W58" s="16">
        <f>IF(ISNA(VLOOKUP(A58,'Données projet'!$A$35:$I$55,5,0)),0%,VLOOKUP(A58,'Données projet'!$A$35:$I$55,5,0)*VLOOKUP('Données projet'!$B$9,Paramètres!$A$1:$I$89,7,0))</f>
        <v>0.34400000000000003</v>
      </c>
      <c r="X58" s="16">
        <f>IF(ISNA(VLOOKUP(A58,'Données projet'!$A$35:$I$55,6,0)),0%,VLOOKUP(A58,'Données projet'!$A$35:$I$55,6,0)*VLOOKUP('Données projet'!$B$9,Paramètres!$A$1:$I$89,7,0))</f>
        <v>1.72E-2</v>
      </c>
      <c r="Y58" s="16">
        <f>IF(ISNA(VLOOKUP(A58,'Données projet'!$A$35:$I$55,7,0)),0%,VLOOKUP(A58,'Données projet'!$A$35:$I$55,7,0))</f>
        <v>0.06</v>
      </c>
      <c r="Z58" s="21">
        <f>EXP(-LN(2)/35)*Z57+(1-EXP(-LN(2)/35))/(LN(2)/35)*V58*W58*VLOOKUP('Données projet'!$B$9,Paramètres!$A$1:$I$89,3,0)*0.475*44/12</f>
        <v>28.926892347153071</v>
      </c>
      <c r="AA58" s="21">
        <f>EXP(-LN(2)/25)*AA57+(1-EXP(-LN(2)/25))/(LN(2)/25)*Calculateur!V58*Calculateur!X58*VLOOKUP('Données projet'!$B$9,Paramètres!$A$1:$I$89,3,0)*0.475*44/12</f>
        <v>2.4454267585088587</v>
      </c>
      <c r="AB58" s="21">
        <f>EXP(-LN(2)/2)*AB57+(1-EXP(-LN(2)/2))/(LN(2)/2)*V58*Y58*VLOOKUP('Données projet'!$B$9,Paramètres!$A$1:$I$89,3,0)*0.475*44/12</f>
        <v>1.7512248822197682</v>
      </c>
      <c r="AC58" s="22">
        <f t="shared" si="3"/>
        <v>33.123543987881696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29.6</v>
      </c>
      <c r="AI58" s="13">
        <f>IF('Données projet'!$A$62&gt;35,AI57+AH58-AQ57,IF(A58&lt;'Données projet'!$A$62,$AF$205^A58,IF(A58='Données projet'!$A$62,'Données projet'!$B$62,AI57+AH58-AQ57)))</f>
        <v>798.5999999999998</v>
      </c>
      <c r="AJ58" s="13">
        <f>AI58*VLOOKUP('Données projet'!$B$10,Paramètres!$A$1:$I$89,3,0)*VLOOKUP('Données projet'!$B$10,Paramètres!$A$1:$I$89,5,0)</f>
        <v>477.56279999999992</v>
      </c>
      <c r="AK58" s="13">
        <f t="shared" si="35"/>
        <v>107.33550543638138</v>
      </c>
      <c r="AL58" s="20">
        <f t="shared" si="4"/>
        <v>1018.6978819683641</v>
      </c>
      <c r="AM58" s="59">
        <f t="shared" si="5"/>
        <v>1312.0312153016973</v>
      </c>
      <c r="AN58" s="59">
        <f ca="1">AVERAGE(OFFSET($AM$3,0,0,'Données projet'!$E$10+1,1))-AVERAGE(OFFSET($H$3,0,0,'Données projet'!$E$10+1,1))</f>
        <v>465.77577582457678</v>
      </c>
      <c r="AO58" s="59">
        <f t="shared" si="36"/>
        <v>301.15495784503042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50.658418182776195</v>
      </c>
      <c r="AV58" s="21">
        <f>EXP(-LN(2)/25)*AV57+(1-EXP(-LN(2)/25))/(LN(2)/25)*Calculateur!AQ58*Calculateur!AS58*VLOOKUP('Données projet'!$B$10,Paramètres!$A$1:$I$89,3,0)*0.475*44/12</f>
        <v>32.640012942530923</v>
      </c>
      <c r="AW58" s="21">
        <f>EXP(-LN(2)/2)*AW57+(1-EXP(-LN(2)/2))/(LN(2)/2)*AQ58*AT58*VLOOKUP('Données projet'!$B$10,Paramètres!$A$1:$I$89,3,0)*0.475*44/12</f>
        <v>9.3770040213307091</v>
      </c>
      <c r="AX58" s="21">
        <f t="shared" si="6"/>
        <v>92.675435146637824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297</v>
      </c>
      <c r="BB58" s="12">
        <f>VLOOKUP(A58,'Données projet'!$A$87:$I$107,9,0)</f>
        <v>9.8000000000000007</v>
      </c>
      <c r="BC58" s="12">
        <f t="array" ref="BC58">INDEX(BB:BB,MIN(IF(ISNUMBER(BB58:BB254),ROW(BB58:BB254),"")))</f>
        <v>9.8000000000000007</v>
      </c>
      <c r="BD58" s="12">
        <f>IF('Données projet'!$A$88&gt;35,BD57+BC58-BL57,IF(A58&lt;'Données projet'!$A$88,$BA$205^A58,IF(A58='Données projet'!$A$88,'Données projet'!$B$88,BD57+BC58-BL57)))</f>
        <v>297.00000000000011</v>
      </c>
      <c r="BE58" s="13">
        <f>BD58*VLOOKUP('Données projet'!$B$11,Paramètres!$A$1:$I$89,3,0)*VLOOKUP('Données projet'!$B$11,Paramètres!$A$1:$I$89,5,0)</f>
        <v>231.66000000000011</v>
      </c>
      <c r="BF58" s="13">
        <f t="shared" si="37"/>
        <v>56.641461975682823</v>
      </c>
      <c r="BG58" s="20">
        <f t="shared" si="7"/>
        <v>502.1250462743144</v>
      </c>
      <c r="BH58" s="59">
        <f t="shared" si="8"/>
        <v>795.45837960764766</v>
      </c>
      <c r="BI58" s="59">
        <f ca="1">AVERAGE(OFFSET($BH$3,0,0,'Données projet'!$E$11+1,1))-AVERAGE(OFFSET($H$3,0,0,'Données projet'!$E$11+1,1))</f>
        <v>219.5868031007679</v>
      </c>
      <c r="BJ58" s="59">
        <f t="shared" si="38"/>
        <v>263.3830219837742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35</v>
      </c>
      <c r="BM58" s="16">
        <f>IF(ISNA(VLOOKUP(A58,'Données projet'!$A$87:$I$107,5,0)),0%,VLOOKUP(A58,'Données projet'!$A$87:$I$107,5,0)*VLOOKUP('Données projet'!$B$11,Paramètres!$A$1:$I$89,7,0))</f>
        <v>0.215</v>
      </c>
      <c r="BN58" s="16">
        <f>IF(ISNA(VLOOKUP(A58,'Données projet'!$A$87:$I$107,6,0)),0%,VLOOKUP(A58,'Données projet'!$A$87:$I$107,6,0)*VLOOKUP('Données projet'!$B$11,Paramètres!$A$1:$I$89,7,0))</f>
        <v>4.3000000000000003E-2</v>
      </c>
      <c r="BO58" s="16">
        <f>IF(ISNA(VLOOKUP(A58,'Données projet'!$A$87:$I$107,7,0)),0%,VLOOKUP(A58,'Données projet'!$A$87:$I$107,7,0))</f>
        <v>0.15</v>
      </c>
      <c r="BP58" s="21">
        <f>EXP(-LN(2)/35)*BP57+(1-EXP(-LN(2)/35))/(LN(2)/35)*BL58*BM58*VLOOKUP('Données projet'!$B$11,Paramètres!$A$1:$I$89,3,0)*0.475*44/12</f>
        <v>28.464845816759233</v>
      </c>
      <c r="BQ58" s="21">
        <f>EXP(-LN(2)/25)*BQ57+(1-EXP(-LN(2)/25))/(LN(2)/25)*Calculateur!BL58*Calculateur!BN58*VLOOKUP('Données projet'!$B$11,Paramètres!$A$1:$I$89,3,0)*0.475*44/12</f>
        <v>5.245025513854535</v>
      </c>
      <c r="BR58" s="21">
        <f>EXP(-LN(2)/2)*BR57+(1-EXP(-LN(2)/2))/(LN(2)/2)*BL58*BO58*VLOOKUP('Données projet'!$B$11,Paramètres!$A$1:$I$89,3,0)*0.475*44/12</f>
        <v>4.6940336379012368</v>
      </c>
      <c r="BS58" s="22">
        <f t="shared" si="9"/>
        <v>38.403904968515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264</v>
      </c>
      <c r="BW58" s="12">
        <f>VLOOKUP(A58,'Données projet'!$A$113:$I$133,9,0)</f>
        <v>8.1999999999999993</v>
      </c>
      <c r="BX58" s="12">
        <f t="array" ref="BX58">INDEX(BW:BW,MIN(IF(ISNUMBER(BW58:BW254),ROW(BW58:BW254),"")))</f>
        <v>8.1999999999999993</v>
      </c>
      <c r="BY58" s="12">
        <f>IF('Données projet'!$A$114&gt;35,BY57+BX58-CG57,IF(A58&lt;'Données projet'!$A$114,$BV$205^A58,IF(A58='Données projet'!$A$114,'Données projet'!$B$114,BY57+BX58-CG57)))</f>
        <v>263.99999999999994</v>
      </c>
      <c r="BZ58" s="13">
        <f>BY58*VLOOKUP('Données projet'!$B$12,Paramètres!$A$1:$I$89,3,0)*VLOOKUP('Données projet'!$B$12,Paramètres!$A$1:$I$89,5,0)</f>
        <v>284.16959999999989</v>
      </c>
      <c r="CA58" s="13">
        <f t="shared" si="39"/>
        <v>67.847405740313874</v>
      </c>
      <c r="CB58" s="20">
        <f t="shared" si="10"/>
        <v>613.09628499771316</v>
      </c>
      <c r="CC58" s="59">
        <f t="shared" si="11"/>
        <v>906.42961833104641</v>
      </c>
      <c r="CD58" s="59">
        <f ca="1">AVERAGE(OFFSET($CC$3,0,0,'Données projet'!$E$12+1,1))-AVERAGE(OFFSET($H$3,0,0,'Données projet'!$E$12+1,1))</f>
        <v>244.7364260963538</v>
      </c>
      <c r="CE58" s="59">
        <f t="shared" si="40"/>
        <v>270.32853612539299</v>
      </c>
      <c r="CF58" s="15">
        <f>IF(ISNA(VLOOKUP(A58,'Données projet'!$A$113:$I$133,3,0)),0,VLOOKUP(A58,'Données projet'!$A$113:$I$133,3,0))</f>
        <v>7</v>
      </c>
      <c r="CG58" s="15">
        <f>IF(ISNA(VLOOKUP(A58,'Données projet'!$A$113:$I$133,4,0)),0,VLOOKUP(A58,'Données projet'!$A$113:$I$133,4,0))</f>
        <v>30</v>
      </c>
      <c r="CH58" s="16">
        <f>IF(ISNA(VLOOKUP(A58,'Données projet'!$A$113:$I$133,5,0)),0%,VLOOKUP(A58,'Données projet'!$A$113:$I$133,5,0)*VLOOKUP('Données projet'!$B$12,Paramètres!$A$1:$I$89,7,0))</f>
        <v>0.215</v>
      </c>
      <c r="CI58" s="16">
        <f>IF(ISNA(VLOOKUP(A58,'Données projet'!$A$113:$I$133,6,0)),0%,VLOOKUP(A58,'Données projet'!$A$113:$I$133,6,0)*VLOOKUP('Données projet'!$B$12,Paramètres!$A$1:$I$89,7,0))</f>
        <v>4.3000000000000003E-2</v>
      </c>
      <c r="CJ58" s="16">
        <f>IF(ISNA(VLOOKUP(A58,'Données projet'!$A$113:$I$133,7,0)),0%,VLOOKUP(A58,'Données projet'!$A$113:$I$133,7,0))</f>
        <v>0.15</v>
      </c>
      <c r="CK58" s="21">
        <f>EXP(-LN(2)/35)*CK57+(1-EXP(-LN(2)/35))/(LN(2)/35)*CG58*CH58*VLOOKUP('Données projet'!$B$12,Paramètres!$A$1:$I$89,3,0)*0.475*44/12</f>
        <v>31.86360112884012</v>
      </c>
      <c r="CL58" s="21">
        <f>EXP(-LN(2)/25)*CL57+(1-EXP(-LN(2)/25))/(LN(2)/25)*Calculateur!CG58*Calculateur!CI58*VLOOKUP('Données projet'!$B$12,Paramètres!$A$1:$I$89,3,0)*0.475*44/12</f>
        <v>5.9236983051688652</v>
      </c>
      <c r="CM58" s="21">
        <f>EXP(-LN(2)/2)*CM57+(1-EXP(-LN(2)/2))/(LN(2)/2)*CG58*CJ58*VLOOKUP('Données projet'!$B$12,Paramètres!$A$1:$I$89,3,0)*0.475*44/12</f>
        <v>5.5566988514952822</v>
      </c>
      <c r="CN58" s="22">
        <f t="shared" si="12"/>
        <v>43.34399828550427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264</v>
      </c>
      <c r="CR58" s="12">
        <f>VLOOKUP(A58,'Données projet'!$A$139:$I$159,9,0)</f>
        <v>8.1999999999999993</v>
      </c>
      <c r="CS58" s="12">
        <f t="array" ref="CS58">INDEX(CR:CR,MIN(IF(ISNUMBER(CR58:CR254),ROW(CR58:CR254),"")))</f>
        <v>8.1999999999999993</v>
      </c>
      <c r="CT58" s="12">
        <f>IF('Données projet'!$A$140&gt;35,CT57+CS58-DB57,IF(A58&lt;'Données projet'!$A$140,$CQ$205^A58,IF(A58='Données projet'!$A$140,'Données projet'!$B$140,CT57+CS58-DB57)))</f>
        <v>263.99999999999994</v>
      </c>
      <c r="CU58" s="17">
        <f>CT58*VLOOKUP('Données projet'!$B$13,Paramètres!$A$1:$I$89,3,0)*VLOOKUP('Données projet'!$B$13,Paramètres!$A$1:$I$89,5,0)</f>
        <v>255.34079999999994</v>
      </c>
      <c r="CV58" s="13">
        <f t="shared" si="41"/>
        <v>61.728182021951895</v>
      </c>
      <c r="CW58" s="20">
        <f t="shared" si="13"/>
        <v>552.22847702156605</v>
      </c>
      <c r="CX58" s="59">
        <f t="shared" si="14"/>
        <v>845.56181035489931</v>
      </c>
      <c r="CY58" s="59">
        <f ca="1">AVERAGE(OFFSET($CX$3,0,0,'Données projet'!$E$13+1,1))-AVERAGE(OFFSET($H$3,0,0,'Données projet'!$E$13+1,1))</f>
        <v>216.39536568500222</v>
      </c>
      <c r="CZ58" s="59">
        <f t="shared" si="42"/>
        <v>239.44686980897467</v>
      </c>
      <c r="DA58" s="15">
        <f>IF(ISNA(VLOOKUP(A58,'Données projet'!$A$139:$I$159,3,0)),0,VLOOKUP(A58,'Données projet'!$A$139:$I$159,3,0))</f>
        <v>7</v>
      </c>
      <c r="DB58" s="15">
        <f>IF(ISNA(VLOOKUP(A58,'Données projet'!$A$139:$I$159,4,0)),0,VLOOKUP(A58,'Données projet'!$A$139:$I$159,4,0))</f>
        <v>30</v>
      </c>
      <c r="DC58" s="16">
        <f>IF(ISNA(VLOOKUP(A58,'Données projet'!$A$139:$I$159,5,0)),0%,VLOOKUP(A58,'Données projet'!$A$139:$I$159,5,0)*VLOOKUP('Données projet'!$B$13,Paramètres!$A$1:$I$89,7,0))</f>
        <v>0.215</v>
      </c>
      <c r="DD58" s="16">
        <f>IF(ISNA(VLOOKUP(A58,'Données projet'!$A$139:$I$159,6,0)),0%,VLOOKUP(A58,'Données projet'!$A$139:$I$159,6,0)*VLOOKUP('Données projet'!$B$13,Paramètres!$A$1:$I$89,7,0))</f>
        <v>4.3000000000000003E-2</v>
      </c>
      <c r="DE58" s="16">
        <f>IF(ISNA(VLOOKUP(A58,'Données projet'!$A$139:$I$159,7,0)),0%,VLOOKUP(A58,'Données projet'!$A$139:$I$159,7,0))</f>
        <v>0.15</v>
      </c>
      <c r="DF58" s="21">
        <f>EXP(-LN(2)/35)*DF57+(1-EXP(-LN(2)/35))/(LN(2)/35)*DB58*DC58*VLOOKUP('Données projet'!$B$13,Paramètres!$A$1:$I$89,3,0)*0.475*44/12</f>
        <v>28.631061883885334</v>
      </c>
      <c r="DG58" s="21">
        <f>EXP(-LN(2)/25)*DG57+(1-EXP(-LN(2)/25))/(LN(2)/25)*Calculateur!DB58*Calculateur!DD58*VLOOKUP('Données projet'!$B$13,Paramètres!$A$1:$I$89,3,0)*0.475*44/12</f>
        <v>5.3227434046444868</v>
      </c>
      <c r="DH58" s="21">
        <f>EXP(-LN(2)/2)*DH57+(1-EXP(-LN(2)/2))/(LN(2)/2)*DB58*DE58*VLOOKUP('Données projet'!$B$13,Paramètres!$A$1:$I$89,3,0)*0.475*44/12</f>
        <v>4.9929757796044569</v>
      </c>
      <c r="DI58" s="22">
        <f t="shared" si="15"/>
        <v>38.946781068134278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33.19680000000001</v>
      </c>
      <c r="D59" s="11">
        <f t="shared" si="32"/>
        <v>10.176365257768927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334.81039848102336</v>
      </c>
      <c r="H59" s="67">
        <f t="shared" si="1"/>
        <v>368.87492949061419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9.4</v>
      </c>
      <c r="N59" s="13">
        <f>IF('Données projet'!$A$36&gt;35,N58+M59-V58,IF(A59&lt;'Données projet'!$A$36,$K$205^A59,IF(A59='Données projet'!$A$36,'Données projet'!$B$36,N58+M59-V58)))</f>
        <v>235.39999999999998</v>
      </c>
      <c r="O59" s="13">
        <f>N59*VLOOKUP('Données projet'!$B$9,Paramètres!$A$1:$I$89,3,0)*VLOOKUP('Données projet'!$B$9,Paramètres!$A$1:$I$89,5,0)</f>
        <v>212.98991999999998</v>
      </c>
      <c r="P59" s="13">
        <f t="shared" si="33"/>
        <v>52.588419883221171</v>
      </c>
      <c r="Q59" s="20">
        <f t="shared" si="53"/>
        <v>462.54894196327677</v>
      </c>
      <c r="R59" s="59">
        <f t="shared" si="0"/>
        <v>755.88227529661003</v>
      </c>
      <c r="S59" s="59">
        <f ca="1">AVERAGE(OFFSET($R$3,0,0,'Données projet'!$E$9+1,1))-AVERAGE(OFFSET($H$3,0,0,'Données projet'!$E$9+1,1))</f>
        <v>330.30341204367602</v>
      </c>
      <c r="T59" s="59">
        <f t="shared" si="34"/>
        <v>200.36653694091007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28.359653631887564</v>
      </c>
      <c r="AA59" s="21">
        <f>EXP(-LN(2)/25)*AA58+(1-EXP(-LN(2)/25))/(LN(2)/25)*Calculateur!V59*Calculateur!X59*VLOOKUP('Données projet'!$B$9,Paramètres!$A$1:$I$89,3,0)*0.475*44/12</f>
        <v>2.3785564351980297</v>
      </c>
      <c r="AB59" s="21">
        <f>EXP(-LN(2)/2)*AB58+(1-EXP(-LN(2)/2))/(LN(2)/2)*V59*Y59*VLOOKUP('Données projet'!$B$9,Paramètres!$A$1:$I$89,3,0)*0.475*44/12</f>
        <v>1.2383029896002111</v>
      </c>
      <c r="AC59" s="22">
        <f t="shared" si="3"/>
        <v>31.976513056685803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29.6</v>
      </c>
      <c r="AI59" s="13">
        <f>IF('Données projet'!$A$62&gt;35,AI58+AH59-AQ58,IF(A59&lt;'Données projet'!$A$62,$AF$205^A59,IF(A59='Données projet'!$A$62,'Données projet'!$B$62,AI58+AH59-AQ58)))</f>
        <v>828.19999999999982</v>
      </c>
      <c r="AJ59" s="13">
        <f>AI59*VLOOKUP('Données projet'!$B$10,Paramètres!$A$1:$I$89,3,0)*VLOOKUP('Données projet'!$B$10,Paramètres!$A$1:$I$89,5,0)</f>
        <v>495.26359999999994</v>
      </c>
      <c r="AK59" s="13">
        <f t="shared" si="35"/>
        <v>110.84331783240707</v>
      </c>
      <c r="AL59" s="20">
        <f t="shared" si="4"/>
        <v>1055.6362152247755</v>
      </c>
      <c r="AM59" s="59">
        <f t="shared" si="5"/>
        <v>1348.9695485581087</v>
      </c>
      <c r="AN59" s="59">
        <f ca="1">AVERAGE(OFFSET($AM$3,0,0,'Données projet'!$E$10+1,1))-AVERAGE(OFFSET($H$3,0,0,'Données projet'!$E$10+1,1))</f>
        <v>465.77577582457678</v>
      </c>
      <c r="AO59" s="59">
        <f t="shared" si="36"/>
        <v>301.15495784503042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49.66503750079606</v>
      </c>
      <c r="AV59" s="21">
        <f>EXP(-LN(2)/25)*AV58+(1-EXP(-LN(2)/25))/(LN(2)/25)*Calculateur!AQ59*Calculateur!AS59*VLOOKUP('Données projet'!$B$10,Paramètres!$A$1:$I$89,3,0)*0.475*44/12</f>
        <v>31.747470072153735</v>
      </c>
      <c r="AW59" s="21">
        <f>EXP(-LN(2)/2)*AW58+(1-EXP(-LN(2)/2))/(LN(2)/2)*AQ59*AT59*VLOOKUP('Données projet'!$B$10,Paramètres!$A$1:$I$89,3,0)*0.475*44/12</f>
        <v>6.6305431306964699</v>
      </c>
      <c r="AX59" s="21">
        <f t="shared" si="6"/>
        <v>88.043050703646259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9.6</v>
      </c>
      <c r="BD59" s="12">
        <f>IF('Données projet'!$A$88&gt;35,BD58+BC59-BL58,IF(A59&lt;'Données projet'!$A$88,$BA$205^A59,IF(A59='Données projet'!$A$88,'Données projet'!$B$88,BD58+BC59-BL58)))</f>
        <v>271.60000000000014</v>
      </c>
      <c r="BE59" s="13">
        <f>BD59*VLOOKUP('Données projet'!$B$11,Paramètres!$A$1:$I$89,3,0)*VLOOKUP('Données projet'!$B$11,Paramètres!$A$1:$I$89,5,0)</f>
        <v>211.84800000000013</v>
      </c>
      <c r="BF59" s="13">
        <f t="shared" si="37"/>
        <v>52.33921403960656</v>
      </c>
      <c r="BG59" s="20">
        <f t="shared" si="7"/>
        <v>460.12606445231495</v>
      </c>
      <c r="BH59" s="59">
        <f t="shared" si="8"/>
        <v>753.45939778564821</v>
      </c>
      <c r="BI59" s="59">
        <f ca="1">AVERAGE(OFFSET($BH$3,0,0,'Données projet'!$E$11+1,1))-AVERAGE(OFFSET($H$3,0,0,'Données projet'!$E$11+1,1))</f>
        <v>219.5868031007679</v>
      </c>
      <c r="BJ59" s="59">
        <f t="shared" si="38"/>
        <v>263.3830219837742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27.906667552134195</v>
      </c>
      <c r="BQ59" s="21">
        <f>EXP(-LN(2)/25)*BQ58+(1-EXP(-LN(2)/25))/(LN(2)/25)*Calculateur!BL59*Calculateur!BN59*VLOOKUP('Données projet'!$B$11,Paramètres!$A$1:$I$89,3,0)*0.475*44/12</f>
        <v>5.1016000153542782</v>
      </c>
      <c r="BR59" s="21">
        <f>EXP(-LN(2)/2)*BR58+(1-EXP(-LN(2)/2))/(LN(2)/2)*BL59*BO59*VLOOKUP('Données projet'!$B$11,Paramètres!$A$1:$I$89,3,0)*0.475*44/12</f>
        <v>3.3191830164777238</v>
      </c>
      <c r="BS59" s="22">
        <f t="shared" si="9"/>
        <v>36.327450583966197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7.4</v>
      </c>
      <c r="BY59" s="12">
        <f>IF('Données projet'!$A$114&gt;35,BY58+BX59-CG58,IF(A59&lt;'Données projet'!$A$114,$BV$205^A59,IF(A59='Données projet'!$A$114,'Données projet'!$B$114,BY58+BX59-CG58)))</f>
        <v>241.39999999999992</v>
      </c>
      <c r="BZ59" s="13">
        <f>BY59*VLOOKUP('Données projet'!$B$12,Paramètres!$A$1:$I$89,3,0)*VLOOKUP('Données projet'!$B$12,Paramètres!$A$1:$I$89,5,0)</f>
        <v>259.84295999999995</v>
      </c>
      <c r="CA59" s="13">
        <f t="shared" si="39"/>
        <v>62.688902197302923</v>
      </c>
      <c r="CB59" s="20">
        <f t="shared" si="10"/>
        <v>561.74299332696921</v>
      </c>
      <c r="CC59" s="59">
        <f t="shared" si="11"/>
        <v>855.07632666030258</v>
      </c>
      <c r="CD59" s="59">
        <f ca="1">AVERAGE(OFFSET($CC$3,0,0,'Données projet'!$E$12+1,1))-AVERAGE(OFFSET($H$3,0,0,'Données projet'!$E$12+1,1))</f>
        <v>244.7364260963538</v>
      </c>
      <c r="CE59" s="59">
        <f t="shared" si="40"/>
        <v>270.32853612539299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31.238775345581217</v>
      </c>
      <c r="CL59" s="21">
        <f>EXP(-LN(2)/25)*CL58+(1-EXP(-LN(2)/25))/(LN(2)/25)*Calculateur!CG59*Calculateur!CI59*VLOOKUP('Données projet'!$B$12,Paramètres!$A$1:$I$89,3,0)*0.475*44/12</f>
        <v>5.7617144635002679</v>
      </c>
      <c r="CM59" s="21">
        <f>EXP(-LN(2)/2)*CM58+(1-EXP(-LN(2)/2))/(LN(2)/2)*CG59*CJ59*VLOOKUP('Données projet'!$B$12,Paramètres!$A$1:$I$89,3,0)*0.475*44/12</f>
        <v>3.9291794389038146</v>
      </c>
      <c r="CN59" s="22">
        <f t="shared" si="12"/>
        <v>40.929669247985302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7.4</v>
      </c>
      <c r="CT59" s="12">
        <f>IF('Données projet'!$A$140&gt;35,CT58+CS59-DB58,IF(A59&lt;'Données projet'!$A$140,$CQ$205^A59,IF(A59='Données projet'!$A$140,'Données projet'!$B$140,CT58+CS59-DB58)))</f>
        <v>241.39999999999992</v>
      </c>
      <c r="CU59" s="17">
        <f>CT59*VLOOKUP('Données projet'!$B$13,Paramètres!$A$1:$I$89,3,0)*VLOOKUP('Données projet'!$B$13,Paramètres!$A$1:$I$89,5,0)</f>
        <v>233.48207999999994</v>
      </c>
      <c r="CV59" s="13">
        <f t="shared" si="41"/>
        <v>57.034928946327504</v>
      </c>
      <c r="CW59" s="20">
        <f t="shared" si="13"/>
        <v>505.98379058152028</v>
      </c>
      <c r="CX59" s="59">
        <f t="shared" si="14"/>
        <v>799.3171239148536</v>
      </c>
      <c r="CY59" s="59">
        <f ca="1">AVERAGE(OFFSET($CX$3,0,0,'Données projet'!$E$13+1,1))-AVERAGE(OFFSET($H$3,0,0,'Données projet'!$E$13+1,1))</f>
        <v>216.39536568500222</v>
      </c>
      <c r="CZ59" s="59">
        <f t="shared" si="42"/>
        <v>239.44686980897467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28.069624223565743</v>
      </c>
      <c r="DG59" s="21">
        <f>EXP(-LN(2)/25)*DG58+(1-EXP(-LN(2)/25))/(LN(2)/25)*Calculateur!DB59*Calculateur!DD59*VLOOKUP('Données projet'!$B$13,Paramètres!$A$1:$I$89,3,0)*0.475*44/12</f>
        <v>5.1771927063335728</v>
      </c>
      <c r="DH59" s="21">
        <f>EXP(-LN(2)/2)*DH58+(1-EXP(-LN(2)/2))/(LN(2)/2)*DB59*DE59*VLOOKUP('Données projet'!$B$13,Paramètres!$A$1:$I$89,3,0)*0.475*44/12</f>
        <v>3.5305670320585003</v>
      </c>
      <c r="DI59" s="22">
        <f t="shared" si="15"/>
        <v>36.777383961957817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33.789600000000007</v>
      </c>
      <c r="D60" s="11">
        <f t="shared" si="32"/>
        <v>10.3367679858895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340.62459497879621</v>
      </c>
      <c r="H60" s="67">
        <f t="shared" si="1"/>
        <v>370.18675757542422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9.4</v>
      </c>
      <c r="N60" s="13">
        <f>IF('Données projet'!$A$36&gt;35,N59+M60-V59,IF(A60&lt;'Données projet'!$A$36,$K$205^A60,IF(A60='Données projet'!$A$36,'Données projet'!$B$36,N59+M60-V59)))</f>
        <v>244.79999999999998</v>
      </c>
      <c r="O60" s="13">
        <f>N60*VLOOKUP('Données projet'!$B$9,Paramètres!$A$1:$I$89,3,0)*VLOOKUP('Données projet'!$B$9,Paramètres!$A$1:$I$89,5,0)</f>
        <v>221.49503999999999</v>
      </c>
      <c r="P60" s="13">
        <f t="shared" si="33"/>
        <v>54.439697086174412</v>
      </c>
      <c r="Q60" s="20">
        <f t="shared" si="53"/>
        <v>480.58633375842032</v>
      </c>
      <c r="R60" s="59">
        <f t="shared" si="0"/>
        <v>773.91966709175358</v>
      </c>
      <c r="S60" s="59">
        <f ca="1">AVERAGE(OFFSET($R$3,0,0,'Données projet'!$E$9+1,1))-AVERAGE(OFFSET($H$3,0,0,'Données projet'!$E$9+1,1))</f>
        <v>330.30341204367602</v>
      </c>
      <c r="T60" s="59">
        <f t="shared" si="34"/>
        <v>200.36653694091007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27.803538121846959</v>
      </c>
      <c r="AA60" s="21">
        <f>EXP(-LN(2)/25)*AA59+(1-EXP(-LN(2)/25))/(LN(2)/25)*Calculateur!V60*Calculateur!X60*VLOOKUP('Données projet'!$B$9,Paramètres!$A$1:$I$89,3,0)*0.475*44/12</f>
        <v>2.313514684394693</v>
      </c>
      <c r="AB60" s="21">
        <f>EXP(-LN(2)/2)*AB59+(1-EXP(-LN(2)/2))/(LN(2)/2)*V60*Y60*VLOOKUP('Données projet'!$B$9,Paramètres!$A$1:$I$89,3,0)*0.475*44/12</f>
        <v>0.87561244110988423</v>
      </c>
      <c r="AC60" s="22">
        <f t="shared" si="3"/>
        <v>30.992665247351535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29.6</v>
      </c>
      <c r="AI60" s="13">
        <f>IF('Données projet'!$A$62&gt;35,AI59+AH60-AQ59,IF(A60&lt;'Données projet'!$A$62,$AF$205^A60,IF(A60='Données projet'!$A$62,'Données projet'!$B$62,AI59+AH60-AQ59)))</f>
        <v>857.79999999999984</v>
      </c>
      <c r="AJ60" s="13">
        <f>AI60*VLOOKUP('Données projet'!$B$10,Paramètres!$A$1:$I$89,3,0)*VLOOKUP('Données projet'!$B$10,Paramètres!$A$1:$I$89,5,0)</f>
        <v>512.96439999999996</v>
      </c>
      <c r="AK60" s="13">
        <f t="shared" si="35"/>
        <v>114.33656422365586</v>
      </c>
      <c r="AL60" s="20">
        <f t="shared" si="4"/>
        <v>1092.5491793562003</v>
      </c>
      <c r="AM60" s="59">
        <f t="shared" si="5"/>
        <v>1385.8825126895335</v>
      </c>
      <c r="AN60" s="59">
        <f ca="1">AVERAGE(OFFSET($AM$3,0,0,'Données projet'!$E$10+1,1))-AVERAGE(OFFSET($H$3,0,0,'Données projet'!$E$10+1,1))</f>
        <v>465.77577582457678</v>
      </c>
      <c r="AO60" s="59">
        <f t="shared" si="36"/>
        <v>301.15495784503042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48.691136408087175</v>
      </c>
      <c r="AV60" s="21">
        <f>EXP(-LN(2)/25)*AV59+(1-EXP(-LN(2)/25))/(LN(2)/25)*Calculateur!AQ60*Calculateur!AS60*VLOOKUP('Données projet'!$B$10,Paramètres!$A$1:$I$89,3,0)*0.475*44/12</f>
        <v>30.8793338335038</v>
      </c>
      <c r="AW60" s="21">
        <f>EXP(-LN(2)/2)*AW59+(1-EXP(-LN(2)/2))/(LN(2)/2)*AQ60*AT60*VLOOKUP('Données projet'!$B$10,Paramètres!$A$1:$I$89,3,0)*0.475*44/12</f>
        <v>4.6885020106653545</v>
      </c>
      <c r="AX60" s="21">
        <f t="shared" si="6"/>
        <v>84.258972252256342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9.6</v>
      </c>
      <c r="BD60" s="12">
        <f>IF('Données projet'!$A$88&gt;35,BD59+BC60-BL59,IF(A60&lt;'Données projet'!$A$88,$BA$205^A60,IF(A60='Données projet'!$A$88,'Données projet'!$B$88,BD59+BC60-BL59)))</f>
        <v>281.20000000000016</v>
      </c>
      <c r="BE60" s="13">
        <f>BD60*VLOOKUP('Données projet'!$B$11,Paramètres!$A$1:$I$89,3,0)*VLOOKUP('Données projet'!$B$11,Paramètres!$A$1:$I$89,5,0)</f>
        <v>219.33600000000013</v>
      </c>
      <c r="BF60" s="13">
        <f t="shared" si="37"/>
        <v>53.97054322228994</v>
      </c>
      <c r="BG60" s="20">
        <f t="shared" si="7"/>
        <v>476.00889611215524</v>
      </c>
      <c r="BH60" s="59">
        <f t="shared" si="8"/>
        <v>769.34222944548856</v>
      </c>
      <c r="BI60" s="59">
        <f ca="1">AVERAGE(OFFSET($BH$3,0,0,'Données projet'!$E$11+1,1))-AVERAGE(OFFSET($H$3,0,0,'Données projet'!$E$11+1,1))</f>
        <v>219.5868031007679</v>
      </c>
      <c r="BJ60" s="59">
        <f t="shared" si="38"/>
        <v>263.3830219837742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27.359434822823328</v>
      </c>
      <c r="BQ60" s="21">
        <f>EXP(-LN(2)/25)*BQ59+(1-EXP(-LN(2)/25))/(LN(2)/25)*Calculateur!BL60*Calculateur!BN60*VLOOKUP('Données projet'!$B$11,Paramètres!$A$1:$I$89,3,0)*0.475*44/12</f>
        <v>4.9620964946529309</v>
      </c>
      <c r="BR60" s="21">
        <f>EXP(-LN(2)/2)*BR59+(1-EXP(-LN(2)/2))/(LN(2)/2)*BL60*BO60*VLOOKUP('Données projet'!$B$11,Paramètres!$A$1:$I$89,3,0)*0.475*44/12</f>
        <v>2.3470168189506189</v>
      </c>
      <c r="BS60" s="22">
        <f t="shared" si="9"/>
        <v>34.668548136426878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7.4</v>
      </c>
      <c r="BY60" s="12">
        <f>IF('Données projet'!$A$114&gt;35,BY59+BX60-CG59,IF(A60&lt;'Données projet'!$A$114,$BV$205^A60,IF(A60='Données projet'!$A$114,'Données projet'!$B$114,BY59+BX60-CG59)))</f>
        <v>248.79999999999993</v>
      </c>
      <c r="BZ60" s="13">
        <f>BY60*VLOOKUP('Données projet'!$B$12,Paramètres!$A$1:$I$89,3,0)*VLOOKUP('Données projet'!$B$12,Paramètres!$A$1:$I$89,5,0)</f>
        <v>267.80831999999992</v>
      </c>
      <c r="CA60" s="13">
        <f t="shared" si="39"/>
        <v>64.383919070186309</v>
      </c>
      <c r="CB60" s="20">
        <f t="shared" si="10"/>
        <v>578.5681497139077</v>
      </c>
      <c r="CC60" s="59">
        <f t="shared" si="11"/>
        <v>871.90148304724107</v>
      </c>
      <c r="CD60" s="59">
        <f ca="1">AVERAGE(OFFSET($CC$3,0,0,'Données projet'!$E$12+1,1))-AVERAGE(OFFSET($H$3,0,0,'Données projet'!$E$12+1,1))</f>
        <v>244.7364260963538</v>
      </c>
      <c r="CE60" s="59">
        <f t="shared" si="40"/>
        <v>270.32853612539299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30.626202014825928</v>
      </c>
      <c r="CL60" s="21">
        <f>EXP(-LN(2)/25)*CL59+(1-EXP(-LN(2)/25))/(LN(2)/25)*Calculateur!CG60*Calculateur!CI60*VLOOKUP('Données projet'!$B$12,Paramètres!$A$1:$I$89,3,0)*0.475*44/12</f>
        <v>5.6041600785004579</v>
      </c>
      <c r="CM60" s="21">
        <f>EXP(-LN(2)/2)*CM59+(1-EXP(-LN(2)/2))/(LN(2)/2)*CG60*CJ60*VLOOKUP('Données projet'!$B$12,Paramètres!$A$1:$I$89,3,0)*0.475*44/12</f>
        <v>2.7783494257476415</v>
      </c>
      <c r="CN60" s="22">
        <f t="shared" si="12"/>
        <v>39.008711519074026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7.4</v>
      </c>
      <c r="CT60" s="12">
        <f>IF('Données projet'!$A$140&gt;35,CT59+CS60-DB59,IF(A60&lt;'Données projet'!$A$140,$CQ$205^A60,IF(A60='Données projet'!$A$140,'Données projet'!$B$140,CT59+CS60-DB59)))</f>
        <v>248.79999999999993</v>
      </c>
      <c r="CU60" s="17">
        <f>CT60*VLOOKUP('Données projet'!$B$13,Paramètres!$A$1:$I$89,3,0)*VLOOKUP('Données projet'!$B$13,Paramètres!$A$1:$I$89,5,0)</f>
        <v>240.63935999999993</v>
      </c>
      <c r="CV60" s="13">
        <f t="shared" si="41"/>
        <v>58.577070593719334</v>
      </c>
      <c r="CW60" s="20">
        <f t="shared" si="13"/>
        <v>521.13528328406107</v>
      </c>
      <c r="CX60" s="59">
        <f t="shared" si="14"/>
        <v>814.46861661739445</v>
      </c>
      <c r="CY60" s="59">
        <f ca="1">AVERAGE(OFFSET($CX$3,0,0,'Données projet'!$E$13+1,1))-AVERAGE(OFFSET($H$3,0,0,'Données projet'!$E$13+1,1))</f>
        <v>216.39536568500222</v>
      </c>
      <c r="CZ60" s="59">
        <f t="shared" si="42"/>
        <v>239.44686980897467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27.51919601332186</v>
      </c>
      <c r="DG60" s="21">
        <f>EXP(-LN(2)/25)*DG59+(1-EXP(-LN(2)/25))/(LN(2)/25)*Calculateur!DB60*Calculateur!DD60*VLOOKUP('Données projet'!$B$13,Paramètres!$A$1:$I$89,3,0)*0.475*44/12</f>
        <v>5.0356220995221497</v>
      </c>
      <c r="DH60" s="21">
        <f>EXP(-LN(2)/2)*DH59+(1-EXP(-LN(2)/2))/(LN(2)/2)*DB60*DE60*VLOOKUP('Données projet'!$B$13,Paramètres!$A$1:$I$89,3,0)*0.475*44/12</f>
        <v>2.4964878898022285</v>
      </c>
      <c r="DI60" s="22">
        <f t="shared" si="15"/>
        <v>35.051306002646243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34.382400000000004</v>
      </c>
      <c r="D61" s="11">
        <f t="shared" si="32"/>
        <v>10.496843471235414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346.43626539199272</v>
      </c>
      <c r="H61" s="67">
        <f t="shared" si="1"/>
        <v>371.49801571240164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9.4</v>
      </c>
      <c r="N61" s="13">
        <f>IF('Données projet'!$A$36&gt;35,N60+M61-V60,IF(A61&lt;'Données projet'!$A$36,$K$205^A61,IF(A61='Données projet'!$A$36,'Données projet'!$B$36,N60+M61-V60)))</f>
        <v>254.2</v>
      </c>
      <c r="O61" s="13">
        <f>N61*VLOOKUP('Données projet'!$B$9,Paramètres!$A$1:$I$89,3,0)*VLOOKUP('Données projet'!$B$9,Paramètres!$A$1:$I$89,5,0)</f>
        <v>230.00015999999997</v>
      </c>
      <c r="P61" s="13">
        <f t="shared" si="33"/>
        <v>56.282716126880423</v>
      </c>
      <c r="Q61" s="20">
        <f t="shared" si="53"/>
        <v>498.60934258765002</v>
      </c>
      <c r="R61" s="59">
        <f t="shared" si="0"/>
        <v>791.94267592098333</v>
      </c>
      <c r="S61" s="59">
        <f ca="1">AVERAGE(OFFSET($R$3,0,0,'Données projet'!$E$9+1,1))-AVERAGE(OFFSET($H$3,0,0,'Données projet'!$E$9+1,1))</f>
        <v>330.30341204367602</v>
      </c>
      <c r="T61" s="59">
        <f t="shared" si="34"/>
        <v>200.36653694091007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27.258327697761285</v>
      </c>
      <c r="AA61" s="21">
        <f>EXP(-LN(2)/25)*AA60+(1-EXP(-LN(2)/25))/(LN(2)/25)*Calculateur!V61*Calculateur!X61*VLOOKUP('Données projet'!$B$9,Paramètres!$A$1:$I$89,3,0)*0.475*44/12</f>
        <v>2.2502515036874704</v>
      </c>
      <c r="AB61" s="21">
        <f>EXP(-LN(2)/2)*AB60+(1-EXP(-LN(2)/2))/(LN(2)/2)*V61*Y61*VLOOKUP('Données projet'!$B$9,Paramètres!$A$1:$I$89,3,0)*0.475*44/12</f>
        <v>0.61915149480010567</v>
      </c>
      <c r="AC61" s="22">
        <f t="shared" si="3"/>
        <v>30.127730696248861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29.6</v>
      </c>
      <c r="AI61" s="13">
        <f>IF('Données projet'!$A$62&gt;35,AI60+AH61-AQ60,IF(A61&lt;'Données projet'!$A$62,$AF$205^A61,IF(A61='Données projet'!$A$62,'Données projet'!$B$62,AI60+AH61-AQ60)))</f>
        <v>887.39999999999986</v>
      </c>
      <c r="AJ61" s="13">
        <f>AI61*VLOOKUP('Données projet'!$B$10,Paramètres!$A$1:$I$89,3,0)*VLOOKUP('Données projet'!$B$10,Paramètres!$A$1:$I$89,5,0)</f>
        <v>530.66519999999991</v>
      </c>
      <c r="AK61" s="13">
        <f t="shared" si="35"/>
        <v>117.81580484384071</v>
      </c>
      <c r="AL61" s="20">
        <f t="shared" si="4"/>
        <v>1129.4377501030224</v>
      </c>
      <c r="AM61" s="59">
        <f t="shared" si="5"/>
        <v>1422.7710834363556</v>
      </c>
      <c r="AN61" s="59">
        <f ca="1">AVERAGE(OFFSET($AM$3,0,0,'Données projet'!$E$10+1,1))-AVERAGE(OFFSET($H$3,0,0,'Données projet'!$E$10+1,1))</f>
        <v>465.77577582457678</v>
      </c>
      <c r="AO61" s="59">
        <f t="shared" si="36"/>
        <v>301.15495784503042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47.736332921785298</v>
      </c>
      <c r="AV61" s="21">
        <f>EXP(-LN(2)/25)*AV60+(1-EXP(-LN(2)/25))/(LN(2)/25)*Calculateur!AQ61*Calculateur!AS61*VLOOKUP('Données projet'!$B$10,Paramètres!$A$1:$I$89,3,0)*0.475*44/12</f>
        <v>30.034936825953046</v>
      </c>
      <c r="AW61" s="21">
        <f>EXP(-LN(2)/2)*AW60+(1-EXP(-LN(2)/2))/(LN(2)/2)*AQ61*AT61*VLOOKUP('Données projet'!$B$10,Paramètres!$A$1:$I$89,3,0)*0.475*44/12</f>
        <v>3.315271565348235</v>
      </c>
      <c r="AX61" s="21">
        <f t="shared" si="6"/>
        <v>81.086541313086585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9.6</v>
      </c>
      <c r="BD61" s="12">
        <f>IF('Données projet'!$A$88&gt;35,BD60+BC61-BL60,IF(A61&lt;'Données projet'!$A$88,$BA$205^A61,IF(A61='Données projet'!$A$88,'Données projet'!$B$88,BD60+BC61-BL60)))</f>
        <v>290.80000000000018</v>
      </c>
      <c r="BE61" s="13">
        <f>BD61*VLOOKUP('Données projet'!$B$11,Paramètres!$A$1:$I$89,3,0)*VLOOKUP('Données projet'!$B$11,Paramètres!$A$1:$I$89,5,0)</f>
        <v>226.82400000000015</v>
      </c>
      <c r="BF61" s="13">
        <f t="shared" si="37"/>
        <v>55.59540132136393</v>
      </c>
      <c r="BG61" s="20">
        <f t="shared" si="7"/>
        <v>491.88045730137583</v>
      </c>
      <c r="BH61" s="59">
        <f t="shared" si="8"/>
        <v>785.21379063470908</v>
      </c>
      <c r="BI61" s="59">
        <f ca="1">AVERAGE(OFFSET($BH$3,0,0,'Données projet'!$E$11+1,1))-AVERAGE(OFFSET($H$3,0,0,'Données projet'!$E$11+1,1))</f>
        <v>219.5868031007679</v>
      </c>
      <c r="BJ61" s="59">
        <f t="shared" si="38"/>
        <v>263.3830219837742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26.822932993555241</v>
      </c>
      <c r="BQ61" s="21">
        <f>EXP(-LN(2)/25)*BQ60+(1-EXP(-LN(2)/25))/(LN(2)/25)*Calculateur!BL61*Calculateur!BN61*VLOOKUP('Données projet'!$B$11,Paramètres!$A$1:$I$89,3,0)*0.475*44/12</f>
        <v>4.8264077050613325</v>
      </c>
      <c r="BR61" s="21">
        <f>EXP(-LN(2)/2)*BR60+(1-EXP(-LN(2)/2))/(LN(2)/2)*BL61*BO61*VLOOKUP('Données projet'!$B$11,Paramètres!$A$1:$I$89,3,0)*0.475*44/12</f>
        <v>1.6595915082388621</v>
      </c>
      <c r="BS61" s="22">
        <f t="shared" si="9"/>
        <v>33.308932206855438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7.4</v>
      </c>
      <c r="BY61" s="12">
        <f>IF('Données projet'!$A$114&gt;35,BY60+BX61-CG60,IF(A61&lt;'Données projet'!$A$114,$BV$205^A61,IF(A61='Données projet'!$A$114,'Données projet'!$B$114,BY60+BX61-CG60)))</f>
        <v>256.19999999999993</v>
      </c>
      <c r="BZ61" s="13">
        <f>BY61*VLOOKUP('Données projet'!$B$12,Paramètres!$A$1:$I$89,3,0)*VLOOKUP('Données projet'!$B$12,Paramètres!$A$1:$I$89,5,0)</f>
        <v>275.7736799999999</v>
      </c>
      <c r="CA61" s="13">
        <f t="shared" si="39"/>
        <v>66.073076930208813</v>
      </c>
      <c r="CB61" s="20">
        <f t="shared" si="10"/>
        <v>595.38310165344672</v>
      </c>
      <c r="CC61" s="59">
        <f t="shared" si="11"/>
        <v>888.71643498678009</v>
      </c>
      <c r="CD61" s="59">
        <f ca="1">AVERAGE(OFFSET($CC$3,0,0,'Données projet'!$E$12+1,1))-AVERAGE(OFFSET($H$3,0,0,'Données projet'!$E$12+1,1))</f>
        <v>244.7364260963538</v>
      </c>
      <c r="CE61" s="59">
        <f t="shared" si="40"/>
        <v>270.32853612539299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30.025640873453909</v>
      </c>
      <c r="CL61" s="21">
        <f>EXP(-LN(2)/25)*CL60+(1-EXP(-LN(2)/25))/(LN(2)/25)*Calculateur!CG61*Calculateur!CI61*VLOOKUP('Données projet'!$B$12,Paramètres!$A$1:$I$89,3,0)*0.475*44/12</f>
        <v>5.4509140264438924</v>
      </c>
      <c r="CM61" s="21">
        <f>EXP(-LN(2)/2)*CM60+(1-EXP(-LN(2)/2))/(LN(2)/2)*CG61*CJ61*VLOOKUP('Données projet'!$B$12,Paramètres!$A$1:$I$89,3,0)*0.475*44/12</f>
        <v>1.9645897194519077</v>
      </c>
      <c r="CN61" s="22">
        <f t="shared" si="12"/>
        <v>37.441144619349707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7.4</v>
      </c>
      <c r="CT61" s="12">
        <f>IF('Données projet'!$A$140&gt;35,CT60+CS61-DB60,IF(A61&lt;'Données projet'!$A$140,$CQ$205^A61,IF(A61='Données projet'!$A$140,'Données projet'!$B$140,CT60+CS61-DB60)))</f>
        <v>256.19999999999993</v>
      </c>
      <c r="CU61" s="17">
        <f>CT61*VLOOKUP('Données projet'!$B$13,Paramètres!$A$1:$I$89,3,0)*VLOOKUP('Données projet'!$B$13,Paramètres!$A$1:$I$89,5,0)</f>
        <v>247.79663999999997</v>
      </c>
      <c r="CV61" s="13">
        <f t="shared" si="41"/>
        <v>60.113881658336368</v>
      </c>
      <c r="CW61" s="20">
        <f t="shared" si="13"/>
        <v>536.27749188826908</v>
      </c>
      <c r="CX61" s="59">
        <f t="shared" si="14"/>
        <v>829.61082522160245</v>
      </c>
      <c r="CY61" s="59">
        <f ca="1">AVERAGE(OFFSET($CX$3,0,0,'Données projet'!$E$13+1,1))-AVERAGE(OFFSET($H$3,0,0,'Données projet'!$E$13+1,1))</f>
        <v>216.39536568500222</v>
      </c>
      <c r="CZ61" s="59">
        <f t="shared" si="42"/>
        <v>239.44686980897467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26.979561364552801</v>
      </c>
      <c r="DG61" s="21">
        <f>EXP(-LN(2)/25)*DG60+(1-EXP(-LN(2)/25))/(LN(2)/25)*Calculateur!DB61*Calculateur!DD61*VLOOKUP('Données projet'!$B$13,Paramètres!$A$1:$I$89,3,0)*0.475*44/12</f>
        <v>4.8979227483988597</v>
      </c>
      <c r="DH61" s="21">
        <f>EXP(-LN(2)/2)*DH60+(1-EXP(-LN(2)/2))/(LN(2)/2)*DB61*DE61*VLOOKUP('Données projet'!$B$13,Paramètres!$A$1:$I$89,3,0)*0.475*44/12</f>
        <v>1.7652835160292502</v>
      </c>
      <c r="DI61" s="22">
        <f t="shared" si="15"/>
        <v>33.642767628980913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34.975200000000001</v>
      </c>
      <c r="D62" s="11">
        <f t="shared" si="32"/>
        <v>10.656598006977973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352.24545829947914</v>
      </c>
      <c r="H62" s="67">
        <f t="shared" si="1"/>
        <v>372.80871486215329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9.4</v>
      </c>
      <c r="N62" s="13">
        <f>IF('Données projet'!$A$36&gt;35,N61+M62-V61,IF(A62&lt;'Données projet'!$A$36,$K$205^A62,IF(A62='Données projet'!$A$36,'Données projet'!$B$36,N61+M62-V61)))</f>
        <v>263.59999999999997</v>
      </c>
      <c r="O62" s="13">
        <f>N62*VLOOKUP('Données projet'!$B$9,Paramètres!$A$1:$I$89,3,0)*VLOOKUP('Données projet'!$B$9,Paramètres!$A$1:$I$89,5,0)</f>
        <v>238.50527999999997</v>
      </c>
      <c r="P62" s="13">
        <f t="shared" si="33"/>
        <v>58.117817352909881</v>
      </c>
      <c r="Q62" s="20">
        <f t="shared" si="53"/>
        <v>516.61856122298457</v>
      </c>
      <c r="R62" s="59">
        <f t="shared" si="0"/>
        <v>809.95189455631794</v>
      </c>
      <c r="S62" s="59">
        <f ca="1">AVERAGE(OFFSET($R$3,0,0,'Données projet'!$E$9+1,1))-AVERAGE(OFFSET($H$3,0,0,'Données projet'!$E$9+1,1))</f>
        <v>330.30341204367602</v>
      </c>
      <c r="T62" s="59">
        <f t="shared" si="34"/>
        <v>200.36653694091007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26.723808517546406</v>
      </c>
      <c r="AA62" s="21">
        <f>EXP(-LN(2)/25)*AA61+(1-EXP(-LN(2)/25))/(LN(2)/25)*Calculateur!V62*Calculateur!X62*VLOOKUP('Données projet'!$B$9,Paramètres!$A$1:$I$89,3,0)*0.475*44/12</f>
        <v>2.1887182579835529</v>
      </c>
      <c r="AB62" s="21">
        <f>EXP(-LN(2)/2)*AB61+(1-EXP(-LN(2)/2))/(LN(2)/2)*V62*Y62*VLOOKUP('Données projet'!$B$9,Paramètres!$A$1:$I$89,3,0)*0.475*44/12</f>
        <v>0.43780622055494217</v>
      </c>
      <c r="AC62" s="22">
        <f t="shared" si="3"/>
        <v>29.350332996084902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29.6</v>
      </c>
      <c r="AI62" s="13">
        <f>IF('Données projet'!$A$62&gt;35,AI61+AH62-AQ61,IF(A62&lt;'Données projet'!$A$62,$AF$205^A62,IF(A62='Données projet'!$A$62,'Données projet'!$B$62,AI61+AH62-AQ61)))</f>
        <v>916.99999999999989</v>
      </c>
      <c r="AJ62" s="13">
        <f>AI62*VLOOKUP('Données projet'!$B$10,Paramètres!$A$1:$I$89,3,0)*VLOOKUP('Données projet'!$B$10,Paramètres!$A$1:$I$89,5,0)</f>
        <v>548.36599999999999</v>
      </c>
      <c r="AK62" s="13">
        <f t="shared" si="35"/>
        <v>121.28156043173861</v>
      </c>
      <c r="AL62" s="20">
        <f t="shared" si="4"/>
        <v>1166.3028344186112</v>
      </c>
      <c r="AM62" s="59">
        <f t="shared" si="5"/>
        <v>1459.6361677519444</v>
      </c>
      <c r="AN62" s="59">
        <f ca="1">AVERAGE(OFFSET($AM$3,0,0,'Données projet'!$E$10+1,1))-AVERAGE(OFFSET($H$3,0,0,'Données projet'!$E$10+1,1))</f>
        <v>465.77577582457678</v>
      </c>
      <c r="AO62" s="59">
        <f t="shared" si="36"/>
        <v>301.15495784503042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46.800252549477179</v>
      </c>
      <c r="AV62" s="21">
        <f>EXP(-LN(2)/25)*AV61+(1-EXP(-LN(2)/25))/(LN(2)/25)*Calculateur!AQ62*Calculateur!AS62*VLOOKUP('Données projet'!$B$10,Paramètres!$A$1:$I$89,3,0)*0.475*44/12</f>
        <v>29.213629898978677</v>
      </c>
      <c r="AW62" s="21">
        <f>EXP(-LN(2)/2)*AW61+(1-EXP(-LN(2)/2))/(LN(2)/2)*AQ62*AT62*VLOOKUP('Données projet'!$B$10,Paramètres!$A$1:$I$89,3,0)*0.475*44/12</f>
        <v>2.3442510053326773</v>
      </c>
      <c r="AX62" s="21">
        <f t="shared" si="6"/>
        <v>78.35813345378854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9.6</v>
      </c>
      <c r="BD62" s="12">
        <f>IF('Données projet'!$A$88&gt;35,BD61+BC62-BL61,IF(A62&lt;'Données projet'!$A$88,$BA$205^A62,IF(A62='Données projet'!$A$88,'Données projet'!$B$88,BD61+BC62-BL61)))</f>
        <v>300.4000000000002</v>
      </c>
      <c r="BE62" s="13">
        <f>BD62*VLOOKUP('Données projet'!$B$11,Paramètres!$A$1:$I$89,3,0)*VLOOKUP('Données projet'!$B$11,Paramètres!$A$1:$I$89,5,0)</f>
        <v>234.31200000000015</v>
      </c>
      <c r="BF62" s="13">
        <f t="shared" si="37"/>
        <v>57.214026458952496</v>
      </c>
      <c r="BG62" s="20">
        <f t="shared" si="7"/>
        <v>507.74116274934249</v>
      </c>
      <c r="BH62" s="59">
        <f t="shared" si="8"/>
        <v>801.07449608267575</v>
      </c>
      <c r="BI62" s="59">
        <f ca="1">AVERAGE(OFFSET($BH$3,0,0,'Données projet'!$E$11+1,1))-AVERAGE(OFFSET($H$3,0,0,'Données projet'!$E$11+1,1))</f>
        <v>219.5868031007679</v>
      </c>
      <c r="BJ62" s="59">
        <f t="shared" si="38"/>
        <v>263.3830219837742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26.296951637925297</v>
      </c>
      <c r="BQ62" s="21">
        <f>EXP(-LN(2)/25)*BQ61+(1-EXP(-LN(2)/25))/(LN(2)/25)*Calculateur!BL62*Calculateur!BN62*VLOOKUP('Données projet'!$B$11,Paramètres!$A$1:$I$89,3,0)*0.475*44/12</f>
        <v>4.6944293325566804</v>
      </c>
      <c r="BR62" s="21">
        <f>EXP(-LN(2)/2)*BR61+(1-EXP(-LN(2)/2))/(LN(2)/2)*BL62*BO62*VLOOKUP('Données projet'!$B$11,Paramètres!$A$1:$I$89,3,0)*0.475*44/12</f>
        <v>1.1735084094753097</v>
      </c>
      <c r="BS62" s="22">
        <f t="shared" si="9"/>
        <v>32.164889379957287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7.4</v>
      </c>
      <c r="BY62" s="12">
        <f>IF('Données projet'!$A$114&gt;35,BY61+BX62-CG61,IF(A62&lt;'Données projet'!$A$114,$BV$205^A62,IF(A62='Données projet'!$A$114,'Données projet'!$B$114,BY61+BX62-CG61)))</f>
        <v>263.59999999999991</v>
      </c>
      <c r="BZ62" s="13">
        <f>BY62*VLOOKUP('Données projet'!$B$12,Paramètres!$A$1:$I$89,3,0)*VLOOKUP('Données projet'!$B$12,Paramètres!$A$1:$I$89,5,0)</f>
        <v>283.73903999999987</v>
      </c>
      <c r="CA62" s="13">
        <f t="shared" si="39"/>
        <v>67.756564441537463</v>
      </c>
      <c r="CB62" s="20">
        <f t="shared" si="10"/>
        <v>612.18817773567753</v>
      </c>
      <c r="CC62" s="59">
        <f t="shared" si="11"/>
        <v>905.52151106901078</v>
      </c>
      <c r="CD62" s="59">
        <f ca="1">AVERAGE(OFFSET($CC$3,0,0,'Données projet'!$E$12+1,1))-AVERAGE(OFFSET($H$3,0,0,'Données projet'!$E$12+1,1))</f>
        <v>244.7364260963538</v>
      </c>
      <c r="CE62" s="59">
        <f t="shared" si="40"/>
        <v>270.32853612539299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29.436856369758072</v>
      </c>
      <c r="CL62" s="21">
        <f>EXP(-LN(2)/25)*CL61+(1-EXP(-LN(2)/25))/(LN(2)/25)*Calculateur!CG62*Calculateur!CI62*VLOOKUP('Données projet'!$B$12,Paramètres!$A$1:$I$89,3,0)*0.475*44/12</f>
        <v>5.3018584957396735</v>
      </c>
      <c r="CM62" s="21">
        <f>EXP(-LN(2)/2)*CM61+(1-EXP(-LN(2)/2))/(LN(2)/2)*CG62*CJ62*VLOOKUP('Données projet'!$B$12,Paramètres!$A$1:$I$89,3,0)*0.475*44/12</f>
        <v>1.389174712873821</v>
      </c>
      <c r="CN62" s="22">
        <f t="shared" si="12"/>
        <v>36.127889578371565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7.4</v>
      </c>
      <c r="CT62" s="12">
        <f>IF('Données projet'!$A$140&gt;35,CT61+CS62-DB61,IF(A62&lt;'Données projet'!$A$140,$CQ$205^A62,IF(A62='Données projet'!$A$140,'Données projet'!$B$140,CT61+CS62-DB61)))</f>
        <v>263.59999999999991</v>
      </c>
      <c r="CU62" s="17">
        <f>CT62*VLOOKUP('Données projet'!$B$13,Paramètres!$A$1:$I$89,3,0)*VLOOKUP('Données projet'!$B$13,Paramètres!$A$1:$I$89,5,0)</f>
        <v>254.9539199999999</v>
      </c>
      <c r="CV62" s="13">
        <f t="shared" si="41"/>
        <v>61.645533788540526</v>
      </c>
      <c r="CW62" s="20">
        <f t="shared" si="13"/>
        <v>551.41071534837454</v>
      </c>
      <c r="CX62" s="59">
        <f t="shared" si="14"/>
        <v>844.74404868170791</v>
      </c>
      <c r="CY62" s="59">
        <f ca="1">AVERAGE(OFFSET($CX$3,0,0,'Données projet'!$E$13+1,1))-AVERAGE(OFFSET($H$3,0,0,'Données projet'!$E$13+1,1))</f>
        <v>216.39536568500222</v>
      </c>
      <c r="CZ62" s="59">
        <f t="shared" si="42"/>
        <v>239.44686980897467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26.450508622101466</v>
      </c>
      <c r="DG62" s="21">
        <f>EXP(-LN(2)/25)*DG61+(1-EXP(-LN(2)/25))/(LN(2)/25)*Calculateur!DB62*Calculateur!DD62*VLOOKUP('Données projet'!$B$13,Paramètres!$A$1:$I$89,3,0)*0.475*44/12</f>
        <v>4.76398879327333</v>
      </c>
      <c r="DH62" s="21">
        <f>EXP(-LN(2)/2)*DH61+(1-EXP(-LN(2)/2))/(LN(2)/2)*DB62*DE62*VLOOKUP('Données projet'!$B$13,Paramètres!$A$1:$I$89,3,0)*0.475*44/12</f>
        <v>1.2482439449011142</v>
      </c>
      <c r="DI62" s="22">
        <f t="shared" si="15"/>
        <v>32.462741360275913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63" s="11">
        <f t="shared" si="32"/>
        <v>10.816037660735208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358.0522205390086</v>
      </c>
      <c r="H63" s="67">
        <f t="shared" si="1"/>
        <v>374.11886559244715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273</v>
      </c>
      <c r="L63" s="12">
        <f>VLOOKUP(A63,'Données projet'!$A$35:$I$55,9,0)</f>
        <v>9.4</v>
      </c>
      <c r="M63" s="12">
        <f t="array" ref="M63">INDEX(L:L,MIN(IF(ISNUMBER(L63:L259),ROW(L63:L259),"")))</f>
        <v>9.4</v>
      </c>
      <c r="N63" s="13">
        <f>IF('Données projet'!$A$36&gt;35,N62+M63-V62,IF(A63&lt;'Données projet'!$A$36,$K$205^A63,IF(A63='Données projet'!$A$36,'Données projet'!$B$36,N62+M63-V62)))</f>
        <v>272.99999999999994</v>
      </c>
      <c r="O63" s="13">
        <f>N63*VLOOKUP('Données projet'!$B$9,Paramètres!$A$1:$I$89,3,0)*VLOOKUP('Données projet'!$B$9,Paramètres!$A$1:$I$89,5,0)</f>
        <v>247.01039999999992</v>
      </c>
      <c r="P63" s="13">
        <f t="shared" si="33"/>
        <v>59.945315462121812</v>
      </c>
      <c r="Q63" s="20">
        <f t="shared" si="53"/>
        <v>534.61453776319524</v>
      </c>
      <c r="R63" s="59">
        <f t="shared" si="0"/>
        <v>827.94787109652862</v>
      </c>
      <c r="S63" s="59">
        <f ca="1">AVERAGE(OFFSET($R$3,0,0,'Données projet'!$E$9+1,1))-AVERAGE(OFFSET($H$3,0,0,'Données projet'!$E$9+1,1))</f>
        <v>330.30341204367602</v>
      </c>
      <c r="T63" s="59">
        <f t="shared" si="34"/>
        <v>200.36653694091007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28</v>
      </c>
      <c r="W63" s="16">
        <f>IF(ISNA(VLOOKUP(A63,'Données projet'!$A$35:$I$55,5,0)),0%,VLOOKUP(A63,'Données projet'!$A$35:$I$55,5,0)*VLOOKUP('Données projet'!$B$9,Paramètres!$A$1:$I$89,7,0))</f>
        <v>0.34400000000000003</v>
      </c>
      <c r="X63" s="16">
        <f>IF(ISNA(VLOOKUP(A63,'Données projet'!$A$35:$I$55,6,0)),0%,VLOOKUP(A63,'Données projet'!$A$35:$I$55,6,0)*VLOOKUP('Données projet'!$B$9,Paramètres!$A$1:$I$89,7,0))</f>
        <v>1.72E-2</v>
      </c>
      <c r="Y63" s="16">
        <f>IF(ISNA(VLOOKUP(A63,'Données projet'!$A$35:$I$55,7,0)),0%,VLOOKUP(A63,'Données projet'!$A$35:$I$55,7,0))</f>
        <v>0.06</v>
      </c>
      <c r="Z63" s="21">
        <f>EXP(-LN(2)/35)*Z62+(1-EXP(-LN(2)/35))/(LN(2)/35)*V63*W63*VLOOKUP('Données projet'!$B$9,Paramètres!$A$1:$I$89,3,0)*0.475*44/12</f>
        <v>35.833982433865444</v>
      </c>
      <c r="AA63" s="21">
        <f>EXP(-LN(2)/25)*AA62+(1-EXP(-LN(2)/25))/(LN(2)/25)*Calculateur!V63*Calculateur!X63*VLOOKUP('Données projet'!$B$9,Paramètres!$A$1:$I$89,3,0)*0.475*44/12</f>
        <v>2.608681539110846</v>
      </c>
      <c r="AB63" s="21">
        <f>EXP(-LN(2)/2)*AB62+(1-EXP(-LN(2)/2))/(LN(2)/2)*V63*Y63*VLOOKUP('Données projet'!$B$9,Paramètres!$A$1:$I$89,3,0)*0.475*44/12</f>
        <v>1.7437970433227776</v>
      </c>
      <c r="AC63" s="22">
        <f t="shared" si="3"/>
        <v>40.18646101629907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29.6</v>
      </c>
      <c r="AI63" s="13">
        <f>IF('Données projet'!$A$62&gt;35,AI62+AH63-AQ62,IF(A63&lt;'Données projet'!$A$62,$AF$205^A63,IF(A63='Données projet'!$A$62,'Données projet'!$B$62,AI62+AH63-AQ62)))</f>
        <v>946.59999999999991</v>
      </c>
      <c r="AJ63" s="13">
        <f>AI63*VLOOKUP('Données projet'!$B$10,Paramètres!$A$1:$I$89,3,0)*VLOOKUP('Données projet'!$B$10,Paramètres!$A$1:$I$89,5,0)</f>
        <v>566.06679999999994</v>
      </c>
      <c r="AK63" s="13">
        <f t="shared" si="35"/>
        <v>124.73431619953395</v>
      </c>
      <c r="AL63" s="20">
        <f t="shared" si="4"/>
        <v>1203.1452773808548</v>
      </c>
      <c r="AM63" s="59">
        <f t="shared" si="5"/>
        <v>1496.4786107141881</v>
      </c>
      <c r="AN63" s="59">
        <f ca="1">AVERAGE(OFFSET($AM$3,0,0,'Données projet'!$E$10+1,1))-AVERAGE(OFFSET($H$3,0,0,'Données projet'!$E$10+1,1))</f>
        <v>465.77577582457678</v>
      </c>
      <c r="AO63" s="59">
        <f t="shared" si="36"/>
        <v>301.15495784503042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45.882528142317369</v>
      </c>
      <c r="AV63" s="21">
        <f>EXP(-LN(2)/25)*AV62+(1-EXP(-LN(2)/25))/(LN(2)/25)*Calculateur!AQ63*Calculateur!AS63*VLOOKUP('Données projet'!$B$10,Paramètres!$A$1:$I$89,3,0)*0.475*44/12</f>
        <v>28.414781653113078</v>
      </c>
      <c r="AW63" s="21">
        <f>EXP(-LN(2)/2)*AW62+(1-EXP(-LN(2)/2))/(LN(2)/2)*AQ63*AT63*VLOOKUP('Données projet'!$B$10,Paramètres!$A$1:$I$89,3,0)*0.475*44/12</f>
        <v>1.6576357826741175</v>
      </c>
      <c r="AX63" s="21">
        <f t="shared" si="6"/>
        <v>75.954945578104571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310</v>
      </c>
      <c r="BB63" s="12">
        <f>VLOOKUP(A63,'Données projet'!$A$87:$I$107,9,0)</f>
        <v>9.6</v>
      </c>
      <c r="BC63" s="12">
        <f t="array" ref="BC63">INDEX(BB:BB,MIN(IF(ISNUMBER(BB63:BB259),ROW(BB63:BB259),"")))</f>
        <v>9.6</v>
      </c>
      <c r="BD63" s="12">
        <f>IF('Données projet'!$A$88&gt;35,BD62+BC63-BL62,IF(A63&lt;'Données projet'!$A$88,$BA$205^A63,IF(A63='Données projet'!$A$88,'Données projet'!$B$88,BD62+BC63-BL62)))</f>
        <v>310.00000000000023</v>
      </c>
      <c r="BE63" s="13">
        <f>BD63*VLOOKUP('Données projet'!$B$11,Paramètres!$A$1:$I$89,3,0)*VLOOKUP('Données projet'!$B$11,Paramètres!$A$1:$I$89,5,0)</f>
        <v>241.80000000000018</v>
      </c>
      <c r="BF63" s="13">
        <f t="shared" si="37"/>
        <v>58.826640673484889</v>
      </c>
      <c r="BG63" s="20">
        <f t="shared" si="7"/>
        <v>523.59139917298648</v>
      </c>
      <c r="BH63" s="59">
        <f t="shared" si="8"/>
        <v>816.92473250631974</v>
      </c>
      <c r="BI63" s="59">
        <f ca="1">AVERAGE(OFFSET($BH$3,0,0,'Données projet'!$E$11+1,1))-AVERAGE(OFFSET($H$3,0,0,'Données projet'!$E$11+1,1))</f>
        <v>219.5868031007679</v>
      </c>
      <c r="BJ63" s="59">
        <f t="shared" si="38"/>
        <v>263.3830219837742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37</v>
      </c>
      <c r="BM63" s="16">
        <f>IF(ISNA(VLOOKUP(A63,'Données projet'!$A$87:$I$107,5,0)),0%,VLOOKUP(A63,'Données projet'!$A$87:$I$107,5,0)*VLOOKUP('Données projet'!$B$11,Paramètres!$A$1:$I$89,7,0))</f>
        <v>0.215</v>
      </c>
      <c r="BN63" s="16">
        <f>IF(ISNA(VLOOKUP(A63,'Données projet'!$A$87:$I$107,6,0)),0%,VLOOKUP(A63,'Données projet'!$A$87:$I$107,6,0)*VLOOKUP('Données projet'!$B$11,Paramètres!$A$1:$I$89,7,0))</f>
        <v>4.3000000000000003E-2</v>
      </c>
      <c r="BO63" s="16">
        <f>IF(ISNA(VLOOKUP(A63,'Données projet'!$A$87:$I$107,7,0)),0%,VLOOKUP(A63,'Données projet'!$A$87:$I$107,7,0))</f>
        <v>0.15</v>
      </c>
      <c r="BP63" s="21">
        <f>EXP(-LN(2)/35)*BP62+(1-EXP(-LN(2)/35))/(LN(2)/35)*BL63*BM63*VLOOKUP('Données projet'!$B$11,Paramètres!$A$1:$I$89,3,0)*0.475*44/12</f>
        <v>32.640617613826308</v>
      </c>
      <c r="BQ63" s="21">
        <f>EXP(-LN(2)/25)*BQ62+(1-EXP(-LN(2)/25))/(LN(2)/25)*Calculateur!BL63*Calculateur!BN63*VLOOKUP('Données projet'!$B$11,Paramètres!$A$1:$I$89,3,0)*0.475*44/12</f>
        <v>5.9325249855306605</v>
      </c>
      <c r="BR63" s="21">
        <f>EXP(-LN(2)/2)*BR62+(1-EXP(-LN(2)/2))/(LN(2)/2)*BL63*BO63*VLOOKUP('Données projet'!$B$11,Paramètres!$A$1:$I$89,3,0)*0.475*44/12</f>
        <v>4.914323767446156</v>
      </c>
      <c r="BS63" s="22">
        <f t="shared" si="9"/>
        <v>43.487466366803126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271</v>
      </c>
      <c r="BW63" s="12">
        <f>VLOOKUP(A63,'Données projet'!$A$113:$I$133,9,0)</f>
        <v>7.4</v>
      </c>
      <c r="BX63" s="12">
        <f t="array" ref="BX63">INDEX(BW:BW,MIN(IF(ISNUMBER(BW63:BW259),ROW(BW63:BW259),"")))</f>
        <v>7.4</v>
      </c>
      <c r="BY63" s="12">
        <f>IF('Données projet'!$A$114&gt;35,BY62+BX63-CG62,IF(A63&lt;'Données projet'!$A$114,$BV$205^A63,IF(A63='Données projet'!$A$114,'Données projet'!$B$114,BY62+BX63-CG62)))</f>
        <v>270.99999999999989</v>
      </c>
      <c r="BZ63" s="13">
        <f>BY63*VLOOKUP('Données projet'!$B$12,Paramètres!$A$1:$I$89,3,0)*VLOOKUP('Données projet'!$B$12,Paramètres!$A$1:$I$89,5,0)</f>
        <v>291.70439999999985</v>
      </c>
      <c r="CA63" s="13">
        <f t="shared" si="39"/>
        <v>69.434559073015677</v>
      </c>
      <c r="CB63" s="20">
        <f t="shared" si="10"/>
        <v>628.98368705216865</v>
      </c>
      <c r="CC63" s="59">
        <f t="shared" si="11"/>
        <v>922.31702038550202</v>
      </c>
      <c r="CD63" s="59">
        <f ca="1">AVERAGE(OFFSET($CC$3,0,0,'Données projet'!$E$12+1,1))-AVERAGE(OFFSET($H$3,0,0,'Données projet'!$E$12+1,1))</f>
        <v>244.7364260963538</v>
      </c>
      <c r="CE63" s="59">
        <f t="shared" si="40"/>
        <v>270.32853612539299</v>
      </c>
      <c r="CF63" s="15">
        <f>IF(ISNA(VLOOKUP(A63,'Données projet'!$A$113:$I$133,3,0)),0,VLOOKUP(A63,'Données projet'!$A$113:$I$133,3,0))</f>
        <v>8</v>
      </c>
      <c r="CG63" s="15">
        <f>IF(ISNA(VLOOKUP(A63,'Données projet'!$A$113:$I$133,4,0)),0,VLOOKUP(A63,'Données projet'!$A$113:$I$133,4,0))</f>
        <v>27</v>
      </c>
      <c r="CH63" s="16">
        <f>IF(ISNA(VLOOKUP(A63,'Données projet'!$A$113:$I$133,5,0)),0%,VLOOKUP(A63,'Données projet'!$A$113:$I$133,5,0)*VLOOKUP('Données projet'!$B$12,Paramètres!$A$1:$I$89,7,0))</f>
        <v>0.215</v>
      </c>
      <c r="CI63" s="16">
        <f>IF(ISNA(VLOOKUP(A63,'Données projet'!$A$113:$I$133,6,0)),0%,VLOOKUP(A63,'Données projet'!$A$113:$I$133,6,0)*VLOOKUP('Données projet'!$B$12,Paramètres!$A$1:$I$89,7,0))</f>
        <v>4.3000000000000003E-2</v>
      </c>
      <c r="CJ63" s="16">
        <f>IF(ISNA(VLOOKUP(A63,'Données projet'!$A$113:$I$133,7,0)),0%,VLOOKUP(A63,'Données projet'!$A$113:$I$133,7,0))</f>
        <v>0.15</v>
      </c>
      <c r="CK63" s="21">
        <f>EXP(-LN(2)/35)*CK62+(1-EXP(-LN(2)/35))/(LN(2)/35)*CG63*CH63*VLOOKUP('Données projet'!$B$12,Paramètres!$A$1:$I$89,3,0)*0.475*44/12</f>
        <v>35.767151448509019</v>
      </c>
      <c r="CL63" s="21">
        <f>EXP(-LN(2)/25)*CL62+(1-EXP(-LN(2)/25))/(LN(2)/25)*Calculateur!CG63*Calculateur!CI63*VLOOKUP('Données projet'!$B$12,Paramètres!$A$1:$I$89,3,0)*0.475*44/12</f>
        <v>6.532946153281074</v>
      </c>
      <c r="CM63" s="21">
        <f>EXP(-LN(2)/2)*CM62+(1-EXP(-LN(2)/2))/(LN(2)/2)*CG63*CJ63*VLOOKUP('Données projet'!$B$12,Paramètres!$A$1:$I$89,3,0)*0.475*44/12</f>
        <v>5.0955249617949754</v>
      </c>
      <c r="CN63" s="22">
        <f t="shared" si="12"/>
        <v>47.395622563585064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271</v>
      </c>
      <c r="CR63" s="12">
        <f>VLOOKUP(A63,'Données projet'!$A$139:$I$159,9,0)</f>
        <v>7.4</v>
      </c>
      <c r="CS63" s="12">
        <f t="array" ref="CS63">INDEX(CR:CR,MIN(IF(ISNUMBER(CR63:CR259),ROW(CR63:CR259),"")))</f>
        <v>7.4</v>
      </c>
      <c r="CT63" s="12">
        <f>IF('Données projet'!$A$140&gt;35,CT62+CS63-DB62,IF(A63&lt;'Données projet'!$A$140,$CQ$205^A63,IF(A63='Données projet'!$A$140,'Données projet'!$B$140,CT62+CS63-DB62)))</f>
        <v>270.99999999999989</v>
      </c>
      <c r="CU63" s="17">
        <f>CT63*VLOOKUP('Données projet'!$B$13,Paramètres!$A$1:$I$89,3,0)*VLOOKUP('Données projet'!$B$13,Paramètres!$A$1:$I$89,5,0)</f>
        <v>262.11119999999988</v>
      </c>
      <c r="CV63" s="13">
        <f t="shared" si="41"/>
        <v>63.172188447086988</v>
      </c>
      <c r="CW63" s="20">
        <f t="shared" si="13"/>
        <v>566.53523487867619</v>
      </c>
      <c r="CX63" s="59">
        <f t="shared" si="14"/>
        <v>859.86856821200945</v>
      </c>
      <c r="CY63" s="59">
        <f ca="1">AVERAGE(OFFSET($CX$3,0,0,'Données projet'!$E$13+1,1))-AVERAGE(OFFSET($H$3,0,0,'Données projet'!$E$13+1,1))</f>
        <v>216.39536568500222</v>
      </c>
      <c r="CZ63" s="59">
        <f t="shared" si="42"/>
        <v>239.44686980897467</v>
      </c>
      <c r="DA63" s="15">
        <f>IF(ISNA(VLOOKUP(A63,'Données projet'!$A$139:$I$159,3,0)),0,VLOOKUP(A63,'Données projet'!$A$139:$I$159,3,0))</f>
        <v>8</v>
      </c>
      <c r="DB63" s="15">
        <f>IF(ISNA(VLOOKUP(A63,'Données projet'!$A$139:$I$159,4,0)),0,VLOOKUP(A63,'Données projet'!$A$139:$I$159,4,0))</f>
        <v>27</v>
      </c>
      <c r="DC63" s="16">
        <f>IF(ISNA(VLOOKUP(A63,'Données projet'!$A$139:$I$159,5,0)),0%,VLOOKUP(A63,'Données projet'!$A$139:$I$159,5,0)*VLOOKUP('Données projet'!$B$13,Paramètres!$A$1:$I$89,7,0))</f>
        <v>0.215</v>
      </c>
      <c r="DD63" s="16">
        <f>IF(ISNA(VLOOKUP(A63,'Données projet'!$A$139:$I$159,6,0)),0%,VLOOKUP(A63,'Données projet'!$A$139:$I$159,6,0)*VLOOKUP('Données projet'!$B$13,Paramètres!$A$1:$I$89,7,0))</f>
        <v>4.3000000000000003E-2</v>
      </c>
      <c r="DE63" s="16">
        <f>IF(ISNA(VLOOKUP(A63,'Données projet'!$A$139:$I$159,7,0)),0%,VLOOKUP(A63,'Données projet'!$A$139:$I$159,7,0))</f>
        <v>0.15</v>
      </c>
      <c r="DF63" s="21">
        <f>EXP(-LN(2)/35)*DF62+(1-EXP(-LN(2)/35))/(LN(2)/35)*DB63*DC63*VLOOKUP('Données projet'!$B$13,Paramètres!$A$1:$I$89,3,0)*0.475*44/12</f>
        <v>32.138599852283477</v>
      </c>
      <c r="DG63" s="21">
        <f>EXP(-LN(2)/25)*DG62+(1-EXP(-LN(2)/25))/(LN(2)/25)*Calculateur!DB63*Calculateur!DD63*VLOOKUP('Données projet'!$B$13,Paramètres!$A$1:$I$89,3,0)*0.475*44/12</f>
        <v>5.8701835000496621</v>
      </c>
      <c r="DH63" s="21">
        <f>EXP(-LN(2)/2)*DH62+(1-EXP(-LN(2)/2))/(LN(2)/2)*DB63*DE63*VLOOKUP('Données projet'!$B$13,Paramètres!$A$1:$I$89,3,0)*0.475*44/12</f>
        <v>4.5785876468302673</v>
      </c>
      <c r="DI63" s="22">
        <f t="shared" si="15"/>
        <v>42.587370999163404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36.160799999999995</v>
      </c>
      <c r="D64" s="11">
        <f t="shared" si="32"/>
        <v>10.975168286277908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363.85659729758385</v>
      </c>
      <c r="H64" s="67">
        <f t="shared" si="1"/>
        <v>375.42847809860064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8.8000000000000007</v>
      </c>
      <c r="N64" s="13">
        <f>IF('Données projet'!$A$36&gt;35,N63+M64-V63,IF(A64&lt;'Données projet'!$A$36,$K$205^A64,IF(A64='Données projet'!$A$36,'Données projet'!$B$36,N63+M64-V63)))</f>
        <v>253.79999999999995</v>
      </c>
      <c r="O64" s="13">
        <f>N64*VLOOKUP('Données projet'!$B$9,Paramètres!$A$1:$I$89,3,0)*VLOOKUP('Données projet'!$B$9,Paramètres!$A$1:$I$89,5,0)</f>
        <v>229.63823999999994</v>
      </c>
      <c r="P64" s="13">
        <f t="shared" si="33"/>
        <v>56.204453396569633</v>
      </c>
      <c r="Q64" s="20">
        <f t="shared" si="53"/>
        <v>497.84269099902531</v>
      </c>
      <c r="R64" s="59">
        <f t="shared" si="0"/>
        <v>791.17602433235857</v>
      </c>
      <c r="S64" s="59">
        <f ca="1">AVERAGE(OFFSET($R$3,0,0,'Données projet'!$E$9+1,1))-AVERAGE(OFFSET($H$3,0,0,'Données projet'!$E$9+1,1))</f>
        <v>330.30341204367602</v>
      </c>
      <c r="T64" s="59">
        <f t="shared" si="34"/>
        <v>200.36653694091007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35.131299894908473</v>
      </c>
      <c r="AA64" s="21">
        <f>EXP(-LN(2)/25)*AA63+(1-EXP(-LN(2)/25))/(LN(2)/25)*Calculateur!V64*Calculateur!X64*VLOOKUP('Données projet'!$B$9,Paramètres!$A$1:$I$89,3,0)*0.475*44/12</f>
        <v>2.5373470052392602</v>
      </c>
      <c r="AB64" s="21">
        <f>EXP(-LN(2)/2)*AB63+(1-EXP(-LN(2)/2))/(LN(2)/2)*V64*Y64*VLOOKUP('Données projet'!$B$9,Paramètres!$A$1:$I$89,3,0)*0.475*44/12</f>
        <v>1.2330507143465879</v>
      </c>
      <c r="AC64" s="22">
        <f t="shared" si="3"/>
        <v>38.901697614494324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29.6</v>
      </c>
      <c r="AI64" s="13">
        <f>IF('Données projet'!$A$62&gt;35,AI63+AH64-AQ63,IF(A64&lt;'Données projet'!$A$62,$AF$205^A64,IF(A64='Données projet'!$A$62,'Données projet'!$B$62,AI63+AH64-AQ63)))</f>
        <v>976.19999999999993</v>
      </c>
      <c r="AJ64" s="13">
        <f>AI64*VLOOKUP('Données projet'!$B$10,Paramètres!$A$1:$I$89,3,0)*VLOOKUP('Données projet'!$B$10,Paramètres!$A$1:$I$89,5,0)</f>
        <v>583.76760000000002</v>
      </c>
      <c r="AK64" s="13">
        <f t="shared" si="35"/>
        <v>128.17452529086091</v>
      </c>
      <c r="AL64" s="20">
        <f t="shared" si="4"/>
        <v>1239.9658682149163</v>
      </c>
      <c r="AM64" s="59">
        <f t="shared" si="5"/>
        <v>1533.2992015482496</v>
      </c>
      <c r="AN64" s="59">
        <f ca="1">AVERAGE(OFFSET($AM$3,0,0,'Données projet'!$E$10+1,1))-AVERAGE(OFFSET($H$3,0,0,'Données projet'!$E$10+1,1))</f>
        <v>465.77577582457678</v>
      </c>
      <c r="AO64" s="59">
        <f t="shared" si="36"/>
        <v>301.15495784503042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44.982799751025347</v>
      </c>
      <c r="AV64" s="21">
        <f>EXP(-LN(2)/25)*AV63+(1-EXP(-LN(2)/25))/(LN(2)/25)*Calculateur!AQ64*Calculateur!AS64*VLOOKUP('Données projet'!$B$10,Paramètres!$A$1:$I$89,3,0)*0.475*44/12</f>
        <v>27.637777954540276</v>
      </c>
      <c r="AW64" s="21">
        <f>EXP(-LN(2)/2)*AW63+(1-EXP(-LN(2)/2))/(LN(2)/2)*AQ64*AT64*VLOOKUP('Données projet'!$B$10,Paramètres!$A$1:$I$89,3,0)*0.475*44/12</f>
        <v>1.1721255026663386</v>
      </c>
      <c r="AX64" s="21">
        <f t="shared" si="6"/>
        <v>73.792703208231956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273.00000000000023</v>
      </c>
      <c r="BE64" s="13">
        <f>BD64*VLOOKUP('Données projet'!$B$11,Paramètres!$A$1:$I$89,3,0)*VLOOKUP('Données projet'!$B$11,Paramètres!$A$1:$I$89,5,0)</f>
        <v>212.9400000000002</v>
      </c>
      <c r="BF64" s="13">
        <f t="shared" si="37"/>
        <v>52.577528895212915</v>
      </c>
      <c r="BG64" s="20">
        <f t="shared" si="7"/>
        <v>462.44302949249618</v>
      </c>
      <c r="BH64" s="59">
        <f t="shared" si="8"/>
        <v>755.77636282582944</v>
      </c>
      <c r="BI64" s="59">
        <f ca="1">AVERAGE(OFFSET($BH$3,0,0,'Données projet'!$E$11+1,1))-AVERAGE(OFFSET($H$3,0,0,'Données projet'!$E$11+1,1))</f>
        <v>219.5868031007679</v>
      </c>
      <c r="BJ64" s="59">
        <f t="shared" si="38"/>
        <v>263.3830219837742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32.000555011230084</v>
      </c>
      <c r="BQ64" s="21">
        <f>EXP(-LN(2)/25)*BQ63+(1-EXP(-LN(2)/25))/(LN(2)/25)*Calculateur!BL64*Calculateur!BN64*VLOOKUP('Données projet'!$B$11,Paramètres!$A$1:$I$89,3,0)*0.475*44/12</f>
        <v>5.7702997778233946</v>
      </c>
      <c r="BR64" s="21">
        <f>EXP(-LN(2)/2)*BR63+(1-EXP(-LN(2)/2))/(LN(2)/2)*BL64*BO64*VLOOKUP('Données projet'!$B$11,Paramètres!$A$1:$I$89,3,0)*0.475*44/12</f>
        <v>3.4749516609073989</v>
      </c>
      <c r="BS64" s="22">
        <f t="shared" si="9"/>
        <v>41.245806449960881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243.99999999999989</v>
      </c>
      <c r="BZ64" s="13">
        <f>BY64*VLOOKUP('Données projet'!$B$12,Paramètres!$A$1:$I$89,3,0)*VLOOKUP('Données projet'!$B$12,Paramètres!$A$1:$I$89,5,0)</f>
        <v>262.64159999999987</v>
      </c>
      <c r="CA64" s="13">
        <f t="shared" si="39"/>
        <v>63.285128621471941</v>
      </c>
      <c r="CB64" s="20">
        <f t="shared" si="10"/>
        <v>567.65571901573003</v>
      </c>
      <c r="CC64" s="59">
        <f t="shared" si="11"/>
        <v>860.98905234906329</v>
      </c>
      <c r="CD64" s="59">
        <f ca="1">AVERAGE(OFFSET($CC$3,0,0,'Données projet'!$E$12+1,1))-AVERAGE(OFFSET($H$3,0,0,'Données projet'!$E$12+1,1))</f>
        <v>244.7364260963538</v>
      </c>
      <c r="CE64" s="59">
        <f t="shared" si="40"/>
        <v>270.32853612539299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35.065779424412007</v>
      </c>
      <c r="CL64" s="21">
        <f>EXP(-LN(2)/25)*CL63+(1-EXP(-LN(2)/25))/(LN(2)/25)*Calculateur!CG64*Calculateur!CI64*VLOOKUP('Données projet'!$B$12,Paramètres!$A$1:$I$89,3,0)*0.475*44/12</f>
        <v>6.3543023971668964</v>
      </c>
      <c r="CM64" s="21">
        <f>EXP(-LN(2)/2)*CM63+(1-EXP(-LN(2)/2))/(LN(2)/2)*CG64*CJ64*VLOOKUP('Données projet'!$B$12,Paramètres!$A$1:$I$89,3,0)*0.475*44/12</f>
        <v>3.6030802541905507</v>
      </c>
      <c r="CN64" s="22">
        <f t="shared" si="12"/>
        <v>45.023162075769456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243.99999999999989</v>
      </c>
      <c r="CU64" s="17">
        <f>CT64*VLOOKUP('Données projet'!$B$13,Paramètres!$A$1:$I$89,3,0)*VLOOKUP('Données projet'!$B$13,Paramètres!$A$1:$I$89,5,0)</f>
        <v>235.99679999999987</v>
      </c>
      <c r="CV64" s="13">
        <f t="shared" si="41"/>
        <v>57.577381127598322</v>
      </c>
      <c r="CW64" s="20">
        <f t="shared" si="13"/>
        <v>511.30836546390015</v>
      </c>
      <c r="CX64" s="59">
        <f t="shared" si="14"/>
        <v>804.6416987972334</v>
      </c>
      <c r="CY64" s="59">
        <f ca="1">AVERAGE(OFFSET($CX$3,0,0,'Données projet'!$E$13+1,1))-AVERAGE(OFFSET($H$3,0,0,'Données projet'!$E$13+1,1))</f>
        <v>216.39536568500222</v>
      </c>
      <c r="CZ64" s="59">
        <f t="shared" si="42"/>
        <v>239.44686980897467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31.50838151179051</v>
      </c>
      <c r="DG64" s="21">
        <f>EXP(-LN(2)/25)*DG63+(1-EXP(-LN(2)/25))/(LN(2)/25)*Calculateur!DB64*Calculateur!DD64*VLOOKUP('Données projet'!$B$13,Paramètres!$A$1:$I$89,3,0)*0.475*44/12</f>
        <v>5.7096630235412702</v>
      </c>
      <c r="DH64" s="21">
        <f>EXP(-LN(2)/2)*DH63+(1-EXP(-LN(2)/2))/(LN(2)/2)*DB64*DE64*VLOOKUP('Données projet'!$B$13,Paramètres!$A$1:$I$89,3,0)*0.475*44/12</f>
        <v>3.2375503733306394</v>
      </c>
      <c r="DI64" s="22">
        <f t="shared" si="15"/>
        <v>40.45559490866242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36.753599999999992</v>
      </c>
      <c r="D65" s="11">
        <f t="shared" si="32"/>
        <v>11.133995534446285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369.65863219572566</v>
      </c>
      <c r="H65" s="67">
        <f t="shared" si="1"/>
        <v>376.73756222249392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8.8000000000000007</v>
      </c>
      <c r="N65" s="13">
        <f>IF('Données projet'!$A$36&gt;35,N64+M65-V64,IF(A65&lt;'Données projet'!$A$36,$K$205^A65,IF(A65='Données projet'!$A$36,'Données projet'!$B$36,N64+M65-V64)))</f>
        <v>262.59999999999997</v>
      </c>
      <c r="O65" s="13">
        <f>N65*VLOOKUP('Données projet'!$B$9,Paramètres!$A$1:$I$89,3,0)*VLOOKUP('Données projet'!$B$9,Paramètres!$A$1:$I$89,5,0)</f>
        <v>237.60047999999995</v>
      </c>
      <c r="P65" s="13">
        <f t="shared" si="33"/>
        <v>57.922960533442058</v>
      </c>
      <c r="Q65" s="20">
        <f t="shared" si="53"/>
        <v>514.70332559574479</v>
      </c>
      <c r="R65" s="59">
        <f t="shared" si="0"/>
        <v>808.03665892907816</v>
      </c>
      <c r="S65" s="59">
        <f ca="1">AVERAGE(OFFSET($R$3,0,0,'Données projet'!$E$9+1,1))-AVERAGE(OFFSET($H$3,0,0,'Données projet'!$E$9+1,1))</f>
        <v>330.30341204367602</v>
      </c>
      <c r="T65" s="59">
        <f t="shared" si="34"/>
        <v>200.36653694091007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34.442396531946414</v>
      </c>
      <c r="AA65" s="21">
        <f>EXP(-LN(2)/25)*AA64+(1-EXP(-LN(2)/25))/(LN(2)/25)*Calculateur!V65*Calculateur!X65*VLOOKUP('Données projet'!$B$9,Paramètres!$A$1:$I$89,3,0)*0.475*44/12</f>
        <v>2.4679631179477126</v>
      </c>
      <c r="AB65" s="21">
        <f>EXP(-LN(2)/2)*AB64+(1-EXP(-LN(2)/2))/(LN(2)/2)*V65*Y65*VLOOKUP('Données projet'!$B$9,Paramètres!$A$1:$I$89,3,0)*0.475*44/12</f>
        <v>0.87189852166138893</v>
      </c>
      <c r="AC65" s="22">
        <f t="shared" si="3"/>
        <v>37.782258171555512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29.6</v>
      </c>
      <c r="AI65" s="13">
        <f>IF('Données projet'!$A$62&gt;35,AI64+AH65-AQ64,IF(A65&lt;'Données projet'!$A$62,$AF$205^A65,IF(A65='Données projet'!$A$62,'Données projet'!$B$62,AI64+AH65-AQ64)))</f>
        <v>1005.8</v>
      </c>
      <c r="AJ65" s="13">
        <f>AI65*VLOOKUP('Données projet'!$B$10,Paramètres!$A$1:$I$89,3,0)*VLOOKUP('Données projet'!$B$10,Paramètres!$A$1:$I$89,5,0)</f>
        <v>601.46839999999997</v>
      </c>
      <c r="AK65" s="13">
        <f t="shared" si="35"/>
        <v>131.60261180764641</v>
      </c>
      <c r="AL65" s="20">
        <f t="shared" si="4"/>
        <v>1276.765345564984</v>
      </c>
      <c r="AM65" s="59">
        <f t="shared" si="5"/>
        <v>1570.0986788983173</v>
      </c>
      <c r="AN65" s="59">
        <f ca="1">AVERAGE(OFFSET($AM$3,0,0,'Données projet'!$E$10+1,1))-AVERAGE(OFFSET($H$3,0,0,'Données projet'!$E$10+1,1))</f>
        <v>465.77577582457678</v>
      </c>
      <c r="AO65" s="59">
        <f t="shared" si="36"/>
        <v>301.15495784503042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44.10071448470643</v>
      </c>
      <c r="AV65" s="21">
        <f>EXP(-LN(2)/25)*AV64+(1-EXP(-LN(2)/25))/(LN(2)/25)*Calculateur!AQ65*Calculateur!AS65*VLOOKUP('Données projet'!$B$10,Paramètres!$A$1:$I$89,3,0)*0.475*44/12</f>
        <v>26.882021462965795</v>
      </c>
      <c r="AW65" s="21">
        <f>EXP(-LN(2)/2)*AW64+(1-EXP(-LN(2)/2))/(LN(2)/2)*AQ65*AT65*VLOOKUP('Données projet'!$B$10,Paramètres!$A$1:$I$89,3,0)*0.475*44/12</f>
        <v>0.82881789133705874</v>
      </c>
      <c r="AX65" s="21">
        <f t="shared" si="6"/>
        <v>71.811553839009278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273.00000000000023</v>
      </c>
      <c r="BE65" s="13">
        <f>BD65*VLOOKUP('Données projet'!$B$11,Paramètres!$A$1:$I$89,3,0)*VLOOKUP('Données projet'!$B$11,Paramètres!$A$1:$I$89,5,0)</f>
        <v>212.9400000000002</v>
      </c>
      <c r="BF65" s="13">
        <f t="shared" si="37"/>
        <v>52.577528895212915</v>
      </c>
      <c r="BG65" s="20">
        <f t="shared" si="7"/>
        <v>462.44302949249618</v>
      </c>
      <c r="BH65" s="59">
        <f t="shared" si="8"/>
        <v>755.77636282582944</v>
      </c>
      <c r="BI65" s="59">
        <f ca="1">AVERAGE(OFFSET($BH$3,0,0,'Données projet'!$E$11+1,1))-AVERAGE(OFFSET($H$3,0,0,'Données projet'!$E$11+1,1))</f>
        <v>219.5868031007679</v>
      </c>
      <c r="BJ65" s="59">
        <f t="shared" si="38"/>
        <v>263.3830219837742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31.373043645871135</v>
      </c>
      <c r="BQ65" s="21">
        <f>EXP(-LN(2)/25)*BQ64+(1-EXP(-LN(2)/25))/(LN(2)/25)*Calculateur!BL65*Calculateur!BN65*VLOOKUP('Données projet'!$B$11,Paramètres!$A$1:$I$89,3,0)*0.475*44/12</f>
        <v>5.6125106269519369</v>
      </c>
      <c r="BR65" s="21">
        <f>EXP(-LN(2)/2)*BR64+(1-EXP(-LN(2)/2))/(LN(2)/2)*BL65*BO65*VLOOKUP('Données projet'!$B$11,Paramètres!$A$1:$I$89,3,0)*0.475*44/12</f>
        <v>2.457161883723078</v>
      </c>
      <c r="BS65" s="22">
        <f t="shared" si="9"/>
        <v>39.442716156546155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243.99999999999989</v>
      </c>
      <c r="BZ65" s="13">
        <f>BY65*VLOOKUP('Données projet'!$B$12,Paramètres!$A$1:$I$89,3,0)*VLOOKUP('Données projet'!$B$12,Paramètres!$A$1:$I$89,5,0)</f>
        <v>262.64159999999987</v>
      </c>
      <c r="CA65" s="13">
        <f t="shared" si="39"/>
        <v>63.285128621471941</v>
      </c>
      <c r="CB65" s="20">
        <f t="shared" si="10"/>
        <v>567.65571901573003</v>
      </c>
      <c r="CC65" s="59">
        <f t="shared" si="11"/>
        <v>860.98905234906329</v>
      </c>
      <c r="CD65" s="59">
        <f ca="1">AVERAGE(OFFSET($CC$3,0,0,'Données projet'!$E$12+1,1))-AVERAGE(OFFSET($H$3,0,0,'Données projet'!$E$12+1,1))</f>
        <v>244.7364260963538</v>
      </c>
      <c r="CE65" s="59">
        <f t="shared" si="40"/>
        <v>270.32853612539299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34.378160877912848</v>
      </c>
      <c r="CL65" s="21">
        <f>EXP(-LN(2)/25)*CL64+(1-EXP(-LN(2)/25))/(LN(2)/25)*Calculateur!CG65*Calculateur!CI65*VLOOKUP('Données projet'!$B$12,Paramètres!$A$1:$I$89,3,0)*0.475*44/12</f>
        <v>6.1805436639581277</v>
      </c>
      <c r="CM65" s="21">
        <f>EXP(-LN(2)/2)*CM64+(1-EXP(-LN(2)/2))/(LN(2)/2)*CG65*CJ65*VLOOKUP('Données projet'!$B$12,Paramètres!$A$1:$I$89,3,0)*0.475*44/12</f>
        <v>2.5477624808974881</v>
      </c>
      <c r="CN65" s="22">
        <f t="shared" si="12"/>
        <v>43.106467022768463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243.99999999999989</v>
      </c>
      <c r="CU65" s="17">
        <f>CT65*VLOOKUP('Données projet'!$B$13,Paramètres!$A$1:$I$89,3,0)*VLOOKUP('Données projet'!$B$13,Paramètres!$A$1:$I$89,5,0)</f>
        <v>235.99679999999987</v>
      </c>
      <c r="CV65" s="13">
        <f t="shared" si="41"/>
        <v>57.577381127598322</v>
      </c>
      <c r="CW65" s="20">
        <f t="shared" si="13"/>
        <v>511.30836546390015</v>
      </c>
      <c r="CX65" s="59">
        <f t="shared" si="14"/>
        <v>804.6416987972334</v>
      </c>
      <c r="CY65" s="59">
        <f ca="1">AVERAGE(OFFSET($CX$3,0,0,'Données projet'!$E$13+1,1))-AVERAGE(OFFSET($H$3,0,0,'Données projet'!$E$13+1,1))</f>
        <v>216.39536568500222</v>
      </c>
      <c r="CZ65" s="59">
        <f t="shared" si="42"/>
        <v>239.44686980897467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30.89052136855938</v>
      </c>
      <c r="DG65" s="21">
        <f>EXP(-LN(2)/25)*DG64+(1-EXP(-LN(2)/25))/(LN(2)/25)*Calculateur!DB65*Calculateur!DD65*VLOOKUP('Données projet'!$B$13,Paramètres!$A$1:$I$89,3,0)*0.475*44/12</f>
        <v>5.5535319879044049</v>
      </c>
      <c r="DH65" s="21">
        <f>EXP(-LN(2)/2)*DH64+(1-EXP(-LN(2)/2))/(LN(2)/2)*DB65*DE65*VLOOKUP('Données projet'!$B$13,Paramètres!$A$1:$I$89,3,0)*0.475*44/12</f>
        <v>2.2892938234151337</v>
      </c>
      <c r="DI65" s="22">
        <f t="shared" si="15"/>
        <v>38.733347179878919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37.346399999999988</v>
      </c>
      <c r="D66" s="11">
        <f t="shared" si="32"/>
        <v>11.292524863342392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375.45836736615166</v>
      </c>
      <c r="H66" s="67">
        <f t="shared" si="1"/>
        <v>378.04612747032127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8.8000000000000007</v>
      </c>
      <c r="N66" s="13">
        <f>IF('Données projet'!$A$36&gt;35,N65+M66-V65,IF(A66&lt;'Données projet'!$A$36,$K$205^A66,IF(A66='Données projet'!$A$36,'Données projet'!$B$36,N65+M66-V65)))</f>
        <v>271.39999999999998</v>
      </c>
      <c r="O66" s="13">
        <f>N66*VLOOKUP('Données projet'!$B$9,Paramètres!$A$1:$I$89,3,0)*VLOOKUP('Données projet'!$B$9,Paramètres!$A$1:$I$89,5,0)</f>
        <v>245.56271999999998</v>
      </c>
      <c r="P66" s="13">
        <f t="shared" si="33"/>
        <v>59.634776048276898</v>
      </c>
      <c r="Q66" s="20">
        <f t="shared" si="53"/>
        <v>531.55230561741564</v>
      </c>
      <c r="R66" s="59">
        <f t="shared" si="0"/>
        <v>824.8856389507489</v>
      </c>
      <c r="S66" s="59">
        <f ca="1">AVERAGE(OFFSET($R$3,0,0,'Données projet'!$E$9+1,1))-AVERAGE(OFFSET($H$3,0,0,'Données projet'!$E$9+1,1))</f>
        <v>330.30341204367602</v>
      </c>
      <c r="T66" s="59">
        <f t="shared" si="34"/>
        <v>200.36653694091007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33.767002143742481</v>
      </c>
      <c r="AA66" s="21">
        <f>EXP(-LN(2)/25)*AA65+(1-EXP(-LN(2)/25))/(LN(2)/25)*Calculateur!V66*Calculateur!X66*VLOOKUP('Données projet'!$B$9,Paramètres!$A$1:$I$89,3,0)*0.475*44/12</f>
        <v>2.4004765367028926</v>
      </c>
      <c r="AB66" s="21">
        <f>EXP(-LN(2)/2)*AB65+(1-EXP(-LN(2)/2))/(LN(2)/2)*V66*Y66*VLOOKUP('Données projet'!$B$9,Paramètres!$A$1:$I$89,3,0)*0.475*44/12</f>
        <v>0.61652535717329404</v>
      </c>
      <c r="AC66" s="22">
        <f t="shared" si="3"/>
        <v>36.784004037618665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29.6</v>
      </c>
      <c r="AI66" s="13">
        <f>IF('Données projet'!$A$62&gt;35,AI65+AH66-AQ65,IF(A66&lt;'Données projet'!$A$62,$AF$205^A66,IF(A66='Données projet'!$A$62,'Données projet'!$B$62,AI65+AH66-AQ65)))</f>
        <v>1035.3999999999999</v>
      </c>
      <c r="AJ66" s="13">
        <f>AI66*VLOOKUP('Données projet'!$B$10,Paramètres!$A$1:$I$89,3,0)*VLOOKUP('Données projet'!$B$10,Paramètres!$A$1:$I$89,5,0)</f>
        <v>619.16919999999993</v>
      </c>
      <c r="AK66" s="13">
        <f t="shared" si="35"/>
        <v>135.01897347063098</v>
      </c>
      <c r="AL66" s="20">
        <f t="shared" si="4"/>
        <v>1313.5444021280155</v>
      </c>
      <c r="AM66" s="59">
        <f t="shared" si="5"/>
        <v>1606.8777354613487</v>
      </c>
      <c r="AN66" s="59">
        <f ca="1">AVERAGE(OFFSET($AM$3,0,0,'Données projet'!$E$10+1,1))-AVERAGE(OFFSET($H$3,0,0,'Données projet'!$E$10+1,1))</f>
        <v>465.77577582457678</v>
      </c>
      <c r="AO66" s="59">
        <f t="shared" si="36"/>
        <v>301.15495784503042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43.235926372441135</v>
      </c>
      <c r="AV66" s="21">
        <f>EXP(-LN(2)/25)*AV65+(1-EXP(-LN(2)/25))/(LN(2)/25)*Calculateur!AQ66*Calculateur!AS66*VLOOKUP('Données projet'!$B$10,Paramètres!$A$1:$I$89,3,0)*0.475*44/12</f>
        <v>26.146931172396926</v>
      </c>
      <c r="AW66" s="21">
        <f>EXP(-LN(2)/2)*AW65+(1-EXP(-LN(2)/2))/(LN(2)/2)*AQ66*AT66*VLOOKUP('Données projet'!$B$10,Paramètres!$A$1:$I$89,3,0)*0.475*44/12</f>
        <v>0.58606275133316932</v>
      </c>
      <c r="AX66" s="21">
        <f t="shared" si="6"/>
        <v>69.968920296171234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273.00000000000023</v>
      </c>
      <c r="BE66" s="13">
        <f>BD66*VLOOKUP('Données projet'!$B$11,Paramètres!$A$1:$I$89,3,0)*VLOOKUP('Données projet'!$B$11,Paramètres!$A$1:$I$89,5,0)</f>
        <v>212.9400000000002</v>
      </c>
      <c r="BF66" s="13">
        <f t="shared" si="37"/>
        <v>52.577528895212915</v>
      </c>
      <c r="BG66" s="20">
        <f t="shared" si="7"/>
        <v>462.44302949249618</v>
      </c>
      <c r="BH66" s="59">
        <f t="shared" si="8"/>
        <v>755.77636282582944</v>
      </c>
      <c r="BI66" s="59">
        <f ca="1">AVERAGE(OFFSET($BH$3,0,0,'Données projet'!$E$11+1,1))-AVERAGE(OFFSET($H$3,0,0,'Données projet'!$E$11+1,1))</f>
        <v>219.5868031007679</v>
      </c>
      <c r="BJ66" s="59">
        <f t="shared" si="38"/>
        <v>263.3830219837742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30.757837395642735</v>
      </c>
      <c r="BQ66" s="21">
        <f>EXP(-LN(2)/25)*BQ65+(1-EXP(-LN(2)/25))/(LN(2)/25)*Calculateur!BL66*Calculateur!BN66*VLOOKUP('Données projet'!$B$11,Paramètres!$A$1:$I$89,3,0)*0.475*44/12</f>
        <v>5.4590362287088299</v>
      </c>
      <c r="BR66" s="21">
        <f>EXP(-LN(2)/2)*BR65+(1-EXP(-LN(2)/2))/(LN(2)/2)*BL66*BO66*VLOOKUP('Données projet'!$B$11,Paramètres!$A$1:$I$89,3,0)*0.475*44/12</f>
        <v>1.7374758304536995</v>
      </c>
      <c r="BS66" s="22">
        <f t="shared" si="9"/>
        <v>37.954349454805261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243.99999999999989</v>
      </c>
      <c r="BZ66" s="13">
        <f>BY66*VLOOKUP('Données projet'!$B$12,Paramètres!$A$1:$I$89,3,0)*VLOOKUP('Données projet'!$B$12,Paramètres!$A$1:$I$89,5,0)</f>
        <v>262.64159999999987</v>
      </c>
      <c r="CA66" s="13">
        <f t="shared" si="39"/>
        <v>63.285128621471941</v>
      </c>
      <c r="CB66" s="20">
        <f t="shared" si="10"/>
        <v>567.65571901573003</v>
      </c>
      <c r="CC66" s="59">
        <f t="shared" si="11"/>
        <v>860.98905234906329</v>
      </c>
      <c r="CD66" s="59">
        <f ca="1">AVERAGE(OFFSET($CC$3,0,0,'Données projet'!$E$12+1,1))-AVERAGE(OFFSET($H$3,0,0,'Données projet'!$E$12+1,1))</f>
        <v>244.7364260963538</v>
      </c>
      <c r="CE66" s="59">
        <f t="shared" si="40"/>
        <v>270.32853612539299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33.704026111704636</v>
      </c>
      <c r="CL66" s="21">
        <f>EXP(-LN(2)/25)*CL65+(1-EXP(-LN(2)/25))/(LN(2)/25)*Calculateur!CG66*Calculateur!CI66*VLOOKUP('Données projet'!$B$12,Paramètres!$A$1:$I$89,3,0)*0.475*44/12</f>
        <v>6.0115363724465274</v>
      </c>
      <c r="CM66" s="21">
        <f>EXP(-LN(2)/2)*CM65+(1-EXP(-LN(2)/2))/(LN(2)/2)*CG66*CJ66*VLOOKUP('Données projet'!$B$12,Paramètres!$A$1:$I$89,3,0)*0.475*44/12</f>
        <v>1.8015401270952758</v>
      </c>
      <c r="CN66" s="22">
        <f t="shared" si="12"/>
        <v>41.517102611246443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243.99999999999989</v>
      </c>
      <c r="CU66" s="17">
        <f>CT66*VLOOKUP('Données projet'!$B$13,Paramètres!$A$1:$I$89,3,0)*VLOOKUP('Données projet'!$B$13,Paramètres!$A$1:$I$89,5,0)</f>
        <v>235.99679999999987</v>
      </c>
      <c r="CV66" s="13">
        <f t="shared" si="41"/>
        <v>57.577381127598322</v>
      </c>
      <c r="CW66" s="20">
        <f t="shared" si="13"/>
        <v>511.30836546390015</v>
      </c>
      <c r="CX66" s="59">
        <f t="shared" si="14"/>
        <v>804.6416987972334</v>
      </c>
      <c r="CY66" s="59">
        <f ca="1">AVERAGE(OFFSET($CX$3,0,0,'Données projet'!$E$13+1,1))-AVERAGE(OFFSET($H$3,0,0,'Données projet'!$E$13+1,1))</f>
        <v>216.39536568500222</v>
      </c>
      <c r="CZ66" s="59">
        <f t="shared" si="42"/>
        <v>239.44686980897467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30.284777085879536</v>
      </c>
      <c r="DG66" s="21">
        <f>EXP(-LN(2)/25)*DG65+(1-EXP(-LN(2)/25))/(LN(2)/25)*Calculateur!DB66*Calculateur!DD66*VLOOKUP('Données projet'!$B$13,Paramètres!$A$1:$I$89,3,0)*0.475*44/12</f>
        <v>5.4016703636476047</v>
      </c>
      <c r="DH66" s="21">
        <f>EXP(-LN(2)/2)*DH65+(1-EXP(-LN(2)/2))/(LN(2)/2)*DB66*DE66*VLOOKUP('Données projet'!$B$13,Paramètres!$A$1:$I$89,3,0)*0.475*44/12</f>
        <v>1.6187751866653197</v>
      </c>
      <c r="DI66" s="22">
        <f t="shared" si="15"/>
        <v>37.305222636192461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37.939199999999985</v>
      </c>
      <c r="D67" s="11">
        <f t="shared" si="32"/>
        <v>11.450761547856988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381.25584352731698</v>
      </c>
      <c r="H67" s="67">
        <f t="shared" si="1"/>
        <v>379.35418302918418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8.8000000000000007</v>
      </c>
      <c r="N67" s="13">
        <f>IF('Données projet'!$A$36&gt;35,N66+M67-V66,IF(A67&lt;'Données projet'!$A$36,$K$205^A67,IF(A67='Données projet'!$A$36,'Données projet'!$B$36,N66+M67-V66)))</f>
        <v>280.2</v>
      </c>
      <c r="O67" s="13">
        <f>N67*VLOOKUP('Données projet'!$B$9,Paramètres!$A$1:$I$89,3,0)*VLOOKUP('Données projet'!$B$9,Paramètres!$A$1:$I$89,5,0)</f>
        <v>253.52495999999999</v>
      </c>
      <c r="P67" s="13">
        <f t="shared" si="33"/>
        <v>61.340141798422209</v>
      </c>
      <c r="Q67" s="20">
        <f t="shared" ref="Q67:Q98" si="54">(O67+P67)*0.475*44/12</f>
        <v>548.39005229891859</v>
      </c>
      <c r="R67" s="59">
        <f t="shared" ref="R67:R130" si="55">Q67+(I67+J67)*44/12</f>
        <v>841.72338563225185</v>
      </c>
      <c r="S67" s="59">
        <f ca="1">AVERAGE(OFFSET($R$3,0,0,'Données projet'!$E$9+1,1))-AVERAGE(OFFSET($H$3,0,0,'Données projet'!$E$9+1,1))</f>
        <v>330.30341204367602</v>
      </c>
      <c r="T67" s="59">
        <f t="shared" si="34"/>
        <v>200.36653694091007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33.104851827541331</v>
      </c>
      <c r="AA67" s="21">
        <f>EXP(-LN(2)/25)*AA66+(1-EXP(-LN(2)/25))/(LN(2)/25)*Calculateur!V67*Calculateur!X67*VLOOKUP('Données projet'!$B$9,Paramètres!$A$1:$I$89,3,0)*0.475*44/12</f>
        <v>2.3348353795711771</v>
      </c>
      <c r="AB67" s="21">
        <f>EXP(-LN(2)/2)*AB66+(1-EXP(-LN(2)/2))/(LN(2)/2)*V67*Y67*VLOOKUP('Données projet'!$B$9,Paramètres!$A$1:$I$89,3,0)*0.475*44/12</f>
        <v>0.43594926083069452</v>
      </c>
      <c r="AC67" s="22">
        <f t="shared" si="3"/>
        <v>35.875636467943202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>
        <f>VLOOKUP(A67,'Données projet'!$A$61:$I$81,2,0)</f>
        <v>1065</v>
      </c>
      <c r="AG67" s="12">
        <f>VLOOKUP(A67,'Données projet'!$A$61:$I$81,9,0)</f>
        <v>29.6</v>
      </c>
      <c r="AH67" s="12">
        <f t="array" ref="AH67">INDEX(AG:AG,MIN(IF(ISNUMBER(AG67:AG263),ROW(AG67:AG263),"")))</f>
        <v>29.6</v>
      </c>
      <c r="AI67" s="13">
        <f>IF('Données projet'!$A$62&gt;35,AI66+AH67-AQ66,IF(A67&lt;'Données projet'!$A$62,$AF$205^A67,IF(A67='Données projet'!$A$62,'Données projet'!$B$62,AI66+AH67-AQ66)))</f>
        <v>1064.9999999999998</v>
      </c>
      <c r="AJ67" s="13">
        <f>AI67*VLOOKUP('Données projet'!$B$10,Paramètres!$A$1:$I$89,3,0)*VLOOKUP('Données projet'!$B$10,Paramètres!$A$1:$I$89,5,0)</f>
        <v>636.86999999999989</v>
      </c>
      <c r="AK67" s="13">
        <f t="shared" si="35"/>
        <v>138.42398396710115</v>
      </c>
      <c r="AL67" s="20">
        <f t="shared" si="4"/>
        <v>1350.3036887427008</v>
      </c>
      <c r="AM67" s="59">
        <f t="shared" si="5"/>
        <v>1643.6370220760341</v>
      </c>
      <c r="AN67" s="59">
        <f ca="1">AVERAGE(OFFSET($AM$3,0,0,'Données projet'!$E$10+1,1))-AVERAGE(OFFSET($H$3,0,0,'Données projet'!$E$10+1,1))</f>
        <v>465.77577582457678</v>
      </c>
      <c r="AO67" s="59">
        <f t="shared" si="36"/>
        <v>301.15495784503042</v>
      </c>
      <c r="AP67" s="15">
        <f>IF(ISNA(VLOOKUP(A67,'Données projet'!$A$61:$I$81,3,0)),0,VLOOKUP(A67,'Données projet'!$A$61:$I$81,3,0))</f>
        <v>7</v>
      </c>
      <c r="AQ67" s="15">
        <f>IF(ISNA(VLOOKUP(A67,'Données projet'!$A$61:$I$81,4,0)),0,VLOOKUP(A67,'Données projet'!$A$61:$I$81,4,0))</f>
        <v>93</v>
      </c>
      <c r="AR67" s="16">
        <f>IF(ISNA(VLOOKUP(A67,'Données projet'!$A$61:$I$81,5,0)),0%,VLOOKUP(A67,'Données projet'!$A$61:$I$81,5,0)*VLOOKUP('Données projet'!$B$10,Paramètres!$A$1:$I$89,7,0))</f>
        <v>0.22500000000000001</v>
      </c>
      <c r="AS67" s="16">
        <f>IF(ISNA(VLOOKUP(A67,'Données projet'!$A$61:$I$81,6,0)),0%,VLOOKUP(A67,'Données projet'!$A$61:$I$81,6,0)*VLOOKUP('Données projet'!$B$10,Paramètres!$A$1:$I$89,7,0))</f>
        <v>0.13500000000000001</v>
      </c>
      <c r="AT67" s="16">
        <f>IF(ISNA(VLOOKUP(A67,'Données projet'!$A$61:$I$81,7,0)),0%,VLOOKUP(A67,'Données projet'!$A$61:$I$81,7,0))</f>
        <v>0.2</v>
      </c>
      <c r="AU67" s="21">
        <f>EXP(-LN(2)/35)*AU66+(1-EXP(-LN(2)/35))/(LN(2)/35)*AQ67*AR67*VLOOKUP('Données projet'!$B$10,Paramètres!$A$1:$I$89,3,0)*0.475*44/12</f>
        <v>58.987596243171978</v>
      </c>
      <c r="AV67" s="21">
        <f>EXP(-LN(2)/25)*AV66+(1-EXP(-LN(2)/25))/(LN(2)/25)*Calculateur!AQ67*Calculateur!AS67*VLOOKUP('Données projet'!$B$10,Paramètres!$A$1:$I$89,3,0)*0.475*44/12</f>
        <v>35.352426839950319</v>
      </c>
      <c r="AW67" s="21">
        <f>EXP(-LN(2)/2)*AW66+(1-EXP(-LN(2)/2))/(LN(2)/2)*AQ67*AT67*VLOOKUP('Données projet'!$B$10,Paramètres!$A$1:$I$89,3,0)*0.475*44/12</f>
        <v>13.008002344595907</v>
      </c>
      <c r="AX67" s="21">
        <f t="shared" si="6"/>
        <v>107.34802542771821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273.00000000000023</v>
      </c>
      <c r="BE67" s="13">
        <f>BD67*VLOOKUP('Données projet'!$B$11,Paramètres!$A$1:$I$89,3,0)*VLOOKUP('Données projet'!$B$11,Paramètres!$A$1:$I$89,5,0)</f>
        <v>212.9400000000002</v>
      </c>
      <c r="BF67" s="13">
        <f t="shared" si="37"/>
        <v>52.577528895212915</v>
      </c>
      <c r="BG67" s="20">
        <f t="shared" si="7"/>
        <v>462.44302949249618</v>
      </c>
      <c r="BH67" s="59">
        <f t="shared" si="8"/>
        <v>755.77636282582944</v>
      </c>
      <c r="BI67" s="59">
        <f ca="1">AVERAGE(OFFSET($BH$3,0,0,'Données projet'!$E$11+1,1))-AVERAGE(OFFSET($H$3,0,0,'Données projet'!$E$11+1,1))</f>
        <v>219.5868031007679</v>
      </c>
      <c r="BJ67" s="59">
        <f t="shared" si="38"/>
        <v>263.3830219837742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30.154694964742554</v>
      </c>
      <c r="BQ67" s="21">
        <f>EXP(-LN(2)/25)*BQ66+(1-EXP(-LN(2)/25))/(LN(2)/25)*Calculateur!BL67*Calculateur!BN67*VLOOKUP('Données projet'!$B$11,Paramètres!$A$1:$I$89,3,0)*0.475*44/12</f>
        <v>5.3097585959565485</v>
      </c>
      <c r="BR67" s="21">
        <f>EXP(-LN(2)/2)*BR66+(1-EXP(-LN(2)/2))/(LN(2)/2)*BL67*BO67*VLOOKUP('Données projet'!$B$11,Paramètres!$A$1:$I$89,3,0)*0.475*44/12</f>
        <v>1.228580941861539</v>
      </c>
      <c r="BS67" s="22">
        <f t="shared" si="9"/>
        <v>36.693034502560636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243.99999999999989</v>
      </c>
      <c r="BZ67" s="13">
        <f>BY67*VLOOKUP('Données projet'!$B$12,Paramètres!$A$1:$I$89,3,0)*VLOOKUP('Données projet'!$B$12,Paramètres!$A$1:$I$89,5,0)</f>
        <v>262.64159999999987</v>
      </c>
      <c r="CA67" s="13">
        <f t="shared" si="39"/>
        <v>63.285128621471941</v>
      </c>
      <c r="CB67" s="20">
        <f t="shared" si="10"/>
        <v>567.65571901573003</v>
      </c>
      <c r="CC67" s="59">
        <f t="shared" si="11"/>
        <v>860.98905234906329</v>
      </c>
      <c r="CD67" s="59">
        <f ca="1">AVERAGE(OFFSET($CC$3,0,0,'Données projet'!$E$12+1,1))-AVERAGE(OFFSET($H$3,0,0,'Données projet'!$E$12+1,1))</f>
        <v>244.7364260963538</v>
      </c>
      <c r="CE67" s="59">
        <f t="shared" si="40"/>
        <v>270.32853612539299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33.043110717080161</v>
      </c>
      <c r="CL67" s="21">
        <f>EXP(-LN(2)/25)*CL66+(1-EXP(-LN(2)/25))/(LN(2)/25)*Calculateur!CG67*Calculateur!CI67*VLOOKUP('Données projet'!$B$12,Paramètres!$A$1:$I$89,3,0)*0.475*44/12</f>
        <v>5.8471505942090189</v>
      </c>
      <c r="CM67" s="21">
        <f>EXP(-LN(2)/2)*CM66+(1-EXP(-LN(2)/2))/(LN(2)/2)*CG67*CJ67*VLOOKUP('Données projet'!$B$12,Paramètres!$A$1:$I$89,3,0)*0.475*44/12</f>
        <v>1.2738812404487443</v>
      </c>
      <c r="CN67" s="22">
        <f t="shared" si="12"/>
        <v>40.164142551737925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243.99999999999989</v>
      </c>
      <c r="CU67" s="17">
        <f>CT67*VLOOKUP('Données projet'!$B$13,Paramètres!$A$1:$I$89,3,0)*VLOOKUP('Données projet'!$B$13,Paramètres!$A$1:$I$89,5,0)</f>
        <v>235.99679999999987</v>
      </c>
      <c r="CV67" s="13">
        <f t="shared" si="41"/>
        <v>57.577381127598322</v>
      </c>
      <c r="CW67" s="20">
        <f t="shared" si="13"/>
        <v>511.30836546390015</v>
      </c>
      <c r="CX67" s="59">
        <f t="shared" si="14"/>
        <v>804.6416987972334</v>
      </c>
      <c r="CY67" s="59">
        <f ca="1">AVERAGE(OFFSET($CX$3,0,0,'Données projet'!$E$13+1,1))-AVERAGE(OFFSET($H$3,0,0,'Données projet'!$E$13+1,1))</f>
        <v>216.39536568500222</v>
      </c>
      <c r="CZ67" s="59">
        <f t="shared" si="42"/>
        <v>239.44686980897467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29.690911079115512</v>
      </c>
      <c r="DG67" s="21">
        <f>EXP(-LN(2)/25)*DG66+(1-EXP(-LN(2)/25))/(LN(2)/25)*Calculateur!DB67*Calculateur!DD67*VLOOKUP('Données projet'!$B$13,Paramètres!$A$1:$I$89,3,0)*0.475*44/12</f>
        <v>5.2539614034921618</v>
      </c>
      <c r="DH67" s="21">
        <f>EXP(-LN(2)/2)*DH66+(1-EXP(-LN(2)/2))/(LN(2)/2)*DB67*DE67*VLOOKUP('Données projet'!$B$13,Paramètres!$A$1:$I$89,3,0)*0.475*44/12</f>
        <v>1.1446469117075668</v>
      </c>
      <c r="DI67" s="22">
        <f t="shared" si="15"/>
        <v>36.089519394315239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38.531999999999982</v>
      </c>
      <c r="D68" s="11">
        <f t="shared" si="32"/>
        <v>11.60871068858415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387.05110005222849</v>
      </c>
      <c r="H68" s="67">
        <f t="shared" ref="H68:H131" si="56">(B68+E68+F68)*44/12+(C68+D68)*0.475*44/12</f>
        <v>380.66173778261737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289</v>
      </c>
      <c r="L68" s="12">
        <f>VLOOKUP(A68,'Données projet'!$A$35:$I$55,9,0)</f>
        <v>8.8000000000000007</v>
      </c>
      <c r="M68" s="12">
        <f t="array" ref="M68">INDEX(L:L,MIN(IF(ISNUMBER(L68:L264),ROW(L68:L264),"")))</f>
        <v>8.8000000000000007</v>
      </c>
      <c r="N68" s="13">
        <f>IF('Données projet'!$A$36&gt;35,N67+M68-V67,IF(A68&lt;'Données projet'!$A$36,$K$205^A68,IF(A68='Données projet'!$A$36,'Données projet'!$B$36,N67+M68-V67)))</f>
        <v>289</v>
      </c>
      <c r="O68" s="13">
        <f>N68*VLOOKUP('Données projet'!$B$9,Paramètres!$A$1:$I$89,3,0)*VLOOKUP('Données projet'!$B$9,Paramètres!$A$1:$I$89,5,0)</f>
        <v>261.48719999999997</v>
      </c>
      <c r="P68" s="13">
        <f t="shared" si="33"/>
        <v>63.039283586802391</v>
      </c>
      <c r="Q68" s="20">
        <f t="shared" si="54"/>
        <v>565.21695891368086</v>
      </c>
      <c r="R68" s="59">
        <f t="shared" si="55"/>
        <v>858.55029224701411</v>
      </c>
      <c r="S68" s="59">
        <f ca="1">AVERAGE(OFFSET($R$3,0,0,'Données projet'!$E$9+1,1))-AVERAGE(OFFSET($H$3,0,0,'Données projet'!$E$9+1,1))</f>
        <v>330.30341204367602</v>
      </c>
      <c r="T68" s="59">
        <f t="shared" si="34"/>
        <v>200.36653694091007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28</v>
      </c>
      <c r="W68" s="16">
        <f>IF(ISNA(VLOOKUP(A68,'Données projet'!$A$35:$I$55,5,0)),0%,VLOOKUP(A68,'Données projet'!$A$35:$I$55,5,0)*VLOOKUP('Données projet'!$B$9,Paramètres!$A$1:$I$89,7,0))</f>
        <v>0.34400000000000003</v>
      </c>
      <c r="X68" s="16">
        <f>IF(ISNA(VLOOKUP(A68,'Données projet'!$A$35:$I$55,6,0)),0%,VLOOKUP(A68,'Données projet'!$A$35:$I$55,6,0)*VLOOKUP('Données projet'!$B$9,Paramètres!$A$1:$I$89,7,0))</f>
        <v>1.72E-2</v>
      </c>
      <c r="Y68" s="16">
        <f>IF(ISNA(VLOOKUP(A68,'Données projet'!$A$35:$I$55,7,0)),0%,VLOOKUP(A68,'Données projet'!$A$35:$I$55,7,0))</f>
        <v>0.06</v>
      </c>
      <c r="Z68" s="21">
        <f>EXP(-LN(2)/35)*Z67+(1-EXP(-LN(2)/35))/(LN(2)/35)*V68*W68*VLOOKUP('Données projet'!$B$9,Paramètres!$A$1:$I$89,3,0)*0.475*44/12</f>
        <v>42.089897376603481</v>
      </c>
      <c r="AA68" s="21">
        <f>EXP(-LN(2)/25)*AA67+(1-EXP(-LN(2)/25))/(LN(2)/25)*Calculateur!V68*Calculateur!X68*VLOOKUP('Données projet'!$B$9,Paramètres!$A$1:$I$89,3,0)*0.475*44/12</f>
        <v>2.7508030803246912</v>
      </c>
      <c r="AB68" s="21">
        <f>EXP(-LN(2)/2)*AB67+(1-EXP(-LN(2)/2))/(LN(2)/2)*V68*Y68*VLOOKUP('Données projet'!$B$9,Paramètres!$A$1:$I$89,3,0)*0.475*44/12</f>
        <v>1.7424839745093719</v>
      </c>
      <c r="AC68" s="22">
        <f t="shared" ref="AC68:AC131" si="57">SUM(Z68:AB68)</f>
        <v>46.583184431437545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971.99999999999977</v>
      </c>
      <c r="AJ68" s="13">
        <f>AI68*VLOOKUP('Données projet'!$B$10,Paramètres!$A$1:$I$89,3,0)*VLOOKUP('Données projet'!$B$10,Paramètres!$A$1:$I$89,5,0)</f>
        <v>581.25599999999986</v>
      </c>
      <c r="AK68" s="13">
        <f t="shared" si="35"/>
        <v>127.68713506014205</v>
      </c>
      <c r="AL68" s="20">
        <f t="shared" ref="AL68:AL131" si="58">(AJ68+AK68)*0.475*44/12</f>
        <v>1234.7426268964139</v>
      </c>
      <c r="AM68" s="59">
        <f t="shared" ref="AM68:AM131" si="59">AL68+(AD68+AE68)*44/12</f>
        <v>1528.0759602297471</v>
      </c>
      <c r="AN68" s="59">
        <f ca="1">AVERAGE(OFFSET($AM$3,0,0,'Données projet'!$E$10+1,1))-AVERAGE(OFFSET($H$3,0,0,'Données projet'!$E$10+1,1))</f>
        <v>465.77577582457678</v>
      </c>
      <c r="AO68" s="59">
        <f t="shared" si="36"/>
        <v>301.15495784503042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57.830885459724463</v>
      </c>
      <c r="AV68" s="21">
        <f>EXP(-LN(2)/25)*AV67+(1-EXP(-LN(2)/25))/(LN(2)/25)*Calculateur!AQ68*Calculateur!AS68*VLOOKUP('Données projet'!$B$10,Paramètres!$A$1:$I$89,3,0)*0.475*44/12</f>
        <v>34.385712868908549</v>
      </c>
      <c r="AW68" s="21">
        <f>EXP(-LN(2)/2)*AW67+(1-EXP(-LN(2)/2))/(LN(2)/2)*AQ68*AT68*VLOOKUP('Données projet'!$B$10,Paramètres!$A$1:$I$89,3,0)*0.475*44/12</f>
        <v>9.1980466675542765</v>
      </c>
      <c r="AX68" s="21">
        <f t="shared" ref="AX68:AX131" si="60">SUM(AU68:AW68)</f>
        <v>101.41464499618729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273.00000000000023</v>
      </c>
      <c r="BE68" s="13">
        <f>BD68*VLOOKUP('Données projet'!$B$11,Paramètres!$A$1:$I$89,3,0)*VLOOKUP('Données projet'!$B$11,Paramètres!$A$1:$I$89,5,0)</f>
        <v>212.9400000000002</v>
      </c>
      <c r="BF68" s="13">
        <f t="shared" si="37"/>
        <v>52.577528895212915</v>
      </c>
      <c r="BG68" s="20">
        <f t="shared" ref="BG68:BG131" si="61">(BE68+BF68)*0.475*44/12</f>
        <v>462.44302949249618</v>
      </c>
      <c r="BH68" s="59">
        <f t="shared" ref="BH68:BH131" si="62">BG68+(AY68+AZ68)*44/12</f>
        <v>755.77636282582944</v>
      </c>
      <c r="BI68" s="59">
        <f ca="1">AVERAGE(OFFSET($BH$3,0,0,'Données projet'!$E$11+1,1))-AVERAGE(OFFSET($H$3,0,0,'Données projet'!$E$11+1,1))</f>
        <v>219.5868031007679</v>
      </c>
      <c r="BJ68" s="59">
        <f t="shared" si="38"/>
        <v>263.3830219837742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29.563379789031767</v>
      </c>
      <c r="BQ68" s="21">
        <f>EXP(-LN(2)/25)*BQ67+(1-EXP(-LN(2)/25))/(LN(2)/25)*Calculateur!BL68*Calculateur!BN68*VLOOKUP('Données projet'!$B$11,Paramètres!$A$1:$I$89,3,0)*0.475*44/12</f>
        <v>5.1645629679220475</v>
      </c>
      <c r="BR68" s="21">
        <f>EXP(-LN(2)/2)*BR67+(1-EXP(-LN(2)/2))/(LN(2)/2)*BL68*BO68*VLOOKUP('Données projet'!$B$11,Paramètres!$A$1:$I$89,3,0)*0.475*44/12</f>
        <v>0.86873791522684973</v>
      </c>
      <c r="BS68" s="22">
        <f t="shared" ref="BS68:BS131" si="63">SUM(BP68:BR68)</f>
        <v>35.596680672180668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243.99999999999989</v>
      </c>
      <c r="BZ68" s="13">
        <f>BY68*VLOOKUP('Données projet'!$B$12,Paramètres!$A$1:$I$89,3,0)*VLOOKUP('Données projet'!$B$12,Paramètres!$A$1:$I$89,5,0)</f>
        <v>262.64159999999987</v>
      </c>
      <c r="CA68" s="13">
        <f t="shared" si="39"/>
        <v>63.285128621471941</v>
      </c>
      <c r="CB68" s="20">
        <f t="shared" ref="CB68:CB131" si="64">(BZ68+CA68)*0.475*44/12</f>
        <v>567.65571901573003</v>
      </c>
      <c r="CC68" s="59">
        <f t="shared" ref="CC68:CC131" si="65">CB68+(BT68+BU68)*44/12</f>
        <v>860.98905234906329</v>
      </c>
      <c r="CD68" s="59">
        <f ca="1">AVERAGE(OFFSET($CC$3,0,0,'Données projet'!$E$12+1,1))-AVERAGE(OFFSET($H$3,0,0,'Données projet'!$E$12+1,1))</f>
        <v>244.7364260963538</v>
      </c>
      <c r="CE68" s="59">
        <f t="shared" si="40"/>
        <v>270.32853612539299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32.395155470225681</v>
      </c>
      <c r="CL68" s="21">
        <f>EXP(-LN(2)/25)*CL67+(1-EXP(-LN(2)/25))/(LN(2)/25)*Calculateur!CG68*Calculateur!CI68*VLOOKUP('Données projet'!$B$12,Paramètres!$A$1:$I$89,3,0)*0.475*44/12</f>
        <v>5.6872599537220871</v>
      </c>
      <c r="CM68" s="21">
        <f>EXP(-LN(2)/2)*CM67+(1-EXP(-LN(2)/2))/(LN(2)/2)*CG68*CJ68*VLOOKUP('Données projet'!$B$12,Paramètres!$A$1:$I$89,3,0)*0.475*44/12</f>
        <v>0.900770063547638</v>
      </c>
      <c r="CN68" s="22">
        <f t="shared" ref="CN68:CN131" si="66">SUM(CK68:CM68)</f>
        <v>38.983185487495405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243.99999999999989</v>
      </c>
      <c r="CU68" s="17">
        <f>CT68*VLOOKUP('Données projet'!$B$13,Paramètres!$A$1:$I$89,3,0)*VLOOKUP('Données projet'!$B$13,Paramètres!$A$1:$I$89,5,0)</f>
        <v>235.99679999999987</v>
      </c>
      <c r="CV68" s="13">
        <f t="shared" si="41"/>
        <v>57.577381127598322</v>
      </c>
      <c r="CW68" s="20">
        <f t="shared" ref="CW68:CW131" si="67">(CU68+CV68)*0.475*44/12</f>
        <v>511.30836546390015</v>
      </c>
      <c r="CX68" s="59">
        <f t="shared" ref="CX68:CX131" si="68">CW68+(CO68+CP68)*44/12</f>
        <v>804.6416987972334</v>
      </c>
      <c r="CY68" s="59">
        <f ca="1">AVERAGE(OFFSET($CX$3,0,0,'Données projet'!$E$13+1,1))-AVERAGE(OFFSET($H$3,0,0,'Données projet'!$E$13+1,1))</f>
        <v>216.39536568500222</v>
      </c>
      <c r="CZ68" s="59">
        <f t="shared" si="42"/>
        <v>239.44686980897467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29.108690422521633</v>
      </c>
      <c r="DG68" s="21">
        <f>EXP(-LN(2)/25)*DG67+(1-EXP(-LN(2)/25))/(LN(2)/25)*Calculateur!DB68*Calculateur!DD68*VLOOKUP('Données projet'!$B$13,Paramètres!$A$1:$I$89,3,0)*0.475*44/12</f>
        <v>5.1102915526198469</v>
      </c>
      <c r="DH68" s="21">
        <f>EXP(-LN(2)/2)*DH67+(1-EXP(-LN(2)/2))/(LN(2)/2)*DB68*DE68*VLOOKUP('Données projet'!$B$13,Paramètres!$A$1:$I$89,3,0)*0.475*44/12</f>
        <v>0.80938759333265986</v>
      </c>
      <c r="DI68" s="22">
        <f t="shared" ref="DI68:DI131" si="69">SUM(DF68:DH68)</f>
        <v>35.02836956847414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39.124799999999979</v>
      </c>
      <c r="D69" s="11">
        <f t="shared" ref="D69:D132" si="86">IFERROR(EXP(-1.0587+0.8836*LN(C69)+0.284),0)</f>
        <v>11.76637722017168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392.84417503290405</v>
      </c>
      <c r="H69" s="67">
        <f t="shared" si="56"/>
        <v>381.96880032513229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8.1999999999999993</v>
      </c>
      <c r="N69" s="13">
        <f>IF('Données projet'!$A$36&gt;35,N68+M69-V68,IF(A69&lt;'Données projet'!$A$36,$K$205^A69,IF(A69='Données projet'!$A$36,'Données projet'!$B$36,N68+M69-V68)))</f>
        <v>269.2</v>
      </c>
      <c r="O69" s="13">
        <f>N69*VLOOKUP('Données projet'!$B$9,Paramètres!$A$1:$I$89,3,0)*VLOOKUP('Données projet'!$B$9,Paramètres!$A$1:$I$89,5,0)</f>
        <v>243.57216</v>
      </c>
      <c r="P69" s="13">
        <f t="shared" ref="P69:P132" si="87">EXP(-1.0587+0.8836*LN(O69)+0.284)</f>
        <v>59.207435995642292</v>
      </c>
      <c r="Q69" s="20">
        <f t="shared" si="54"/>
        <v>527.34112969241028</v>
      </c>
      <c r="R69" s="59">
        <f t="shared" si="55"/>
        <v>820.67446302574353</v>
      </c>
      <c r="S69" s="59">
        <f ca="1">AVERAGE(OFFSET($R$3,0,0,'Données projet'!$E$9+1,1))-AVERAGE(OFFSET($H$3,0,0,'Données projet'!$E$9+1,1))</f>
        <v>330.30341204367602</v>
      </c>
      <c r="T69" s="59">
        <f t="shared" ref="T69:T132" si="88">$T$3</f>
        <v>200.36653694091007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41.264540161350759</v>
      </c>
      <c r="AA69" s="21">
        <f>EXP(-LN(2)/25)*AA68+(1-EXP(-LN(2)/25))/(LN(2)/25)*Calculateur!V69*Calculateur!X69*VLOOKUP('Données projet'!$B$9,Paramètres!$A$1:$I$89,3,0)*0.475*44/12</f>
        <v>2.6755822254347654</v>
      </c>
      <c r="AB69" s="21">
        <f>EXP(-LN(2)/2)*AB68+(1-EXP(-LN(2)/2))/(LN(2)/2)*V69*Y69*VLOOKUP('Données projet'!$B$9,Paramètres!$A$1:$I$89,3,0)*0.475*44/12</f>
        <v>1.2321222344844642</v>
      </c>
      <c r="AC69" s="22">
        <f t="shared" si="57"/>
        <v>45.172244621269989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971.99999999999977</v>
      </c>
      <c r="AJ69" s="13">
        <f>AI69*VLOOKUP('Données projet'!$B$10,Paramètres!$A$1:$I$89,3,0)*VLOOKUP('Données projet'!$B$10,Paramètres!$A$1:$I$89,5,0)</f>
        <v>581.25599999999986</v>
      </c>
      <c r="AK69" s="13">
        <f t="shared" ref="AK69:AK132" si="89">EXP(-1.0587+0.8836*LN(AJ69)+0.284)</f>
        <v>127.68713506014205</v>
      </c>
      <c r="AL69" s="20">
        <f t="shared" si="58"/>
        <v>1234.7426268964139</v>
      </c>
      <c r="AM69" s="59">
        <f t="shared" si="59"/>
        <v>1528.0759602297471</v>
      </c>
      <c r="AN69" s="59">
        <f ca="1">AVERAGE(OFFSET($AM$3,0,0,'Données projet'!$E$10+1,1))-AVERAGE(OFFSET($H$3,0,0,'Données projet'!$E$10+1,1))</f>
        <v>465.77577582457678</v>
      </c>
      <c r="AO69" s="59">
        <f t="shared" ref="AO69:AO132" si="90">$AO$3</f>
        <v>301.15495784503042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56.696857069216442</v>
      </c>
      <c r="AV69" s="21">
        <f>EXP(-LN(2)/25)*AV68+(1-EXP(-LN(2)/25))/(LN(2)/25)*Calculateur!AQ69*Calculateur!AS69*VLOOKUP('Données projet'!$B$10,Paramètres!$A$1:$I$89,3,0)*0.475*44/12</f>
        <v>33.445433742242194</v>
      </c>
      <c r="AW69" s="21">
        <f>EXP(-LN(2)/2)*AW68+(1-EXP(-LN(2)/2))/(LN(2)/2)*AQ69*AT69*VLOOKUP('Données projet'!$B$10,Paramètres!$A$1:$I$89,3,0)*0.475*44/12</f>
        <v>6.5040011722979552</v>
      </c>
      <c r="AX69" s="21">
        <f t="shared" si="60"/>
        <v>96.646291983756598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273.00000000000023</v>
      </c>
      <c r="BE69" s="13">
        <f>BD69*VLOOKUP('Données projet'!$B$11,Paramètres!$A$1:$I$89,3,0)*VLOOKUP('Données projet'!$B$11,Paramètres!$A$1:$I$89,5,0)</f>
        <v>212.9400000000002</v>
      </c>
      <c r="BF69" s="13">
        <f t="shared" ref="BF69:BF132" si="91">EXP(-1.0587+0.8836*LN(BE69)+0.284)</f>
        <v>52.577528895212915</v>
      </c>
      <c r="BG69" s="20">
        <f t="shared" si="61"/>
        <v>462.44302949249618</v>
      </c>
      <c r="BH69" s="59">
        <f t="shared" si="62"/>
        <v>755.77636282582944</v>
      </c>
      <c r="BI69" s="59">
        <f ca="1">AVERAGE(OFFSET($BH$3,0,0,'Données projet'!$E$11+1,1))-AVERAGE(OFFSET($H$3,0,0,'Données projet'!$E$11+1,1))</f>
        <v>219.5868031007679</v>
      </c>
      <c r="BJ69" s="59">
        <f t="shared" ref="BJ69:BJ132" si="92">$BJ$3</f>
        <v>263.3830219837742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28.983659943250025</v>
      </c>
      <c r="BQ69" s="21">
        <f>EXP(-LN(2)/25)*BQ68+(1-EXP(-LN(2)/25))/(LN(2)/25)*Calculateur!BL69*Calculateur!BN69*VLOOKUP('Données projet'!$B$11,Paramètres!$A$1:$I$89,3,0)*0.475*44/12</f>
        <v>5.0233377219716564</v>
      </c>
      <c r="BR69" s="21">
        <f>EXP(-LN(2)/2)*BR68+(1-EXP(-LN(2)/2))/(LN(2)/2)*BL69*BO69*VLOOKUP('Données projet'!$B$11,Paramètres!$A$1:$I$89,3,0)*0.475*44/12</f>
        <v>0.61429047093076949</v>
      </c>
      <c r="BS69" s="22">
        <f t="shared" si="63"/>
        <v>34.621288136152451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243.99999999999989</v>
      </c>
      <c r="BZ69" s="13">
        <f>BY69*VLOOKUP('Données projet'!$B$12,Paramètres!$A$1:$I$89,3,0)*VLOOKUP('Données projet'!$B$12,Paramètres!$A$1:$I$89,5,0)</f>
        <v>262.64159999999987</v>
      </c>
      <c r="CA69" s="13">
        <f t="shared" ref="CA69:CA132" si="93">EXP(-1.0587+0.8836*LN(BZ69)+0.284)</f>
        <v>63.285128621471941</v>
      </c>
      <c r="CB69" s="20">
        <f t="shared" si="64"/>
        <v>567.65571901573003</v>
      </c>
      <c r="CC69" s="59">
        <f t="shared" si="65"/>
        <v>860.98905234906329</v>
      </c>
      <c r="CD69" s="59">
        <f ca="1">AVERAGE(OFFSET($CC$3,0,0,'Données projet'!$E$12+1,1))-AVERAGE(OFFSET($H$3,0,0,'Données projet'!$E$12+1,1))</f>
        <v>244.7364260963538</v>
      </c>
      <c r="CE69" s="59">
        <f t="shared" ref="CE69:CE132" si="94">$CE$3</f>
        <v>270.32853612539299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31.759906230548346</v>
      </c>
      <c r="CL69" s="21">
        <f>EXP(-LN(2)/25)*CL68+(1-EXP(-LN(2)/25))/(LN(2)/25)*Calculateur!CG69*Calculateur!CI69*VLOOKUP('Données projet'!$B$12,Paramètres!$A$1:$I$89,3,0)*0.475*44/12</f>
        <v>5.5317415312075537</v>
      </c>
      <c r="CM69" s="21">
        <f>EXP(-LN(2)/2)*CM68+(1-EXP(-LN(2)/2))/(LN(2)/2)*CG69*CJ69*VLOOKUP('Données projet'!$B$12,Paramètres!$A$1:$I$89,3,0)*0.475*44/12</f>
        <v>0.63694062022437226</v>
      </c>
      <c r="CN69" s="22">
        <f t="shared" si="66"/>
        <v>37.928588381980269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243.99999999999989</v>
      </c>
      <c r="CU69" s="17">
        <f>CT69*VLOOKUP('Données projet'!$B$13,Paramètres!$A$1:$I$89,3,0)*VLOOKUP('Données projet'!$B$13,Paramètres!$A$1:$I$89,5,0)</f>
        <v>235.99679999999987</v>
      </c>
      <c r="CV69" s="13">
        <f t="shared" ref="CV69:CV132" si="95">EXP(-1.0587+0.8836*LN(CU69)+0.284)</f>
        <v>57.577381127598322</v>
      </c>
      <c r="CW69" s="20">
        <f t="shared" si="67"/>
        <v>511.30836546390015</v>
      </c>
      <c r="CX69" s="59">
        <f t="shared" si="68"/>
        <v>804.6416987972334</v>
      </c>
      <c r="CY69" s="59">
        <f ca="1">AVERAGE(OFFSET($CX$3,0,0,'Données projet'!$E$13+1,1))-AVERAGE(OFFSET($H$3,0,0,'Données projet'!$E$13+1,1))</f>
        <v>216.39536568500222</v>
      </c>
      <c r="CZ69" s="59">
        <f t="shared" ref="CZ69:CZ132" si="96">$CZ$3</f>
        <v>239.44686980897467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28.537886757884024</v>
      </c>
      <c r="DG69" s="21">
        <f>EXP(-LN(2)/25)*DG68+(1-EXP(-LN(2)/25))/(LN(2)/25)*Calculateur!DB69*Calculateur!DD69*VLOOKUP('Données projet'!$B$13,Paramètres!$A$1:$I$89,3,0)*0.475*44/12</f>
        <v>4.9705503613749045</v>
      </c>
      <c r="DH69" s="21">
        <f>EXP(-LN(2)/2)*DH68+(1-EXP(-LN(2)/2))/(LN(2)/2)*DB69*DE69*VLOOKUP('Données projet'!$B$13,Paramètres!$A$1:$I$89,3,0)*0.475*44/12</f>
        <v>0.57232345585378341</v>
      </c>
      <c r="DI69" s="22">
        <f t="shared" si="69"/>
        <v>34.080760575112713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39.717599999999976</v>
      </c>
      <c r="D70" s="11">
        <f t="shared" si="86"/>
        <v>11.923765919151062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398.63510534081507</v>
      </c>
      <c r="H70" s="67">
        <f t="shared" si="56"/>
        <v>383.27537897585472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8.1999999999999993</v>
      </c>
      <c r="N70" s="13">
        <f>IF('Données projet'!$A$36&gt;35,N69+M70-V69,IF(A70&lt;'Données projet'!$A$36,$K$205^A70,IF(A70='Données projet'!$A$36,'Données projet'!$B$36,N69+M70-V69)))</f>
        <v>277.39999999999998</v>
      </c>
      <c r="O70" s="13">
        <f>N70*VLOOKUP('Données projet'!$B$9,Paramètres!$A$1:$I$89,3,0)*VLOOKUP('Données projet'!$B$9,Paramètres!$A$1:$I$89,5,0)</f>
        <v>250.99151999999995</v>
      </c>
      <c r="P70" s="13">
        <f t="shared" si="87"/>
        <v>60.798211000769406</v>
      </c>
      <c r="Q70" s="20">
        <f t="shared" si="54"/>
        <v>543.03378149300659</v>
      </c>
      <c r="R70" s="59">
        <f t="shared" si="55"/>
        <v>836.36711482633996</v>
      </c>
      <c r="S70" s="59">
        <f ca="1">AVERAGE(OFFSET($R$3,0,0,'Données projet'!$E$9+1,1))-AVERAGE(OFFSET($H$3,0,0,'Données projet'!$E$9+1,1))</f>
        <v>330.30341204367602</v>
      </c>
      <c r="T70" s="59">
        <f t="shared" si="88"/>
        <v>200.36653694091007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40.455367697670951</v>
      </c>
      <c r="AA70" s="21">
        <f>EXP(-LN(2)/25)*AA69+(1-EXP(-LN(2)/25))/(LN(2)/25)*Calculateur!V70*Calculateur!X70*VLOOKUP('Données projet'!$B$9,Paramètres!$A$1:$I$89,3,0)*0.475*44/12</f>
        <v>2.6024182887774976</v>
      </c>
      <c r="AB70" s="21">
        <f>EXP(-LN(2)/2)*AB69+(1-EXP(-LN(2)/2))/(LN(2)/2)*V70*Y70*VLOOKUP('Données projet'!$B$9,Paramètres!$A$1:$I$89,3,0)*0.475*44/12</f>
        <v>0.87124198725468616</v>
      </c>
      <c r="AC70" s="22">
        <f t="shared" si="57"/>
        <v>43.929027973703136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971.99999999999977</v>
      </c>
      <c r="AJ70" s="13">
        <f>AI70*VLOOKUP('Données projet'!$B$10,Paramètres!$A$1:$I$89,3,0)*VLOOKUP('Données projet'!$B$10,Paramètres!$A$1:$I$89,5,0)</f>
        <v>581.25599999999986</v>
      </c>
      <c r="AK70" s="13">
        <f t="shared" si="89"/>
        <v>127.68713506014205</v>
      </c>
      <c r="AL70" s="20">
        <f t="shared" si="58"/>
        <v>1234.7426268964139</v>
      </c>
      <c r="AM70" s="59">
        <f t="shared" si="59"/>
        <v>1528.0759602297471</v>
      </c>
      <c r="AN70" s="59">
        <f ca="1">AVERAGE(OFFSET($AM$3,0,0,'Données projet'!$E$10+1,1))-AVERAGE(OFFSET($H$3,0,0,'Données projet'!$E$10+1,1))</f>
        <v>465.77577582457678</v>
      </c>
      <c r="AO70" s="59">
        <f t="shared" si="90"/>
        <v>301.15495784503042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55.585066283757264</v>
      </c>
      <c r="AV70" s="21">
        <f>EXP(-LN(2)/25)*AV69+(1-EXP(-LN(2)/25))/(LN(2)/25)*Calculateur!AQ70*Calculateur!AS70*VLOOKUP('Données projet'!$B$10,Paramètres!$A$1:$I$89,3,0)*0.475*44/12</f>
        <v>32.530866597741664</v>
      </c>
      <c r="AW70" s="21">
        <f>EXP(-LN(2)/2)*AW69+(1-EXP(-LN(2)/2))/(LN(2)/2)*AQ70*AT70*VLOOKUP('Données projet'!$B$10,Paramètres!$A$1:$I$89,3,0)*0.475*44/12</f>
        <v>4.5990233337771391</v>
      </c>
      <c r="AX70" s="21">
        <f t="shared" si="60"/>
        <v>92.714956215276075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273.00000000000023</v>
      </c>
      <c r="BE70" s="13">
        <f>BD70*VLOOKUP('Données projet'!$B$11,Paramètres!$A$1:$I$89,3,0)*VLOOKUP('Données projet'!$B$11,Paramètres!$A$1:$I$89,5,0)</f>
        <v>212.9400000000002</v>
      </c>
      <c r="BF70" s="13">
        <f t="shared" si="91"/>
        <v>52.577528895212915</v>
      </c>
      <c r="BG70" s="20">
        <f t="shared" si="61"/>
        <v>462.44302949249618</v>
      </c>
      <c r="BH70" s="59">
        <f t="shared" si="62"/>
        <v>755.77636282582944</v>
      </c>
      <c r="BI70" s="59">
        <f ca="1">AVERAGE(OFFSET($BH$3,0,0,'Données projet'!$E$11+1,1))-AVERAGE(OFFSET($H$3,0,0,'Données projet'!$E$11+1,1))</f>
        <v>219.5868031007679</v>
      </c>
      <c r="BJ70" s="59">
        <f t="shared" si="92"/>
        <v>263.3830219837742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28.415308050049873</v>
      </c>
      <c r="BQ70" s="21">
        <f>EXP(-LN(2)/25)*BQ69+(1-EXP(-LN(2)/25))/(LN(2)/25)*Calculateur!BL70*Calculateur!BN70*VLOOKUP('Données projet'!$B$11,Paramètres!$A$1:$I$89,3,0)*0.475*44/12</f>
        <v>4.8859742877984917</v>
      </c>
      <c r="BR70" s="21">
        <f>EXP(-LN(2)/2)*BR69+(1-EXP(-LN(2)/2))/(LN(2)/2)*BL70*BO70*VLOOKUP('Données projet'!$B$11,Paramètres!$A$1:$I$89,3,0)*0.475*44/12</f>
        <v>0.43436895761342487</v>
      </c>
      <c r="BS70" s="22">
        <f t="shared" si="63"/>
        <v>33.735651295461786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243.99999999999989</v>
      </c>
      <c r="BZ70" s="13">
        <f>BY70*VLOOKUP('Données projet'!$B$12,Paramètres!$A$1:$I$89,3,0)*VLOOKUP('Données projet'!$B$12,Paramètres!$A$1:$I$89,5,0)</f>
        <v>262.64159999999987</v>
      </c>
      <c r="CA70" s="13">
        <f t="shared" si="93"/>
        <v>63.285128621471941</v>
      </c>
      <c r="CB70" s="20">
        <f t="shared" si="64"/>
        <v>567.65571901573003</v>
      </c>
      <c r="CC70" s="59">
        <f t="shared" si="65"/>
        <v>860.98905234906329</v>
      </c>
      <c r="CD70" s="59">
        <f ca="1">AVERAGE(OFFSET($CC$3,0,0,'Données projet'!$E$12+1,1))-AVERAGE(OFFSET($H$3,0,0,'Données projet'!$E$12+1,1))</f>
        <v>244.7364260963538</v>
      </c>
      <c r="CE70" s="59">
        <f t="shared" si="94"/>
        <v>270.32853612539299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31.137113840997305</v>
      </c>
      <c r="CL70" s="21">
        <f>EXP(-LN(2)/25)*CL69+(1-EXP(-LN(2)/25))/(LN(2)/25)*Calculateur!CG70*Calculateur!CI70*VLOOKUP('Données projet'!$B$12,Paramètres!$A$1:$I$89,3,0)*0.475*44/12</f>
        <v>5.3804757681350388</v>
      </c>
      <c r="CM70" s="21">
        <f>EXP(-LN(2)/2)*CM69+(1-EXP(-LN(2)/2))/(LN(2)/2)*CG70*CJ70*VLOOKUP('Données projet'!$B$12,Paramètres!$A$1:$I$89,3,0)*0.475*44/12</f>
        <v>0.45038503177381911</v>
      </c>
      <c r="CN70" s="22">
        <f t="shared" si="66"/>
        <v>36.967974640906164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243.99999999999989</v>
      </c>
      <c r="CU70" s="17">
        <f>CT70*VLOOKUP('Données projet'!$B$13,Paramètres!$A$1:$I$89,3,0)*VLOOKUP('Données projet'!$B$13,Paramètres!$A$1:$I$89,5,0)</f>
        <v>235.99679999999987</v>
      </c>
      <c r="CV70" s="13">
        <f t="shared" si="95"/>
        <v>57.577381127598322</v>
      </c>
      <c r="CW70" s="20">
        <f t="shared" si="67"/>
        <v>511.30836546390015</v>
      </c>
      <c r="CX70" s="59">
        <f t="shared" si="68"/>
        <v>804.6416987972334</v>
      </c>
      <c r="CY70" s="59">
        <f ca="1">AVERAGE(OFFSET($CX$3,0,0,'Données projet'!$E$13+1,1))-AVERAGE(OFFSET($H$3,0,0,'Données projet'!$E$13+1,1))</f>
        <v>216.39536568500222</v>
      </c>
      <c r="CZ70" s="59">
        <f t="shared" si="96"/>
        <v>239.44686980897467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27.978276204954103</v>
      </c>
      <c r="DG70" s="21">
        <f>EXP(-LN(2)/25)*DG69+(1-EXP(-LN(2)/25))/(LN(2)/25)*Calculateur!DB70*Calculateur!DD70*VLOOKUP('Données projet'!$B$13,Paramètres!$A$1:$I$89,3,0)*0.475*44/12</f>
        <v>4.8346304003532241</v>
      </c>
      <c r="DH70" s="21">
        <f>EXP(-LN(2)/2)*DH69+(1-EXP(-LN(2)/2))/(LN(2)/2)*DB70*DE70*VLOOKUP('Données projet'!$B$13,Paramètres!$A$1:$I$89,3,0)*0.475*44/12</f>
        <v>0.40469379666632993</v>
      </c>
      <c r="DI70" s="22">
        <f t="shared" si="69"/>
        <v>33.217600401973655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40.310399999999973</v>
      </c>
      <c r="D71" s="11">
        <f t="shared" si="86"/>
        <v>12.080881411286709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404.42392668361657</v>
      </c>
      <c r="H71" s="67">
        <f t="shared" si="56"/>
        <v>384.58148179132428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8.1999999999999993</v>
      </c>
      <c r="N71" s="13">
        <f>IF('Données projet'!$A$36&gt;35,N70+M71-V70,IF(A71&lt;'Données projet'!$A$36,$K$205^A71,IF(A71='Données projet'!$A$36,'Données projet'!$B$36,N70+M71-V70)))</f>
        <v>285.59999999999997</v>
      </c>
      <c r="O71" s="13">
        <f>N71*VLOOKUP('Données projet'!$B$9,Paramètres!$A$1:$I$89,3,0)*VLOOKUP('Données projet'!$B$9,Paramètres!$A$1:$I$89,5,0)</f>
        <v>258.41087999999996</v>
      </c>
      <c r="P71" s="13">
        <f t="shared" si="87"/>
        <v>62.383521020316756</v>
      </c>
      <c r="Q71" s="20">
        <f t="shared" si="54"/>
        <v>558.71691511038489</v>
      </c>
      <c r="R71" s="59">
        <f t="shared" si="55"/>
        <v>852.05024844371815</v>
      </c>
      <c r="S71" s="59">
        <f ca="1">AVERAGE(OFFSET($R$3,0,0,'Données projet'!$E$9+1,1))-AVERAGE(OFFSET($H$3,0,0,'Données projet'!$E$9+1,1))</f>
        <v>330.30341204367602</v>
      </c>
      <c r="T71" s="59">
        <f t="shared" si="88"/>
        <v>200.36653694091007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39.662062612457433</v>
      </c>
      <c r="AA71" s="21">
        <f>EXP(-LN(2)/25)*AA70+(1-EXP(-LN(2)/25))/(LN(2)/25)*Calculateur!V71*Calculateur!X71*VLOOKUP('Données projet'!$B$9,Paramètres!$A$1:$I$89,3,0)*0.475*44/12</f>
        <v>2.531255023815647</v>
      </c>
      <c r="AB71" s="21">
        <f>EXP(-LN(2)/2)*AB70+(1-EXP(-LN(2)/2))/(LN(2)/2)*V71*Y71*VLOOKUP('Données projet'!$B$9,Paramètres!$A$1:$I$89,3,0)*0.475*44/12</f>
        <v>0.61606111724223223</v>
      </c>
      <c r="AC71" s="22">
        <f t="shared" si="57"/>
        <v>42.809378753515311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971.99999999999977</v>
      </c>
      <c r="AJ71" s="13">
        <f>AI71*VLOOKUP('Données projet'!$B$10,Paramètres!$A$1:$I$89,3,0)*VLOOKUP('Données projet'!$B$10,Paramètres!$A$1:$I$89,5,0)</f>
        <v>581.25599999999986</v>
      </c>
      <c r="AK71" s="13">
        <f t="shared" si="89"/>
        <v>127.68713506014205</v>
      </c>
      <c r="AL71" s="20">
        <f t="shared" si="58"/>
        <v>1234.7426268964139</v>
      </c>
      <c r="AM71" s="59">
        <f t="shared" si="59"/>
        <v>1528.0759602297471</v>
      </c>
      <c r="AN71" s="59">
        <f ca="1">AVERAGE(OFFSET($AM$3,0,0,'Données projet'!$E$10+1,1))-AVERAGE(OFFSET($H$3,0,0,'Données projet'!$E$10+1,1))</f>
        <v>465.77577582457678</v>
      </c>
      <c r="AO71" s="59">
        <f t="shared" si="90"/>
        <v>301.15495784503042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54.495077037475518</v>
      </c>
      <c r="AV71" s="21">
        <f>EXP(-LN(2)/25)*AV70+(1-EXP(-LN(2)/25))/(LN(2)/25)*Calculateur!AQ71*Calculateur!AS71*VLOOKUP('Données projet'!$B$10,Paramètres!$A$1:$I$89,3,0)*0.475*44/12</f>
        <v>31.641308339902494</v>
      </c>
      <c r="AW71" s="21">
        <f>EXP(-LN(2)/2)*AW70+(1-EXP(-LN(2)/2))/(LN(2)/2)*AQ71*AT71*VLOOKUP('Données projet'!$B$10,Paramètres!$A$1:$I$89,3,0)*0.475*44/12</f>
        <v>3.252000586148978</v>
      </c>
      <c r="AX71" s="21">
        <f t="shared" si="60"/>
        <v>89.388385963527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273.00000000000023</v>
      </c>
      <c r="BE71" s="13">
        <f>BD71*VLOOKUP('Données projet'!$B$11,Paramètres!$A$1:$I$89,3,0)*VLOOKUP('Données projet'!$B$11,Paramètres!$A$1:$I$89,5,0)</f>
        <v>212.9400000000002</v>
      </c>
      <c r="BF71" s="13">
        <f t="shared" si="91"/>
        <v>52.577528895212915</v>
      </c>
      <c r="BG71" s="20">
        <f t="shared" si="61"/>
        <v>462.44302949249618</v>
      </c>
      <c r="BH71" s="59">
        <f t="shared" si="62"/>
        <v>755.77636282582944</v>
      </c>
      <c r="BI71" s="59">
        <f ca="1">AVERAGE(OFFSET($BH$3,0,0,'Données projet'!$E$11+1,1))-AVERAGE(OFFSET($H$3,0,0,'Données projet'!$E$11+1,1))</f>
        <v>219.5868031007679</v>
      </c>
      <c r="BJ71" s="59">
        <f t="shared" si="92"/>
        <v>263.3830219837742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27.858101190814949</v>
      </c>
      <c r="BQ71" s="21">
        <f>EXP(-LN(2)/25)*BQ70+(1-EXP(-LN(2)/25))/(LN(2)/25)*Calculateur!BL71*Calculateur!BN71*VLOOKUP('Données projet'!$B$11,Paramètres!$A$1:$I$89,3,0)*0.475*44/12</f>
        <v>4.7523670639564211</v>
      </c>
      <c r="BR71" s="21">
        <f>EXP(-LN(2)/2)*BR70+(1-EXP(-LN(2)/2))/(LN(2)/2)*BL71*BO71*VLOOKUP('Données projet'!$B$11,Paramètres!$A$1:$I$89,3,0)*0.475*44/12</f>
        <v>0.30714523546538475</v>
      </c>
      <c r="BS71" s="22">
        <f t="shared" si="63"/>
        <v>32.917613490236754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243.99999999999989</v>
      </c>
      <c r="BZ71" s="13">
        <f>BY71*VLOOKUP('Données projet'!$B$12,Paramètres!$A$1:$I$89,3,0)*VLOOKUP('Données projet'!$B$12,Paramètres!$A$1:$I$89,5,0)</f>
        <v>262.64159999999987</v>
      </c>
      <c r="CA71" s="13">
        <f t="shared" si="93"/>
        <v>63.285128621471941</v>
      </c>
      <c r="CB71" s="20">
        <f t="shared" si="64"/>
        <v>567.65571901573003</v>
      </c>
      <c r="CC71" s="59">
        <f t="shared" si="65"/>
        <v>860.98905234906329</v>
      </c>
      <c r="CD71" s="59">
        <f ca="1">AVERAGE(OFFSET($CC$3,0,0,'Données projet'!$E$12+1,1))-AVERAGE(OFFSET($H$3,0,0,'Données projet'!$E$12+1,1))</f>
        <v>244.7364260963538</v>
      </c>
      <c r="CE71" s="59">
        <f t="shared" si="94"/>
        <v>270.32853612539299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30.526534030339509</v>
      </c>
      <c r="CL71" s="21">
        <f>EXP(-LN(2)/25)*CL70+(1-EXP(-LN(2)/25))/(LN(2)/25)*Calculateur!CG71*Calculateur!CI71*VLOOKUP('Données projet'!$B$12,Paramètres!$A$1:$I$89,3,0)*0.475*44/12</f>
        <v>5.2333463753084626</v>
      </c>
      <c r="CM71" s="21">
        <f>EXP(-LN(2)/2)*CM70+(1-EXP(-LN(2)/2))/(LN(2)/2)*CG71*CJ71*VLOOKUP('Données projet'!$B$12,Paramètres!$A$1:$I$89,3,0)*0.475*44/12</f>
        <v>0.31847031011218618</v>
      </c>
      <c r="CN71" s="22">
        <f t="shared" si="66"/>
        <v>36.078350715760152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243.99999999999989</v>
      </c>
      <c r="CU71" s="17">
        <f>CT71*VLOOKUP('Données projet'!$B$13,Paramètres!$A$1:$I$89,3,0)*VLOOKUP('Données projet'!$B$13,Paramètres!$A$1:$I$89,5,0)</f>
        <v>235.99679999999987</v>
      </c>
      <c r="CV71" s="13">
        <f t="shared" si="95"/>
        <v>57.577381127598322</v>
      </c>
      <c r="CW71" s="20">
        <f t="shared" si="67"/>
        <v>511.30836546390015</v>
      </c>
      <c r="CX71" s="59">
        <f t="shared" si="68"/>
        <v>804.6416987972334</v>
      </c>
      <c r="CY71" s="59">
        <f ca="1">AVERAGE(OFFSET($CX$3,0,0,'Données projet'!$E$13+1,1))-AVERAGE(OFFSET($H$3,0,0,'Données projet'!$E$13+1,1))</f>
        <v>216.39536568500222</v>
      </c>
      <c r="CZ71" s="59">
        <f t="shared" si="96"/>
        <v>239.44686980897467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27.429639273638404</v>
      </c>
      <c r="DG71" s="21">
        <f>EXP(-LN(2)/25)*DG70+(1-EXP(-LN(2)/25))/(LN(2)/25)*Calculateur!DB71*Calculateur!DD71*VLOOKUP('Données projet'!$B$13,Paramètres!$A$1:$I$89,3,0)*0.475*44/12</f>
        <v>4.7024271778134024</v>
      </c>
      <c r="DH71" s="21">
        <f>EXP(-LN(2)/2)*DH70+(1-EXP(-LN(2)/2))/(LN(2)/2)*DB71*DE71*VLOOKUP('Données projet'!$B$13,Paramètres!$A$1:$I$89,3,0)*0.475*44/12</f>
        <v>0.28616172792689171</v>
      </c>
      <c r="DI71" s="22">
        <f t="shared" si="69"/>
        <v>32.418228179378694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40.90319999999997</v>
      </c>
      <c r="D72" s="11">
        <f t="shared" si="86"/>
        <v>12.237728178480594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410.21067365844647</v>
      </c>
      <c r="H72" s="67">
        <f t="shared" si="56"/>
        <v>385.88711657752032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8.1999999999999993</v>
      </c>
      <c r="N72" s="13">
        <f>IF('Données projet'!$A$36&gt;35,N71+M72-V71,IF(A72&lt;'Données projet'!$A$36,$K$205^A72,IF(A72='Données projet'!$A$36,'Données projet'!$B$36,N71+M72-V71)))</f>
        <v>293.79999999999995</v>
      </c>
      <c r="O72" s="13">
        <f>N72*VLOOKUP('Données projet'!$B$9,Paramètres!$A$1:$I$89,3,0)*VLOOKUP('Données projet'!$B$9,Paramètres!$A$1:$I$89,5,0)</f>
        <v>265.83023999999995</v>
      </c>
      <c r="P72" s="13">
        <f t="shared" si="87"/>
        <v>63.963540982526439</v>
      </c>
      <c r="Q72" s="20">
        <f t="shared" si="54"/>
        <v>574.39083521123348</v>
      </c>
      <c r="R72" s="59">
        <f t="shared" si="55"/>
        <v>867.72416854456674</v>
      </c>
      <c r="S72" s="59">
        <f ca="1">AVERAGE(OFFSET($R$3,0,0,'Données projet'!$E$9+1,1))-AVERAGE(OFFSET($H$3,0,0,'Données projet'!$E$9+1,1))</f>
        <v>330.30341204367602</v>
      </c>
      <c r="T72" s="59">
        <f t="shared" si="88"/>
        <v>200.36653694091007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38.884313756096624</v>
      </c>
      <c r="AA72" s="21">
        <f>EXP(-LN(2)/25)*AA71+(1-EXP(-LN(2)/25))/(LN(2)/25)*Calculateur!V72*Calculateur!X72*VLOOKUP('Données projet'!$B$9,Paramètres!$A$1:$I$89,3,0)*0.475*44/12</f>
        <v>2.4620377220764915</v>
      </c>
      <c r="AB72" s="21">
        <f>EXP(-LN(2)/2)*AB71+(1-EXP(-LN(2)/2))/(LN(2)/2)*V72*Y72*VLOOKUP('Données projet'!$B$9,Paramètres!$A$1:$I$89,3,0)*0.475*44/12</f>
        <v>0.43562099362734313</v>
      </c>
      <c r="AC72" s="22">
        <f t="shared" si="57"/>
        <v>41.781972471800465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971.99999999999977</v>
      </c>
      <c r="AJ72" s="13">
        <f>AI72*VLOOKUP('Données projet'!$B$10,Paramètres!$A$1:$I$89,3,0)*VLOOKUP('Données projet'!$B$10,Paramètres!$A$1:$I$89,5,0)</f>
        <v>581.25599999999986</v>
      </c>
      <c r="AK72" s="13">
        <f t="shared" si="89"/>
        <v>127.68713506014205</v>
      </c>
      <c r="AL72" s="20">
        <f t="shared" si="58"/>
        <v>1234.7426268964139</v>
      </c>
      <c r="AM72" s="59">
        <f t="shared" si="59"/>
        <v>1528.0759602297471</v>
      </c>
      <c r="AN72" s="59">
        <f ca="1">AVERAGE(OFFSET($AM$3,0,0,'Données projet'!$E$10+1,1))-AVERAGE(OFFSET($H$3,0,0,'Données projet'!$E$10+1,1))</f>
        <v>465.77577582457678</v>
      </c>
      <c r="AO72" s="59">
        <f t="shared" si="90"/>
        <v>301.15495784503042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53.426461815485567</v>
      </c>
      <c r="AV72" s="21">
        <f>EXP(-LN(2)/25)*AV71+(1-EXP(-LN(2)/25))/(LN(2)/25)*Calculateur!AQ72*Calculateur!AS72*VLOOKUP('Données projet'!$B$10,Paramètres!$A$1:$I$89,3,0)*0.475*44/12</f>
        <v>30.776075099403773</v>
      </c>
      <c r="AW72" s="21">
        <f>EXP(-LN(2)/2)*AW71+(1-EXP(-LN(2)/2))/(LN(2)/2)*AQ72*AT72*VLOOKUP('Données projet'!$B$10,Paramètres!$A$1:$I$89,3,0)*0.475*44/12</f>
        <v>2.29951166688857</v>
      </c>
      <c r="AX72" s="21">
        <f t="shared" si="60"/>
        <v>86.502048581777899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273.00000000000023</v>
      </c>
      <c r="BE72" s="13">
        <f>BD72*VLOOKUP('Données projet'!$B$11,Paramètres!$A$1:$I$89,3,0)*VLOOKUP('Données projet'!$B$11,Paramètres!$A$1:$I$89,5,0)</f>
        <v>212.9400000000002</v>
      </c>
      <c r="BF72" s="13">
        <f t="shared" si="91"/>
        <v>52.577528895212915</v>
      </c>
      <c r="BG72" s="20">
        <f t="shared" si="61"/>
        <v>462.44302949249618</v>
      </c>
      <c r="BH72" s="59">
        <f t="shared" si="62"/>
        <v>755.77636282582944</v>
      </c>
      <c r="BI72" s="59">
        <f ca="1">AVERAGE(OFFSET($BH$3,0,0,'Données projet'!$E$11+1,1))-AVERAGE(OFFSET($H$3,0,0,'Données projet'!$E$11+1,1))</f>
        <v>219.5868031007679</v>
      </c>
      <c r="BJ72" s="59">
        <f t="shared" si="92"/>
        <v>263.3830219837742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27.311820818226998</v>
      </c>
      <c r="BQ72" s="21">
        <f>EXP(-LN(2)/25)*BQ71+(1-EXP(-LN(2)/25))/(LN(2)/25)*Calculateur!BL72*Calculateur!BN72*VLOOKUP('Données projet'!$B$11,Paramètres!$A$1:$I$89,3,0)*0.475*44/12</f>
        <v>4.6224133366764102</v>
      </c>
      <c r="BR72" s="21">
        <f>EXP(-LN(2)/2)*BR71+(1-EXP(-LN(2)/2))/(LN(2)/2)*BL72*BO72*VLOOKUP('Données projet'!$B$11,Paramètres!$A$1:$I$89,3,0)*0.475*44/12</f>
        <v>0.21718447880671243</v>
      </c>
      <c r="BS72" s="22">
        <f t="shared" si="63"/>
        <v>32.151418633710122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243.99999999999989</v>
      </c>
      <c r="BZ72" s="13">
        <f>BY72*VLOOKUP('Données projet'!$B$12,Paramètres!$A$1:$I$89,3,0)*VLOOKUP('Données projet'!$B$12,Paramètres!$A$1:$I$89,5,0)</f>
        <v>262.64159999999987</v>
      </c>
      <c r="CA72" s="13">
        <f t="shared" si="93"/>
        <v>63.285128621471941</v>
      </c>
      <c r="CB72" s="20">
        <f t="shared" si="64"/>
        <v>567.65571901573003</v>
      </c>
      <c r="CC72" s="59">
        <f t="shared" si="65"/>
        <v>860.98905234906329</v>
      </c>
      <c r="CD72" s="59">
        <f ca="1">AVERAGE(OFFSET($CC$3,0,0,'Données projet'!$E$12+1,1))-AVERAGE(OFFSET($H$3,0,0,'Données projet'!$E$12+1,1))</f>
        <v>244.7364260963538</v>
      </c>
      <c r="CE72" s="59">
        <f t="shared" si="94"/>
        <v>270.32853612539299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29.927927317351802</v>
      </c>
      <c r="CL72" s="21">
        <f>EXP(-LN(2)/25)*CL71+(1-EXP(-LN(2)/25))/(LN(2)/25)*Calculateur!CG72*Calculateur!CI72*VLOOKUP('Données projet'!$B$12,Paramètres!$A$1:$I$89,3,0)*0.475*44/12</f>
        <v>5.090240243465928</v>
      </c>
      <c r="CM72" s="21">
        <f>EXP(-LN(2)/2)*CM71+(1-EXP(-LN(2)/2))/(LN(2)/2)*CG72*CJ72*VLOOKUP('Données projet'!$B$12,Paramètres!$A$1:$I$89,3,0)*0.475*44/12</f>
        <v>0.22519251588690958</v>
      </c>
      <c r="CN72" s="22">
        <f t="shared" si="66"/>
        <v>35.24336007670464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243.99999999999989</v>
      </c>
      <c r="CU72" s="17">
        <f>CT72*VLOOKUP('Données projet'!$B$13,Paramètres!$A$1:$I$89,3,0)*VLOOKUP('Données projet'!$B$13,Paramètres!$A$1:$I$89,5,0)</f>
        <v>235.99679999999987</v>
      </c>
      <c r="CV72" s="13">
        <f t="shared" si="95"/>
        <v>57.577381127598322</v>
      </c>
      <c r="CW72" s="20">
        <f t="shared" si="67"/>
        <v>511.30836546390015</v>
      </c>
      <c r="CX72" s="59">
        <f t="shared" si="68"/>
        <v>804.6416987972334</v>
      </c>
      <c r="CY72" s="59">
        <f ca="1">AVERAGE(OFFSET($CX$3,0,0,'Données projet'!$E$13+1,1))-AVERAGE(OFFSET($H$3,0,0,'Données projet'!$E$13+1,1))</f>
        <v>216.39536568500222</v>
      </c>
      <c r="CZ72" s="59">
        <f t="shared" si="96"/>
        <v>239.44686980897467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26.891760777910321</v>
      </c>
      <c r="DG72" s="21">
        <f>EXP(-LN(2)/25)*DG71+(1-EXP(-LN(2)/25))/(LN(2)/25)*Calculateur!DB72*Calculateur!DD72*VLOOKUP('Données projet'!$B$13,Paramètres!$A$1:$I$89,3,0)*0.475*44/12</f>
        <v>4.5738390593461968</v>
      </c>
      <c r="DH72" s="21">
        <f>EXP(-LN(2)/2)*DH71+(1-EXP(-LN(2)/2))/(LN(2)/2)*DB72*DE72*VLOOKUP('Données projet'!$B$13,Paramètres!$A$1:$I$89,3,0)*0.475*44/12</f>
        <v>0.20234689833316497</v>
      </c>
      <c r="DI72" s="22">
        <f t="shared" si="69"/>
        <v>31.667946735589684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3" s="11">
        <f t="shared" si="86"/>
        <v>12.394310565265254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415.99537980204735</v>
      </c>
      <c r="H73" s="67">
        <f t="shared" si="56"/>
        <v>387.19229090117022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302</v>
      </c>
      <c r="L73" s="12">
        <f>VLOOKUP(A73,'Données projet'!$A$35:$I$55,9,0)</f>
        <v>8.1999999999999993</v>
      </c>
      <c r="M73" s="12">
        <f t="array" ref="M73">INDEX(L:L,MIN(IF(ISNUMBER(L73:L269),ROW(L73:L269),"")))</f>
        <v>8.1999999999999993</v>
      </c>
      <c r="N73" s="13">
        <f>IF('Données projet'!$A$36&gt;35,N72+M73-V72,IF(A73&lt;'Données projet'!$A$36,$K$205^A73,IF(A73='Données projet'!$A$36,'Données projet'!$B$36,N72+M73-V72)))</f>
        <v>301.99999999999994</v>
      </c>
      <c r="O73" s="13">
        <f>N73*VLOOKUP('Données projet'!$B$9,Paramètres!$A$1:$I$89,3,0)*VLOOKUP('Données projet'!$B$9,Paramètres!$A$1:$I$89,5,0)</f>
        <v>273.24959999999999</v>
      </c>
      <c r="P73" s="13">
        <f t="shared" si="87"/>
        <v>65.538435495514321</v>
      </c>
      <c r="Q73" s="20">
        <f t="shared" si="54"/>
        <v>590.05582848802067</v>
      </c>
      <c r="R73" s="59">
        <f t="shared" si="55"/>
        <v>883.38916182135404</v>
      </c>
      <c r="S73" s="59">
        <f ca="1">AVERAGE(OFFSET($R$3,0,0,'Données projet'!$E$9+1,1))-AVERAGE(OFFSET($H$3,0,0,'Données projet'!$E$9+1,1))</f>
        <v>330.30341204367602</v>
      </c>
      <c r="T73" s="59">
        <f t="shared" si="88"/>
        <v>200.36653694091007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0.34400000000000003</v>
      </c>
      <c r="X73" s="16">
        <f>IF(ISNA(VLOOKUP(A73,'Données projet'!$A$35:$I$55,6,0)),0%,VLOOKUP(A73,'Données projet'!$A$35:$I$55,6,0)*VLOOKUP('Données projet'!$B$9,Paramètres!$A$1:$I$89,7,0))</f>
        <v>1.72E-2</v>
      </c>
      <c r="Y73" s="16">
        <f>IF(ISNA(VLOOKUP(A73,'Données projet'!$A$35:$I$55,7,0)),0%,VLOOKUP(A73,'Données projet'!$A$35:$I$55,7,0))</f>
        <v>0.06</v>
      </c>
      <c r="Z73" s="21">
        <f>EXP(-LN(2)/35)*Z72+(1-EXP(-LN(2)/35))/(LN(2)/35)*V73*W73*VLOOKUP('Données projet'!$B$9,Paramètres!$A$1:$I$89,3,0)*0.475*44/12</f>
        <v>47.756027581863506</v>
      </c>
      <c r="AA73" s="21">
        <f>EXP(-LN(2)/25)*AA72+(1-EXP(-LN(2)/25))/(LN(2)/25)*Calculateur!V73*Calculateur!X73*VLOOKUP('Données projet'!$B$9,Paramètres!$A$1:$I$89,3,0)*0.475*44/12</f>
        <v>2.8745270680849173</v>
      </c>
      <c r="AB73" s="21">
        <f>EXP(-LN(2)/2)*AB72+(1-EXP(-LN(2)/2))/(LN(2)/2)*V73*Y73*VLOOKUP('Données projet'!$B$9,Paramètres!$A$1:$I$89,3,0)*0.475*44/12</f>
        <v>1.742251854543841</v>
      </c>
      <c r="AC73" s="22">
        <f t="shared" si="57"/>
        <v>52.37280650449226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971.99999999999977</v>
      </c>
      <c r="AJ73" s="13">
        <f>AI73*VLOOKUP('Données projet'!$B$10,Paramètres!$A$1:$I$89,3,0)*VLOOKUP('Données projet'!$B$10,Paramètres!$A$1:$I$89,5,0)</f>
        <v>581.25599999999986</v>
      </c>
      <c r="AK73" s="13">
        <f t="shared" si="89"/>
        <v>127.68713506014205</v>
      </c>
      <c r="AL73" s="20">
        <f t="shared" si="58"/>
        <v>1234.7426268964139</v>
      </c>
      <c r="AM73" s="59">
        <f t="shared" si="59"/>
        <v>1528.0759602297471</v>
      </c>
      <c r="AN73" s="59">
        <f ca="1">AVERAGE(OFFSET($AM$3,0,0,'Données projet'!$E$10+1,1))-AVERAGE(OFFSET($H$3,0,0,'Données projet'!$E$10+1,1))</f>
        <v>465.77577582457678</v>
      </c>
      <c r="AO73" s="59">
        <f t="shared" si="90"/>
        <v>301.15495784503042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52.378801486207912</v>
      </c>
      <c r="AV73" s="21">
        <f>EXP(-LN(2)/25)*AV72+(1-EXP(-LN(2)/25))/(LN(2)/25)*Calculateur!AQ73*Calculateur!AS73*VLOOKUP('Données projet'!$B$10,Paramètres!$A$1:$I$89,3,0)*0.475*44/12</f>
        <v>29.934501707367126</v>
      </c>
      <c r="AW73" s="21">
        <f>EXP(-LN(2)/2)*AW72+(1-EXP(-LN(2)/2))/(LN(2)/2)*AQ73*AT73*VLOOKUP('Données projet'!$B$10,Paramètres!$A$1:$I$89,3,0)*0.475*44/12</f>
        <v>1.6260002930744892</v>
      </c>
      <c r="AX73" s="21">
        <f t="shared" si="60"/>
        <v>83.939303486649521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273.00000000000023</v>
      </c>
      <c r="BE73" s="13">
        <f>BD73*VLOOKUP('Données projet'!$B$11,Paramètres!$A$1:$I$89,3,0)*VLOOKUP('Données projet'!$B$11,Paramètres!$A$1:$I$89,5,0)</f>
        <v>212.9400000000002</v>
      </c>
      <c r="BF73" s="13">
        <f t="shared" si="91"/>
        <v>52.577528895212915</v>
      </c>
      <c r="BG73" s="20">
        <f t="shared" si="61"/>
        <v>462.44302949249618</v>
      </c>
      <c r="BH73" s="59">
        <f t="shared" si="62"/>
        <v>755.77636282582944</v>
      </c>
      <c r="BI73" s="59">
        <f ca="1">AVERAGE(OFFSET($BH$3,0,0,'Données projet'!$E$11+1,1))-AVERAGE(OFFSET($H$3,0,0,'Données projet'!$E$11+1,1))</f>
        <v>219.5868031007679</v>
      </c>
      <c r="BJ73" s="59">
        <f t="shared" si="92"/>
        <v>263.3830219837742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26.776252670547368</v>
      </c>
      <c r="BQ73" s="21">
        <f>EXP(-LN(2)/25)*BQ72+(1-EXP(-LN(2)/25))/(LN(2)/25)*Calculateur!BL73*Calculateur!BN73*VLOOKUP('Données projet'!$B$11,Paramètres!$A$1:$I$89,3,0)*0.475*44/12</f>
        <v>4.4960132009028406</v>
      </c>
      <c r="BR73" s="21">
        <f>EXP(-LN(2)/2)*BR72+(1-EXP(-LN(2)/2))/(LN(2)/2)*BL73*BO73*VLOOKUP('Données projet'!$B$11,Paramètres!$A$1:$I$89,3,0)*0.475*44/12</f>
        <v>0.15357261773269237</v>
      </c>
      <c r="BS73" s="22">
        <f t="shared" si="63"/>
        <v>31.425838489182901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243.99999999999989</v>
      </c>
      <c r="BZ73" s="13">
        <f>BY73*VLOOKUP('Données projet'!$B$12,Paramètres!$A$1:$I$89,3,0)*VLOOKUP('Données projet'!$B$12,Paramètres!$A$1:$I$89,5,0)</f>
        <v>262.64159999999987</v>
      </c>
      <c r="CA73" s="13">
        <f t="shared" si="93"/>
        <v>63.285128621471941</v>
      </c>
      <c r="CB73" s="20">
        <f t="shared" si="64"/>
        <v>567.65571901573003</v>
      </c>
      <c r="CC73" s="59">
        <f t="shared" si="65"/>
        <v>860.98905234906329</v>
      </c>
      <c r="CD73" s="59">
        <f ca="1">AVERAGE(OFFSET($CC$3,0,0,'Données projet'!$E$12+1,1))-AVERAGE(OFFSET($H$3,0,0,'Données projet'!$E$12+1,1))</f>
        <v>244.7364260963538</v>
      </c>
      <c r="CE73" s="59">
        <f t="shared" si="94"/>
        <v>270.32853612539299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29.34105891689174</v>
      </c>
      <c r="CL73" s="21">
        <f>EXP(-LN(2)/25)*CL72+(1-EXP(-LN(2)/25))/(LN(2)/25)*Calculateur!CG73*Calculateur!CI73*VLOOKUP('Données projet'!$B$12,Paramètres!$A$1:$I$89,3,0)*0.475*44/12</f>
        <v>4.9510473563242519</v>
      </c>
      <c r="CM73" s="21">
        <f>EXP(-LN(2)/2)*CM72+(1-EXP(-LN(2)/2))/(LN(2)/2)*CG73*CJ73*VLOOKUP('Données projet'!$B$12,Paramètres!$A$1:$I$89,3,0)*0.475*44/12</f>
        <v>0.15923515505609312</v>
      </c>
      <c r="CN73" s="22">
        <f t="shared" si="66"/>
        <v>34.451341428272087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243.99999999999989</v>
      </c>
      <c r="CU73" s="17">
        <f>CT73*VLOOKUP('Données projet'!$B$13,Paramètres!$A$1:$I$89,3,0)*VLOOKUP('Données projet'!$B$13,Paramètres!$A$1:$I$89,5,0)</f>
        <v>235.99679999999987</v>
      </c>
      <c r="CV73" s="13">
        <f t="shared" si="95"/>
        <v>57.577381127598322</v>
      </c>
      <c r="CW73" s="20">
        <f t="shared" si="67"/>
        <v>511.30836546390015</v>
      </c>
      <c r="CX73" s="59">
        <f t="shared" si="68"/>
        <v>804.6416987972334</v>
      </c>
      <c r="CY73" s="59">
        <f ca="1">AVERAGE(OFFSET($CX$3,0,0,'Données projet'!$E$13+1,1))-AVERAGE(OFFSET($H$3,0,0,'Données projet'!$E$13+1,1))</f>
        <v>216.39536568500222</v>
      </c>
      <c r="CZ73" s="59">
        <f t="shared" si="96"/>
        <v>239.44686980897467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26.364429751409975</v>
      </c>
      <c r="DG73" s="21">
        <f>EXP(-LN(2)/25)*DG72+(1-EXP(-LN(2)/25))/(LN(2)/25)*Calculateur!DB73*Calculateur!DD73*VLOOKUP('Données projet'!$B$13,Paramètres!$A$1:$I$89,3,0)*0.475*44/12</f>
        <v>4.4487671897406322</v>
      </c>
      <c r="DH73" s="21">
        <f>EXP(-LN(2)/2)*DH72+(1-EXP(-LN(2)/2))/(LN(2)/2)*DB73*DE73*VLOOKUP('Données projet'!$B$13,Paramètres!$A$1:$I$89,3,0)*0.475*44/12</f>
        <v>0.14308086396344585</v>
      </c>
      <c r="DI73" s="22">
        <f t="shared" si="69"/>
        <v>30.956277805114052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42.088799999999964</v>
      </c>
      <c r="D74" s="11">
        <f t="shared" si="86"/>
        <v>12.550632784915242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421.77807763794198</v>
      </c>
      <c r="H74" s="67">
        <f t="shared" si="56"/>
        <v>388.49701210039399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7.6</v>
      </c>
      <c r="N74" s="13">
        <f>IF('Données projet'!$A$36&gt;35,N73+M74-V73,IF(A74&lt;'Données projet'!$A$36,$K$205^A74,IF(A74='Données projet'!$A$36,'Données projet'!$B$36,N73+M74-V73)))</f>
        <v>281.59999999999997</v>
      </c>
      <c r="O74" s="13">
        <f>N74*VLOOKUP('Données projet'!$B$9,Paramètres!$A$1:$I$89,3,0)*VLOOKUP('Données projet'!$B$9,Paramètres!$A$1:$I$89,5,0)</f>
        <v>254.79167999999996</v>
      </c>
      <c r="P74" s="13">
        <f t="shared" si="87"/>
        <v>61.610870508448471</v>
      </c>
      <c r="Q74" s="20">
        <f t="shared" si="54"/>
        <v>551.067775468881</v>
      </c>
      <c r="R74" s="59">
        <f t="shared" si="55"/>
        <v>844.40110880221437</v>
      </c>
      <c r="S74" s="59">
        <f ca="1">AVERAGE(OFFSET($R$3,0,0,'Données projet'!$E$9+1,1))-AVERAGE(OFFSET($H$3,0,0,'Données projet'!$E$9+1,1))</f>
        <v>330.30341204367602</v>
      </c>
      <c r="T74" s="59">
        <f t="shared" si="88"/>
        <v>200.36653694091007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46.819561009283809</v>
      </c>
      <c r="AA74" s="21">
        <f>EXP(-LN(2)/25)*AA73+(1-EXP(-LN(2)/25))/(LN(2)/25)*Calculateur!V74*Calculateur!X74*VLOOKUP('Données projet'!$B$9,Paramètres!$A$1:$I$89,3,0)*0.475*44/12</f>
        <v>2.7959229742433265</v>
      </c>
      <c r="AB74" s="21">
        <f>EXP(-LN(2)/2)*AB73+(1-EXP(-LN(2)/2))/(LN(2)/2)*V74*Y74*VLOOKUP('Données projet'!$B$9,Paramètres!$A$1:$I$89,3,0)*0.475*44/12</f>
        <v>1.2319581008827885</v>
      </c>
      <c r="AC74" s="22">
        <f t="shared" si="57"/>
        <v>50.84744208440992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971.99999999999977</v>
      </c>
      <c r="AJ74" s="13">
        <f>AI74*VLOOKUP('Données projet'!$B$10,Paramètres!$A$1:$I$89,3,0)*VLOOKUP('Données projet'!$B$10,Paramètres!$A$1:$I$89,5,0)</f>
        <v>581.25599999999986</v>
      </c>
      <c r="AK74" s="13">
        <f t="shared" si="89"/>
        <v>127.68713506014205</v>
      </c>
      <c r="AL74" s="20">
        <f t="shared" si="58"/>
        <v>1234.7426268964139</v>
      </c>
      <c r="AM74" s="59">
        <f t="shared" si="59"/>
        <v>1528.0759602297471</v>
      </c>
      <c r="AN74" s="59">
        <f ca="1">AVERAGE(OFFSET($AM$3,0,0,'Données projet'!$E$10+1,1))-AVERAGE(OFFSET($H$3,0,0,'Données projet'!$E$10+1,1))</f>
        <v>465.77577582457678</v>
      </c>
      <c r="AO74" s="59">
        <f t="shared" si="90"/>
        <v>301.15495784503042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51.351685136977686</v>
      </c>
      <c r="AV74" s="21">
        <f>EXP(-LN(2)/25)*AV73+(1-EXP(-LN(2)/25))/(LN(2)/25)*Calculateur!AQ74*Calculateur!AS74*VLOOKUP('Données projet'!$B$10,Paramètres!$A$1:$I$89,3,0)*0.475*44/12</f>
        <v>29.115941183992142</v>
      </c>
      <c r="AW74" s="21">
        <f>EXP(-LN(2)/2)*AW73+(1-EXP(-LN(2)/2))/(LN(2)/2)*AQ74*AT74*VLOOKUP('Données projet'!$B$10,Paramètres!$A$1:$I$89,3,0)*0.475*44/12</f>
        <v>1.149755833444285</v>
      </c>
      <c r="AX74" s="21">
        <f t="shared" si="60"/>
        <v>81.617382154414116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273.00000000000023</v>
      </c>
      <c r="BE74" s="13">
        <f>BD74*VLOOKUP('Données projet'!$B$11,Paramètres!$A$1:$I$89,3,0)*VLOOKUP('Données projet'!$B$11,Paramètres!$A$1:$I$89,5,0)</f>
        <v>212.9400000000002</v>
      </c>
      <c r="BF74" s="13">
        <f t="shared" si="91"/>
        <v>52.577528895212915</v>
      </c>
      <c r="BG74" s="20">
        <f t="shared" si="61"/>
        <v>462.44302949249618</v>
      </c>
      <c r="BH74" s="59">
        <f t="shared" si="62"/>
        <v>755.77636282582944</v>
      </c>
      <c r="BI74" s="59">
        <f ca="1">AVERAGE(OFFSET($BH$3,0,0,'Données projet'!$E$11+1,1))-AVERAGE(OFFSET($H$3,0,0,'Données projet'!$E$11+1,1))</f>
        <v>219.5868031007679</v>
      </c>
      <c r="BJ74" s="59">
        <f t="shared" si="92"/>
        <v>263.3830219837742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26.251186687579423</v>
      </c>
      <c r="BQ74" s="21">
        <f>EXP(-LN(2)/25)*BQ73+(1-EXP(-LN(2)/25))/(LN(2)/25)*Calculateur!BL74*Calculateur!BN74*VLOOKUP('Données projet'!$B$11,Paramètres!$A$1:$I$89,3,0)*0.475*44/12</f>
        <v>4.3730694834890942</v>
      </c>
      <c r="BR74" s="21">
        <f>EXP(-LN(2)/2)*BR73+(1-EXP(-LN(2)/2))/(LN(2)/2)*BL74*BO74*VLOOKUP('Données projet'!$B$11,Paramètres!$A$1:$I$89,3,0)*0.475*44/12</f>
        <v>0.10859223940335622</v>
      </c>
      <c r="BS74" s="22">
        <f t="shared" si="63"/>
        <v>30.732848410471874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243.99999999999989</v>
      </c>
      <c r="BZ74" s="13">
        <f>BY74*VLOOKUP('Données projet'!$B$12,Paramètres!$A$1:$I$89,3,0)*VLOOKUP('Données projet'!$B$12,Paramètres!$A$1:$I$89,5,0)</f>
        <v>262.64159999999987</v>
      </c>
      <c r="CA74" s="13">
        <f t="shared" si="93"/>
        <v>63.285128621471941</v>
      </c>
      <c r="CB74" s="20">
        <f t="shared" si="64"/>
        <v>567.65571901573003</v>
      </c>
      <c r="CC74" s="59">
        <f t="shared" si="65"/>
        <v>860.98905234906329</v>
      </c>
      <c r="CD74" s="59">
        <f ca="1">AVERAGE(OFFSET($CC$3,0,0,'Données projet'!$E$12+1,1))-AVERAGE(OFFSET($H$3,0,0,'Données projet'!$E$12+1,1))</f>
        <v>244.7364260963538</v>
      </c>
      <c r="CE74" s="59">
        <f t="shared" si="94"/>
        <v>270.32853612539299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28.765698647810321</v>
      </c>
      <c r="CL74" s="21">
        <f>EXP(-LN(2)/25)*CL73+(1-EXP(-LN(2)/25))/(LN(2)/25)*Calculateur!CG74*Calculateur!CI74*VLOOKUP('Données projet'!$B$12,Paramètres!$A$1:$I$89,3,0)*0.475*44/12</f>
        <v>4.8156607060013004</v>
      </c>
      <c r="CM74" s="21">
        <f>EXP(-LN(2)/2)*CM73+(1-EXP(-LN(2)/2))/(LN(2)/2)*CG74*CJ74*VLOOKUP('Données projet'!$B$12,Paramètres!$A$1:$I$89,3,0)*0.475*44/12</f>
        <v>0.11259625794345481</v>
      </c>
      <c r="CN74" s="22">
        <f t="shared" si="66"/>
        <v>33.693955611755072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243.99999999999989</v>
      </c>
      <c r="CU74" s="17">
        <f>CT74*VLOOKUP('Données projet'!$B$13,Paramètres!$A$1:$I$89,3,0)*VLOOKUP('Données projet'!$B$13,Paramètres!$A$1:$I$89,5,0)</f>
        <v>235.99679999999987</v>
      </c>
      <c r="CV74" s="13">
        <f t="shared" si="95"/>
        <v>57.577381127598322</v>
      </c>
      <c r="CW74" s="20">
        <f t="shared" si="67"/>
        <v>511.30836546390015</v>
      </c>
      <c r="CX74" s="59">
        <f t="shared" si="68"/>
        <v>804.6416987972334</v>
      </c>
      <c r="CY74" s="59">
        <f ca="1">AVERAGE(OFFSET($CX$3,0,0,'Données projet'!$E$13+1,1))-AVERAGE(OFFSET($H$3,0,0,'Données projet'!$E$13+1,1))</f>
        <v>216.39536568500222</v>
      </c>
      <c r="CZ74" s="59">
        <f t="shared" si="96"/>
        <v>239.44686980897467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25.847439364699135</v>
      </c>
      <c r="DG74" s="21">
        <f>EXP(-LN(2)/25)*DG73+(1-EXP(-LN(2)/25))/(LN(2)/25)*Calculateur!DB74*Calculateur!DD74*VLOOKUP('Données projet'!$B$13,Paramètres!$A$1:$I$89,3,0)*0.475*44/12</f>
        <v>4.3271154169866763</v>
      </c>
      <c r="DH74" s="21">
        <f>EXP(-LN(2)/2)*DH73+(1-EXP(-LN(2)/2))/(LN(2)/2)*DB74*DE74*VLOOKUP('Données projet'!$B$13,Paramètres!$A$1:$I$89,3,0)*0.475*44/12</f>
        <v>0.10117344916658248</v>
      </c>
      <c r="DI74" s="22">
        <f t="shared" si="69"/>
        <v>30.275728230852394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42.68159999999996</v>
      </c>
      <c r="D75" s="11">
        <f t="shared" si="86"/>
        <v>12.706698925204419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427.55879872087598</v>
      </c>
      <c r="H75" s="67">
        <f t="shared" si="56"/>
        <v>389.80128729473097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7.6</v>
      </c>
      <c r="N75" s="13">
        <f>IF('Données projet'!$A$36&gt;35,N74+M75-V74,IF(A75&lt;'Données projet'!$A$36,$K$205^A75,IF(A75='Données projet'!$A$36,'Données projet'!$B$36,N74+M75-V74)))</f>
        <v>289.2</v>
      </c>
      <c r="O75" s="13">
        <f>N75*VLOOKUP('Données projet'!$B$9,Paramètres!$A$1:$I$89,3,0)*VLOOKUP('Données projet'!$B$9,Paramètres!$A$1:$I$89,5,0)</f>
        <v>261.66816</v>
      </c>
      <c r="P75" s="13">
        <f t="shared" si="87"/>
        <v>63.077829793082856</v>
      </c>
      <c r="Q75" s="20">
        <f t="shared" si="54"/>
        <v>565.5992655562859</v>
      </c>
      <c r="R75" s="59">
        <f t="shared" si="55"/>
        <v>858.93259888961916</v>
      </c>
      <c r="S75" s="59">
        <f ca="1">AVERAGE(OFFSET($R$3,0,0,'Données projet'!$E$9+1,1))-AVERAGE(OFFSET($H$3,0,0,'Données projet'!$E$9+1,1))</f>
        <v>330.30341204367602</v>
      </c>
      <c r="T75" s="59">
        <f t="shared" si="88"/>
        <v>200.36653694091007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45.901457975004192</v>
      </c>
      <c r="AA75" s="21">
        <f>EXP(-LN(2)/25)*AA74+(1-EXP(-LN(2)/25))/(LN(2)/25)*Calculateur!V75*Calculateur!X75*VLOOKUP('Données projet'!$B$9,Paramètres!$A$1:$I$89,3,0)*0.475*44/12</f>
        <v>2.7194683134814435</v>
      </c>
      <c r="AB75" s="21">
        <f>EXP(-LN(2)/2)*AB74+(1-EXP(-LN(2)/2))/(LN(2)/2)*V75*Y75*VLOOKUP('Données projet'!$B$9,Paramètres!$A$1:$I$89,3,0)*0.475*44/12</f>
        <v>0.87112592727192062</v>
      </c>
      <c r="AC75" s="22">
        <f t="shared" si="57"/>
        <v>49.492052215757553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971.99999999999977</v>
      </c>
      <c r="AJ75" s="13">
        <f>AI75*VLOOKUP('Données projet'!$B$10,Paramètres!$A$1:$I$89,3,0)*VLOOKUP('Données projet'!$B$10,Paramètres!$A$1:$I$89,5,0)</f>
        <v>581.25599999999986</v>
      </c>
      <c r="AK75" s="13">
        <f t="shared" si="89"/>
        <v>127.68713506014205</v>
      </c>
      <c r="AL75" s="20">
        <f t="shared" si="58"/>
        <v>1234.7426268964139</v>
      </c>
      <c r="AM75" s="59">
        <f t="shared" si="59"/>
        <v>1528.0759602297471</v>
      </c>
      <c r="AN75" s="59">
        <f ca="1">AVERAGE(OFFSET($AM$3,0,0,'Données projet'!$E$10+1,1))-AVERAGE(OFFSET($H$3,0,0,'Données projet'!$E$10+1,1))</f>
        <v>465.77577582457678</v>
      </c>
      <c r="AO75" s="59">
        <f t="shared" si="90"/>
        <v>301.15495784503042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50.344709912876752</v>
      </c>
      <c r="AV75" s="21">
        <f>EXP(-LN(2)/25)*AV74+(1-EXP(-LN(2)/25))/(LN(2)/25)*Calculateur!AQ75*Calculateur!AS75*VLOOKUP('Données projet'!$B$10,Paramètres!$A$1:$I$89,3,0)*0.475*44/12</f>
        <v>28.319764241175076</v>
      </c>
      <c r="AW75" s="21">
        <f>EXP(-LN(2)/2)*AW74+(1-EXP(-LN(2)/2))/(LN(2)/2)*AQ75*AT75*VLOOKUP('Données projet'!$B$10,Paramètres!$A$1:$I$89,3,0)*0.475*44/12</f>
        <v>0.81300014653724462</v>
      </c>
      <c r="AX75" s="21">
        <f t="shared" si="60"/>
        <v>79.47747430058908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273.00000000000023</v>
      </c>
      <c r="BE75" s="13">
        <f>BD75*VLOOKUP('Données projet'!$B$11,Paramètres!$A$1:$I$89,3,0)*VLOOKUP('Données projet'!$B$11,Paramètres!$A$1:$I$89,5,0)</f>
        <v>212.9400000000002</v>
      </c>
      <c r="BF75" s="13">
        <f t="shared" si="91"/>
        <v>52.577528895212915</v>
      </c>
      <c r="BG75" s="20">
        <f t="shared" si="61"/>
        <v>462.44302949249618</v>
      </c>
      <c r="BH75" s="59">
        <f t="shared" si="62"/>
        <v>755.77636282582944</v>
      </c>
      <c r="BI75" s="59">
        <f ca="1">AVERAGE(OFFSET($BH$3,0,0,'Données projet'!$E$11+1,1))-AVERAGE(OFFSET($H$3,0,0,'Données projet'!$E$11+1,1))</f>
        <v>219.5868031007679</v>
      </c>
      <c r="BJ75" s="59">
        <f t="shared" si="92"/>
        <v>263.3830219837742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25.736416928278853</v>
      </c>
      <c r="BQ75" s="21">
        <f>EXP(-LN(2)/25)*BQ74+(1-EXP(-LN(2)/25))/(LN(2)/25)*Calculateur!BL75*Calculateur!BN75*VLOOKUP('Données projet'!$B$11,Paramètres!$A$1:$I$89,3,0)*0.475*44/12</f>
        <v>4.2534876684933556</v>
      </c>
      <c r="BR75" s="21">
        <f>EXP(-LN(2)/2)*BR74+(1-EXP(-LN(2)/2))/(LN(2)/2)*BL75*BO75*VLOOKUP('Données projet'!$B$11,Paramètres!$A$1:$I$89,3,0)*0.475*44/12</f>
        <v>7.6786308866346187E-2</v>
      </c>
      <c r="BS75" s="22">
        <f t="shared" si="63"/>
        <v>30.066690905638556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243.99999999999989</v>
      </c>
      <c r="BZ75" s="13">
        <f>BY75*VLOOKUP('Données projet'!$B$12,Paramètres!$A$1:$I$89,3,0)*VLOOKUP('Données projet'!$B$12,Paramètres!$A$1:$I$89,5,0)</f>
        <v>262.64159999999987</v>
      </c>
      <c r="CA75" s="13">
        <f t="shared" si="93"/>
        <v>63.285128621471941</v>
      </c>
      <c r="CB75" s="20">
        <f t="shared" si="64"/>
        <v>567.65571901573003</v>
      </c>
      <c r="CC75" s="59">
        <f t="shared" si="65"/>
        <v>860.98905234906329</v>
      </c>
      <c r="CD75" s="59">
        <f ca="1">AVERAGE(OFFSET($CC$3,0,0,'Données projet'!$E$12+1,1))-AVERAGE(OFFSET($H$3,0,0,'Données projet'!$E$12+1,1))</f>
        <v>244.7364260963538</v>
      </c>
      <c r="CE75" s="59">
        <f t="shared" si="94"/>
        <v>270.32853612539299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28.201620842670476</v>
      </c>
      <c r="CL75" s="21">
        <f>EXP(-LN(2)/25)*CL74+(1-EXP(-LN(2)/25))/(LN(2)/25)*Calculateur!CG75*Calculateur!CI75*VLOOKUP('Données projet'!$B$12,Paramètres!$A$1:$I$89,3,0)*0.475*44/12</f>
        <v>4.6839762107511049</v>
      </c>
      <c r="CM75" s="21">
        <f>EXP(-LN(2)/2)*CM74+(1-EXP(-LN(2)/2))/(LN(2)/2)*CG75*CJ75*VLOOKUP('Données projet'!$B$12,Paramètres!$A$1:$I$89,3,0)*0.475*44/12</f>
        <v>7.961757752804656E-2</v>
      </c>
      <c r="CN75" s="22">
        <f t="shared" si="66"/>
        <v>32.965214630949625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243.99999999999989</v>
      </c>
      <c r="CU75" s="17">
        <f>CT75*VLOOKUP('Données projet'!$B$13,Paramètres!$A$1:$I$89,3,0)*VLOOKUP('Données projet'!$B$13,Paramètres!$A$1:$I$89,5,0)</f>
        <v>235.99679999999987</v>
      </c>
      <c r="CV75" s="13">
        <f t="shared" si="95"/>
        <v>57.577381127598322</v>
      </c>
      <c r="CW75" s="20">
        <f t="shared" si="67"/>
        <v>511.30836546390015</v>
      </c>
      <c r="CX75" s="59">
        <f t="shared" si="68"/>
        <v>804.6416987972334</v>
      </c>
      <c r="CY75" s="59">
        <f ca="1">AVERAGE(OFFSET($CX$3,0,0,'Données projet'!$E$13+1,1))-AVERAGE(OFFSET($H$3,0,0,'Données projet'!$E$13+1,1))</f>
        <v>216.39536568500222</v>
      </c>
      <c r="CZ75" s="59">
        <f t="shared" si="96"/>
        <v>239.44686980897467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25.340586844138695</v>
      </c>
      <c r="DG75" s="21">
        <f>EXP(-LN(2)/25)*DG74+(1-EXP(-LN(2)/25))/(LN(2)/25)*Calculateur!DB75*Calculateur!DD75*VLOOKUP('Données projet'!$B$13,Paramètres!$A$1:$I$89,3,0)*0.475*44/12</f>
        <v>4.2087902183560653</v>
      </c>
      <c r="DH75" s="21">
        <f>EXP(-LN(2)/2)*DH74+(1-EXP(-LN(2)/2))/(LN(2)/2)*DB75*DE75*VLOOKUP('Données projet'!$B$13,Paramètres!$A$1:$I$89,3,0)*0.475*44/12</f>
        <v>7.1540431981722927E-2</v>
      </c>
      <c r="DI75" s="22">
        <f t="shared" si="69"/>
        <v>29.620917494476483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43.274399999999957</v>
      </c>
      <c r="D76" s="11">
        <f t="shared" si="86"/>
        <v>12.862512953834386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433.3375736787213</v>
      </c>
      <c r="H76" s="67">
        <f t="shared" si="56"/>
        <v>391.10512339459478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7.6</v>
      </c>
      <c r="N76" s="13">
        <f>IF('Données projet'!$A$36&gt;35,N75+M76-V75,IF(A76&lt;'Données projet'!$A$36,$K$205^A76,IF(A76='Données projet'!$A$36,'Données projet'!$B$36,N75+M76-V75)))</f>
        <v>296.8</v>
      </c>
      <c r="O76" s="13">
        <f>N76*VLOOKUP('Données projet'!$B$9,Paramètres!$A$1:$I$89,3,0)*VLOOKUP('Données projet'!$B$9,Paramètres!$A$1:$I$89,5,0)</f>
        <v>268.54464000000002</v>
      </c>
      <c r="P76" s="13">
        <f t="shared" si="87"/>
        <v>64.54030807605065</v>
      </c>
      <c r="Q76" s="20">
        <f t="shared" si="54"/>
        <v>580.12295123245474</v>
      </c>
      <c r="R76" s="59">
        <f t="shared" si="55"/>
        <v>873.45628456578811</v>
      </c>
      <c r="S76" s="59">
        <f ca="1">AVERAGE(OFFSET($R$3,0,0,'Données projet'!$E$9+1,1))-AVERAGE(OFFSET($H$3,0,0,'Données projet'!$E$9+1,1))</f>
        <v>330.30341204367602</v>
      </c>
      <c r="T76" s="59">
        <f t="shared" si="88"/>
        <v>200.36653694091007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45.001358381239235</v>
      </c>
      <c r="AA76" s="21">
        <f>EXP(-LN(2)/25)*AA75+(1-EXP(-LN(2)/25))/(LN(2)/25)*Calculateur!V76*Calculateur!X76*VLOOKUP('Données projet'!$B$9,Paramètres!$A$1:$I$89,3,0)*0.475*44/12</f>
        <v>2.6451043094386701</v>
      </c>
      <c r="AB76" s="21">
        <f>EXP(-LN(2)/2)*AB75+(1-EXP(-LN(2)/2))/(LN(2)/2)*V76*Y76*VLOOKUP('Données projet'!$B$9,Paramètres!$A$1:$I$89,3,0)*0.475*44/12</f>
        <v>0.61597905044139434</v>
      </c>
      <c r="AC76" s="22">
        <f t="shared" si="57"/>
        <v>48.262441741119304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971.99999999999977</v>
      </c>
      <c r="AJ76" s="13">
        <f>AI76*VLOOKUP('Données projet'!$B$10,Paramètres!$A$1:$I$89,3,0)*VLOOKUP('Données projet'!$B$10,Paramètres!$A$1:$I$89,5,0)</f>
        <v>581.25599999999986</v>
      </c>
      <c r="AK76" s="13">
        <f t="shared" si="89"/>
        <v>127.68713506014205</v>
      </c>
      <c r="AL76" s="20">
        <f t="shared" si="58"/>
        <v>1234.7426268964139</v>
      </c>
      <c r="AM76" s="59">
        <f t="shared" si="59"/>
        <v>1528.0759602297471</v>
      </c>
      <c r="AN76" s="59">
        <f ca="1">AVERAGE(OFFSET($AM$3,0,0,'Données projet'!$E$10+1,1))-AVERAGE(OFFSET($H$3,0,0,'Données projet'!$E$10+1,1))</f>
        <v>465.77577582457678</v>
      </c>
      <c r="AO76" s="59">
        <f t="shared" si="90"/>
        <v>301.15495784503042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49.357480858726198</v>
      </c>
      <c r="AV76" s="21">
        <f>EXP(-LN(2)/25)*AV75+(1-EXP(-LN(2)/25))/(LN(2)/25)*Calculateur!AQ76*Calculateur!AS76*VLOOKUP('Données projet'!$B$10,Paramètres!$A$1:$I$89,3,0)*0.475*44/12</f>
        <v>27.545358798728468</v>
      </c>
      <c r="AW76" s="21">
        <f>EXP(-LN(2)/2)*AW75+(1-EXP(-LN(2)/2))/(LN(2)/2)*AQ76*AT76*VLOOKUP('Données projet'!$B$10,Paramètres!$A$1:$I$89,3,0)*0.475*44/12</f>
        <v>0.5748779167221425</v>
      </c>
      <c r="AX76" s="21">
        <f t="shared" si="60"/>
        <v>77.477717574176808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273.00000000000023</v>
      </c>
      <c r="BE76" s="13">
        <f>BD76*VLOOKUP('Données projet'!$B$11,Paramètres!$A$1:$I$89,3,0)*VLOOKUP('Données projet'!$B$11,Paramètres!$A$1:$I$89,5,0)</f>
        <v>212.9400000000002</v>
      </c>
      <c r="BF76" s="13">
        <f t="shared" si="91"/>
        <v>52.577528895212915</v>
      </c>
      <c r="BG76" s="20">
        <f t="shared" si="61"/>
        <v>462.44302949249618</v>
      </c>
      <c r="BH76" s="59">
        <f t="shared" si="62"/>
        <v>755.77636282582944</v>
      </c>
      <c r="BI76" s="59">
        <f ca="1">AVERAGE(OFFSET($BH$3,0,0,'Données projet'!$E$11+1,1))-AVERAGE(OFFSET($H$3,0,0,'Données projet'!$E$11+1,1))</f>
        <v>219.5868031007679</v>
      </c>
      <c r="BJ76" s="59">
        <f t="shared" si="92"/>
        <v>263.3830219837742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25.231741489979616</v>
      </c>
      <c r="BQ76" s="21">
        <f>EXP(-LN(2)/25)*BQ75+(1-EXP(-LN(2)/25))/(LN(2)/25)*Calculateur!BL76*Calculateur!BN76*VLOOKUP('Données projet'!$B$11,Paramètres!$A$1:$I$89,3,0)*0.475*44/12</f>
        <v>4.1371758245172101</v>
      </c>
      <c r="BR76" s="21">
        <f>EXP(-LN(2)/2)*BR75+(1-EXP(-LN(2)/2))/(LN(2)/2)*BL76*BO76*VLOOKUP('Données projet'!$B$11,Paramètres!$A$1:$I$89,3,0)*0.475*44/12</f>
        <v>5.4296119701678108E-2</v>
      </c>
      <c r="BS76" s="22">
        <f t="shared" si="63"/>
        <v>29.423213434198505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243.99999999999989</v>
      </c>
      <c r="BZ76" s="13">
        <f>BY76*VLOOKUP('Données projet'!$B$12,Paramètres!$A$1:$I$89,3,0)*VLOOKUP('Données projet'!$B$12,Paramètres!$A$1:$I$89,5,0)</f>
        <v>262.64159999999987</v>
      </c>
      <c r="CA76" s="13">
        <f t="shared" si="93"/>
        <v>63.285128621471941</v>
      </c>
      <c r="CB76" s="20">
        <f t="shared" si="64"/>
        <v>567.65571901573003</v>
      </c>
      <c r="CC76" s="59">
        <f t="shared" si="65"/>
        <v>860.98905234906329</v>
      </c>
      <c r="CD76" s="59">
        <f ca="1">AVERAGE(OFFSET($CC$3,0,0,'Données projet'!$E$12+1,1))-AVERAGE(OFFSET($H$3,0,0,'Données projet'!$E$12+1,1))</f>
        <v>244.7364260963538</v>
      </c>
      <c r="CE76" s="59">
        <f t="shared" si="94"/>
        <v>270.32853612539299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27.648604259235935</v>
      </c>
      <c r="CL76" s="21">
        <f>EXP(-LN(2)/25)*CL75+(1-EXP(-LN(2)/25))/(LN(2)/25)*Calculateur!CG76*Calculateur!CI76*VLOOKUP('Données projet'!$B$12,Paramètres!$A$1:$I$89,3,0)*0.475*44/12</f>
        <v>4.5558926349485125</v>
      </c>
      <c r="CM76" s="21">
        <f>EXP(-LN(2)/2)*CM75+(1-EXP(-LN(2)/2))/(LN(2)/2)*CG76*CJ76*VLOOKUP('Données projet'!$B$12,Paramètres!$A$1:$I$89,3,0)*0.475*44/12</f>
        <v>5.6298128971727403E-2</v>
      </c>
      <c r="CN76" s="22">
        <f t="shared" si="66"/>
        <v>32.26079502315617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243.99999999999989</v>
      </c>
      <c r="CU76" s="17">
        <f>CT76*VLOOKUP('Données projet'!$B$13,Paramètres!$A$1:$I$89,3,0)*VLOOKUP('Données projet'!$B$13,Paramètres!$A$1:$I$89,5,0)</f>
        <v>235.99679999999987</v>
      </c>
      <c r="CV76" s="13">
        <f t="shared" si="95"/>
        <v>57.577381127598322</v>
      </c>
      <c r="CW76" s="20">
        <f t="shared" si="67"/>
        <v>511.30836546390015</v>
      </c>
      <c r="CX76" s="59">
        <f t="shared" si="68"/>
        <v>804.6416987972334</v>
      </c>
      <c r="CY76" s="59">
        <f ca="1">AVERAGE(OFFSET($CX$3,0,0,'Données projet'!$E$13+1,1))-AVERAGE(OFFSET($H$3,0,0,'Données projet'!$E$13+1,1))</f>
        <v>216.39536568500222</v>
      </c>
      <c r="CZ76" s="59">
        <f t="shared" si="96"/>
        <v>239.44686980897467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24.843673392356934</v>
      </c>
      <c r="DG76" s="21">
        <f>EXP(-LN(2)/25)*DG75+(1-EXP(-LN(2)/25))/(LN(2)/25)*Calculateur!DB76*Calculateur!DD76*VLOOKUP('Données projet'!$B$13,Paramètres!$A$1:$I$89,3,0)*0.475*44/12</f>
        <v>4.0937006285044601</v>
      </c>
      <c r="DH76" s="21">
        <f>EXP(-LN(2)/2)*DH75+(1-EXP(-LN(2)/2))/(LN(2)/2)*DB76*DE76*VLOOKUP('Données projet'!$B$13,Paramètres!$A$1:$I$89,3,0)*0.475*44/12</f>
        <v>5.0586724583291241E-2</v>
      </c>
      <c r="DI76" s="22">
        <f t="shared" si="69"/>
        <v>28.987960745444685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43.867199999999954</v>
      </c>
      <c r="D77" s="11">
        <f t="shared" si="86"/>
        <v>13.018078723556952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439.11443225201828</v>
      </c>
      <c r="H77" s="67">
        <f t="shared" si="56"/>
        <v>392.40852711019494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7.6</v>
      </c>
      <c r="N77" s="13">
        <f>IF('Données projet'!$A$36&gt;35,N76+M77-V76,IF(A77&lt;'Données projet'!$A$36,$K$205^A77,IF(A77='Données projet'!$A$36,'Données projet'!$B$36,N76+M77-V76)))</f>
        <v>304.40000000000003</v>
      </c>
      <c r="O77" s="13">
        <f>N77*VLOOKUP('Données projet'!$B$9,Paramètres!$A$1:$I$89,3,0)*VLOOKUP('Données projet'!$B$9,Paramètres!$A$1:$I$89,5,0)</f>
        <v>275.42112000000003</v>
      </c>
      <c r="P77" s="13">
        <f t="shared" si="87"/>
        <v>65.998433293601067</v>
      </c>
      <c r="Q77" s="20">
        <f t="shared" si="54"/>
        <v>594.63905531968851</v>
      </c>
      <c r="R77" s="59">
        <f t="shared" si="55"/>
        <v>887.97238865302188</v>
      </c>
      <c r="S77" s="59">
        <f ca="1">AVERAGE(OFFSET($R$3,0,0,'Données projet'!$E$9+1,1))-AVERAGE(OFFSET($H$3,0,0,'Données projet'!$E$9+1,1))</f>
        <v>330.30341204367602</v>
      </c>
      <c r="T77" s="59">
        <f t="shared" si="88"/>
        <v>200.36653694091007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44.118909191501473</v>
      </c>
      <c r="AA77" s="21">
        <f>EXP(-LN(2)/25)*AA76+(1-EXP(-LN(2)/25))/(LN(2)/25)*Calculateur!V77*Calculateur!X77*VLOOKUP('Données projet'!$B$9,Paramètres!$A$1:$I$89,3,0)*0.475*44/12</f>
        <v>2.5727737929970798</v>
      </c>
      <c r="AB77" s="21">
        <f>EXP(-LN(2)/2)*AB76+(1-EXP(-LN(2)/2))/(LN(2)/2)*V77*Y77*VLOOKUP('Données projet'!$B$9,Paramètres!$A$1:$I$89,3,0)*0.475*44/12</f>
        <v>0.43556296363596037</v>
      </c>
      <c r="AC77" s="22">
        <f t="shared" si="57"/>
        <v>47.127245948134515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971.99999999999977</v>
      </c>
      <c r="AJ77" s="13">
        <f>AI77*VLOOKUP('Données projet'!$B$10,Paramètres!$A$1:$I$89,3,0)*VLOOKUP('Données projet'!$B$10,Paramètres!$A$1:$I$89,5,0)</f>
        <v>581.25599999999986</v>
      </c>
      <c r="AK77" s="13">
        <f t="shared" si="89"/>
        <v>127.68713506014205</v>
      </c>
      <c r="AL77" s="20">
        <f t="shared" si="58"/>
        <v>1234.7426268964139</v>
      </c>
      <c r="AM77" s="59">
        <f t="shared" si="59"/>
        <v>1528.0759602297471</v>
      </c>
      <c r="AN77" s="59">
        <f ca="1">AVERAGE(OFFSET($AM$3,0,0,'Données projet'!$E$10+1,1))-AVERAGE(OFFSET($H$3,0,0,'Données projet'!$E$10+1,1))</f>
        <v>465.77577582457678</v>
      </c>
      <c r="AO77" s="59">
        <f t="shared" si="90"/>
        <v>301.15495784503042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48.38961076417727</v>
      </c>
      <c r="AV77" s="21">
        <f>EXP(-LN(2)/25)*AV76+(1-EXP(-LN(2)/25))/(LN(2)/25)*Calculateur!AQ77*Calculateur!AS77*VLOOKUP('Données projet'!$B$10,Paramètres!$A$1:$I$89,3,0)*0.475*44/12</f>
        <v>26.792129513829774</v>
      </c>
      <c r="AW77" s="21">
        <f>EXP(-LN(2)/2)*AW76+(1-EXP(-LN(2)/2))/(LN(2)/2)*AQ77*AT77*VLOOKUP('Données projet'!$B$10,Paramètres!$A$1:$I$89,3,0)*0.475*44/12</f>
        <v>0.40650007326862231</v>
      </c>
      <c r="AX77" s="21">
        <f t="shared" si="60"/>
        <v>75.588240351275658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273.00000000000023</v>
      </c>
      <c r="BE77" s="13">
        <f>BD77*VLOOKUP('Données projet'!$B$11,Paramètres!$A$1:$I$89,3,0)*VLOOKUP('Données projet'!$B$11,Paramètres!$A$1:$I$89,5,0)</f>
        <v>212.9400000000002</v>
      </c>
      <c r="BF77" s="13">
        <f t="shared" si="91"/>
        <v>52.577528895212915</v>
      </c>
      <c r="BG77" s="20">
        <f t="shared" si="61"/>
        <v>462.44302949249618</v>
      </c>
      <c r="BH77" s="59">
        <f t="shared" si="62"/>
        <v>755.77636282582944</v>
      </c>
      <c r="BI77" s="59">
        <f ca="1">AVERAGE(OFFSET($BH$3,0,0,'Données projet'!$E$11+1,1))-AVERAGE(OFFSET($H$3,0,0,'Données projet'!$E$11+1,1))</f>
        <v>219.5868031007679</v>
      </c>
      <c r="BJ77" s="59">
        <f t="shared" si="92"/>
        <v>263.3830219837742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24.736962429203803</v>
      </c>
      <c r="BQ77" s="21">
        <f>EXP(-LN(2)/25)*BQ76+(1-EXP(-LN(2)/25))/(LN(2)/25)*Calculateur!BL77*Calculateur!BN77*VLOOKUP('Données projet'!$B$11,Paramètres!$A$1:$I$89,3,0)*0.475*44/12</f>
        <v>4.0240445340311659</v>
      </c>
      <c r="BR77" s="21">
        <f>EXP(-LN(2)/2)*BR76+(1-EXP(-LN(2)/2))/(LN(2)/2)*BL77*BO77*VLOOKUP('Données projet'!$B$11,Paramètres!$A$1:$I$89,3,0)*0.475*44/12</f>
        <v>3.8393154433173093E-2</v>
      </c>
      <c r="BS77" s="22">
        <f t="shared" si="63"/>
        <v>28.799400117668142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243.99999999999989</v>
      </c>
      <c r="BZ77" s="13">
        <f>BY77*VLOOKUP('Données projet'!$B$12,Paramètres!$A$1:$I$89,3,0)*VLOOKUP('Données projet'!$B$12,Paramètres!$A$1:$I$89,5,0)</f>
        <v>262.64159999999987</v>
      </c>
      <c r="CA77" s="13">
        <f t="shared" si="93"/>
        <v>63.285128621471941</v>
      </c>
      <c r="CB77" s="20">
        <f t="shared" si="64"/>
        <v>567.65571901573003</v>
      </c>
      <c r="CC77" s="59">
        <f t="shared" si="65"/>
        <v>860.98905234906329</v>
      </c>
      <c r="CD77" s="59">
        <f ca="1">AVERAGE(OFFSET($CC$3,0,0,'Données projet'!$E$12+1,1))-AVERAGE(OFFSET($H$3,0,0,'Données projet'!$E$12+1,1))</f>
        <v>244.7364260963538</v>
      </c>
      <c r="CE77" s="59">
        <f t="shared" si="94"/>
        <v>270.32853612539299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27.106431993695736</v>
      </c>
      <c r="CL77" s="21">
        <f>EXP(-LN(2)/25)*CL76+(1-EXP(-LN(2)/25))/(LN(2)/25)*Calculateur!CG77*Calculateur!CI77*VLOOKUP('Données projet'!$B$12,Paramètres!$A$1:$I$89,3,0)*0.475*44/12</f>
        <v>4.431311511261864</v>
      </c>
      <c r="CM77" s="21">
        <f>EXP(-LN(2)/2)*CM76+(1-EXP(-LN(2)/2))/(LN(2)/2)*CG77*CJ77*VLOOKUP('Données projet'!$B$12,Paramètres!$A$1:$I$89,3,0)*0.475*44/12</f>
        <v>3.980878876402328E-2</v>
      </c>
      <c r="CN77" s="22">
        <f t="shared" si="66"/>
        <v>31.577552293721624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243.99999999999989</v>
      </c>
      <c r="CU77" s="17">
        <f>CT77*VLOOKUP('Données projet'!$B$13,Paramètres!$A$1:$I$89,3,0)*VLOOKUP('Données projet'!$B$13,Paramètres!$A$1:$I$89,5,0)</f>
        <v>235.99679999999987</v>
      </c>
      <c r="CV77" s="13">
        <f t="shared" si="95"/>
        <v>57.577381127598322</v>
      </c>
      <c r="CW77" s="20">
        <f t="shared" si="67"/>
        <v>511.30836546390015</v>
      </c>
      <c r="CX77" s="59">
        <f t="shared" si="68"/>
        <v>804.6416987972334</v>
      </c>
      <c r="CY77" s="59">
        <f ca="1">AVERAGE(OFFSET($CX$3,0,0,'Données projet'!$E$13+1,1))-AVERAGE(OFFSET($H$3,0,0,'Données projet'!$E$13+1,1))</f>
        <v>216.39536568500222</v>
      </c>
      <c r="CZ77" s="59">
        <f t="shared" si="96"/>
        <v>239.44686980897467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24.356504110277335</v>
      </c>
      <c r="DG77" s="21">
        <f>EXP(-LN(2)/25)*DG76+(1-EXP(-LN(2)/25))/(LN(2)/25)*Calculateur!DB77*Calculateur!DD77*VLOOKUP('Données projet'!$B$13,Paramètres!$A$1:$I$89,3,0)*0.475*44/12</f>
        <v>3.981758169539646</v>
      </c>
      <c r="DH77" s="21">
        <f>EXP(-LN(2)/2)*DH76+(1-EXP(-LN(2)/2))/(LN(2)/2)*DB77*DE77*VLOOKUP('Données projet'!$B$13,Paramètres!$A$1:$I$89,3,0)*0.475*44/12</f>
        <v>3.5770215990861463E-2</v>
      </c>
      <c r="DI77" s="22">
        <f t="shared" si="69"/>
        <v>28.374032495807842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44.459999999999951</v>
      </c>
      <c r="D78" s="11">
        <f t="shared" si="86"/>
        <v>13.173399977011842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444.8894033313191</v>
      </c>
      <c r="H78" s="67">
        <f t="shared" si="56"/>
        <v>393.71150495996216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312</v>
      </c>
      <c r="L78" s="12">
        <f>VLOOKUP(A78,'Données projet'!$A$35:$I$55,9,0)</f>
        <v>7.6</v>
      </c>
      <c r="M78" s="12">
        <f t="array" ref="M78">INDEX(L:L,MIN(IF(ISNUMBER(L78:L274),ROW(L78:L274),"")))</f>
        <v>7.6</v>
      </c>
      <c r="N78" s="13">
        <f>IF('Données projet'!$A$36&gt;35,N77+M78-V77,IF(A78&lt;'Données projet'!$A$36,$K$205^A78,IF(A78='Données projet'!$A$36,'Données projet'!$B$36,N77+M78-V77)))</f>
        <v>312.00000000000006</v>
      </c>
      <c r="O78" s="13">
        <f>N78*VLOOKUP('Données projet'!$B$9,Paramètres!$A$1:$I$89,3,0)*VLOOKUP('Données projet'!$B$9,Paramètres!$A$1:$I$89,5,0)</f>
        <v>282.29760000000005</v>
      </c>
      <c r="P78" s="13">
        <f t="shared" si="87"/>
        <v>67.452326629470178</v>
      </c>
      <c r="Q78" s="20">
        <f t="shared" si="54"/>
        <v>609.14778887966054</v>
      </c>
      <c r="R78" s="59">
        <f t="shared" si="55"/>
        <v>902.4811222129938</v>
      </c>
      <c r="S78" s="59">
        <f ca="1">AVERAGE(OFFSET($R$3,0,0,'Données projet'!$E$9+1,1))-AVERAGE(OFFSET($H$3,0,0,'Données projet'!$E$9+1,1))</f>
        <v>330.30341204367602</v>
      </c>
      <c r="T78" s="59">
        <f t="shared" si="88"/>
        <v>200.36653694091007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28</v>
      </c>
      <c r="W78" s="16">
        <f>IF(ISNA(VLOOKUP(A78,'Données projet'!$A$35:$I$55,5,0)),0%,VLOOKUP(A78,'Données projet'!$A$35:$I$55,5,0)*VLOOKUP('Données projet'!$B$9,Paramètres!$A$1:$I$89,7,0))</f>
        <v>0.34400000000000003</v>
      </c>
      <c r="X78" s="16">
        <f>IF(ISNA(VLOOKUP(A78,'Données projet'!$A$35:$I$55,6,0)),0%,VLOOKUP(A78,'Données projet'!$A$35:$I$55,6,0)*VLOOKUP('Données projet'!$B$9,Paramètres!$A$1:$I$89,7,0))</f>
        <v>1.72E-2</v>
      </c>
      <c r="Y78" s="16">
        <f>IF(ISNA(VLOOKUP(A78,'Données projet'!$A$35:$I$55,7,0)),0%,VLOOKUP(A78,'Données projet'!$A$35:$I$55,7,0))</f>
        <v>0.06</v>
      </c>
      <c r="Z78" s="21">
        <f>EXP(-LN(2)/35)*Z77+(1-EXP(-LN(2)/35))/(LN(2)/35)*V78*W78*VLOOKUP('Données projet'!$B$9,Paramètres!$A$1:$I$89,3,0)*0.475*44/12</f>
        <v>52.887975793568017</v>
      </c>
      <c r="AA78" s="21">
        <f>EXP(-LN(2)/25)*AA77+(1-EXP(-LN(2)/25))/(LN(2)/25)*Calculateur!V78*Calculateur!X78*VLOOKUP('Données projet'!$B$9,Paramètres!$A$1:$I$89,3,0)*0.475*44/12</f>
        <v>2.9822350553228252</v>
      </c>
      <c r="AB78" s="21">
        <f>EXP(-LN(2)/2)*AB77+(1-EXP(-LN(2)/2))/(LN(2)/2)*V78*Y78*VLOOKUP('Données projet'!$B$9,Paramètres!$A$1:$I$89,3,0)*0.475*44/12</f>
        <v>1.742210821143422</v>
      </c>
      <c r="AC78" s="22">
        <f t="shared" si="57"/>
        <v>57.612421670034266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971.99999999999977</v>
      </c>
      <c r="AJ78" s="13">
        <f>AI78*VLOOKUP('Données projet'!$B$10,Paramètres!$A$1:$I$89,3,0)*VLOOKUP('Données projet'!$B$10,Paramètres!$A$1:$I$89,5,0)</f>
        <v>581.25599999999986</v>
      </c>
      <c r="AK78" s="13">
        <f t="shared" si="89"/>
        <v>127.68713506014205</v>
      </c>
      <c r="AL78" s="20">
        <f t="shared" si="58"/>
        <v>1234.7426268964139</v>
      </c>
      <c r="AM78" s="59">
        <f t="shared" si="59"/>
        <v>1528.0759602297471</v>
      </c>
      <c r="AN78" s="59">
        <f ca="1">AVERAGE(OFFSET($AM$3,0,0,'Données projet'!$E$10+1,1))-AVERAGE(OFFSET($H$3,0,0,'Données projet'!$E$10+1,1))</f>
        <v>465.77577582457678</v>
      </c>
      <c r="AO78" s="59">
        <f t="shared" si="90"/>
        <v>301.15495784503042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47.440720011839979</v>
      </c>
      <c r="AV78" s="21">
        <f>EXP(-LN(2)/25)*AV77+(1-EXP(-LN(2)/25))/(LN(2)/25)*Calculateur!AQ78*Calculateur!AS78*VLOOKUP('Données projet'!$B$10,Paramètres!$A$1:$I$89,3,0)*0.475*44/12</f>
        <v>26.059497323337244</v>
      </c>
      <c r="AW78" s="21">
        <f>EXP(-LN(2)/2)*AW77+(1-EXP(-LN(2)/2))/(LN(2)/2)*AQ78*AT78*VLOOKUP('Données projet'!$B$10,Paramètres!$A$1:$I$89,3,0)*0.475*44/12</f>
        <v>0.28743895836107125</v>
      </c>
      <c r="AX78" s="21">
        <f t="shared" si="60"/>
        <v>73.787656293538291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273.00000000000023</v>
      </c>
      <c r="BE78" s="13">
        <f>BD78*VLOOKUP('Données projet'!$B$11,Paramètres!$A$1:$I$89,3,0)*VLOOKUP('Données projet'!$B$11,Paramètres!$A$1:$I$89,5,0)</f>
        <v>212.9400000000002</v>
      </c>
      <c r="BF78" s="13">
        <f t="shared" si="91"/>
        <v>52.577528895212915</v>
      </c>
      <c r="BG78" s="20">
        <f t="shared" si="61"/>
        <v>462.44302949249618</v>
      </c>
      <c r="BH78" s="59">
        <f t="shared" si="62"/>
        <v>755.77636282582944</v>
      </c>
      <c r="BI78" s="59">
        <f ca="1">AVERAGE(OFFSET($BH$3,0,0,'Données projet'!$E$11+1,1))-AVERAGE(OFFSET($H$3,0,0,'Données projet'!$E$11+1,1))</f>
        <v>219.5868031007679</v>
      </c>
      <c r="BJ78" s="59">
        <f t="shared" si="92"/>
        <v>263.3830219837742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24.251885684024376</v>
      </c>
      <c r="BQ78" s="21">
        <f>EXP(-LN(2)/25)*BQ77+(1-EXP(-LN(2)/25))/(LN(2)/25)*Calculateur!BL78*Calculateur!BN78*VLOOKUP('Données projet'!$B$11,Paramètres!$A$1:$I$89,3,0)*0.475*44/12</f>
        <v>3.9140068246327786</v>
      </c>
      <c r="BR78" s="21">
        <f>EXP(-LN(2)/2)*BR77+(1-EXP(-LN(2)/2))/(LN(2)/2)*BL78*BO78*VLOOKUP('Données projet'!$B$11,Paramètres!$A$1:$I$89,3,0)*0.475*44/12</f>
        <v>2.7148059850839054E-2</v>
      </c>
      <c r="BS78" s="22">
        <f t="shared" si="63"/>
        <v>28.193040568507993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243.99999999999989</v>
      </c>
      <c r="BZ78" s="13">
        <f>BY78*VLOOKUP('Données projet'!$B$12,Paramètres!$A$1:$I$89,3,0)*VLOOKUP('Données projet'!$B$12,Paramètres!$A$1:$I$89,5,0)</f>
        <v>262.64159999999987</v>
      </c>
      <c r="CA78" s="13">
        <f t="shared" si="93"/>
        <v>63.285128621471941</v>
      </c>
      <c r="CB78" s="20">
        <f t="shared" si="64"/>
        <v>567.65571901573003</v>
      </c>
      <c r="CC78" s="59">
        <f t="shared" si="65"/>
        <v>860.98905234906329</v>
      </c>
      <c r="CD78" s="59">
        <f ca="1">AVERAGE(OFFSET($CC$3,0,0,'Données projet'!$E$12+1,1))-AVERAGE(OFFSET($H$3,0,0,'Données projet'!$E$12+1,1))</f>
        <v>244.7364260963538</v>
      </c>
      <c r="CE78" s="59">
        <f t="shared" si="94"/>
        <v>270.32853612539299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26.574891395590353</v>
      </c>
      <c r="CL78" s="21">
        <f>EXP(-LN(2)/25)*CL77+(1-EXP(-LN(2)/25))/(LN(2)/25)*Calculateur!CG78*Calculateur!CI78*VLOOKUP('Données projet'!$B$12,Paramètres!$A$1:$I$89,3,0)*0.475*44/12</f>
        <v>4.3101370649538637</v>
      </c>
      <c r="CM78" s="21">
        <f>EXP(-LN(2)/2)*CM77+(1-EXP(-LN(2)/2))/(LN(2)/2)*CG78*CJ78*VLOOKUP('Données projet'!$B$12,Paramètres!$A$1:$I$89,3,0)*0.475*44/12</f>
        <v>2.8149064485863701E-2</v>
      </c>
      <c r="CN78" s="22">
        <f t="shared" si="66"/>
        <v>30.913177525030079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243.99999999999989</v>
      </c>
      <c r="CU78" s="17">
        <f>CT78*VLOOKUP('Données projet'!$B$13,Paramètres!$A$1:$I$89,3,0)*VLOOKUP('Données projet'!$B$13,Paramètres!$A$1:$I$89,5,0)</f>
        <v>235.99679999999987</v>
      </c>
      <c r="CV78" s="13">
        <f t="shared" si="95"/>
        <v>57.577381127598322</v>
      </c>
      <c r="CW78" s="20">
        <f t="shared" si="67"/>
        <v>511.30836546390015</v>
      </c>
      <c r="CX78" s="59">
        <f t="shared" si="68"/>
        <v>804.6416987972334</v>
      </c>
      <c r="CY78" s="59">
        <f ca="1">AVERAGE(OFFSET($CX$3,0,0,'Données projet'!$E$13+1,1))-AVERAGE(OFFSET($H$3,0,0,'Données projet'!$E$13+1,1))</f>
        <v>216.39536568500222</v>
      </c>
      <c r="CZ78" s="59">
        <f t="shared" si="96"/>
        <v>239.44686980897467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23.878887920675396</v>
      </c>
      <c r="DG78" s="21">
        <f>EXP(-LN(2)/25)*DG77+(1-EXP(-LN(2)/25))/(LN(2)/25)*Calculateur!DB78*Calculateur!DD78*VLOOKUP('Données projet'!$B$13,Paramètres!$A$1:$I$89,3,0)*0.475*44/12</f>
        <v>3.8728767830020225</v>
      </c>
      <c r="DH78" s="21">
        <f>EXP(-LN(2)/2)*DH77+(1-EXP(-LN(2)/2))/(LN(2)/2)*DB78*DE78*VLOOKUP('Données projet'!$B$13,Paramètres!$A$1:$I$89,3,0)*0.475*44/12</f>
        <v>2.5293362291645621E-2</v>
      </c>
      <c r="DI78" s="22">
        <f t="shared" si="69"/>
        <v>27.777058065969065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45.052799999999948</v>
      </c>
      <c r="D79" s="11">
        <f t="shared" si="86"/>
        <v>13.32848035129909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450.66251499248386</v>
      </c>
      <c r="H79" s="67">
        <f t="shared" si="56"/>
        <v>395.01406327851248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7.2</v>
      </c>
      <c r="N79" s="13">
        <f>IF('Données projet'!$A$36&gt;35,N78+M79-V78,IF(A79&lt;'Données projet'!$A$36,$K$205^A79,IF(A79='Données projet'!$A$36,'Données projet'!$B$36,N78+M79-V78)))</f>
        <v>291.20000000000005</v>
      </c>
      <c r="O79" s="13">
        <f>N79*VLOOKUP('Données projet'!$B$9,Paramètres!$A$1:$I$89,3,0)*VLOOKUP('Données projet'!$B$9,Paramètres!$A$1:$I$89,5,0)</f>
        <v>263.47776000000005</v>
      </c>
      <c r="P79" s="13">
        <f t="shared" si="87"/>
        <v>63.46312159763346</v>
      </c>
      <c r="Q79" s="20">
        <f t="shared" si="54"/>
        <v>569.42203544921165</v>
      </c>
      <c r="R79" s="59">
        <f t="shared" si="55"/>
        <v>862.75536878254502</v>
      </c>
      <c r="S79" s="59">
        <f ca="1">AVERAGE(OFFSET($R$3,0,0,'Données projet'!$E$9+1,1))-AVERAGE(OFFSET($H$3,0,0,'Données projet'!$E$9+1,1))</f>
        <v>330.30341204367602</v>
      </c>
      <c r="T79" s="59">
        <f t="shared" si="88"/>
        <v>200.36653694091007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51.850874846736126</v>
      </c>
      <c r="AA79" s="21">
        <f>EXP(-LN(2)/25)*AA78+(1-EXP(-LN(2)/25))/(LN(2)/25)*Calculateur!V79*Calculateur!X79*VLOOKUP('Données projet'!$B$9,Paramètres!$A$1:$I$89,3,0)*0.475*44/12</f>
        <v>2.900685680906097</v>
      </c>
      <c r="AB79" s="21">
        <f>EXP(-LN(2)/2)*AB78+(1-EXP(-LN(2)/2))/(LN(2)/2)*V79*Y79*VLOOKUP('Données projet'!$B$9,Paramètres!$A$1:$I$89,3,0)*0.475*44/12</f>
        <v>1.231929085887097</v>
      </c>
      <c r="AC79" s="22">
        <f t="shared" si="57"/>
        <v>55.983489613529322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971.99999999999977</v>
      </c>
      <c r="AJ79" s="13">
        <f>AI79*VLOOKUP('Données projet'!$B$10,Paramètres!$A$1:$I$89,3,0)*VLOOKUP('Données projet'!$B$10,Paramètres!$A$1:$I$89,5,0)</f>
        <v>581.25599999999986</v>
      </c>
      <c r="AK79" s="13">
        <f t="shared" si="89"/>
        <v>127.68713506014205</v>
      </c>
      <c r="AL79" s="20">
        <f t="shared" si="58"/>
        <v>1234.7426268964139</v>
      </c>
      <c r="AM79" s="59">
        <f t="shared" si="59"/>
        <v>1528.0759602297471</v>
      </c>
      <c r="AN79" s="59">
        <f ca="1">AVERAGE(OFFSET($AM$3,0,0,'Données projet'!$E$10+1,1))-AVERAGE(OFFSET($H$3,0,0,'Données projet'!$E$10+1,1))</f>
        <v>465.77577582457678</v>
      </c>
      <c r="AO79" s="59">
        <f t="shared" si="90"/>
        <v>301.15495784503042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46.510436428389816</v>
      </c>
      <c r="AV79" s="21">
        <f>EXP(-LN(2)/25)*AV78+(1-EXP(-LN(2)/25))/(LN(2)/25)*Calculateur!AQ79*Calculateur!AS79*VLOOKUP('Données projet'!$B$10,Paramètres!$A$1:$I$89,3,0)*0.475*44/12</f>
        <v>25.346898998621182</v>
      </c>
      <c r="AW79" s="21">
        <f>EXP(-LN(2)/2)*AW78+(1-EXP(-LN(2)/2))/(LN(2)/2)*AQ79*AT79*VLOOKUP('Données projet'!$B$10,Paramètres!$A$1:$I$89,3,0)*0.475*44/12</f>
        <v>0.20325003663431115</v>
      </c>
      <c r="AX79" s="21">
        <f t="shared" si="60"/>
        <v>72.06058546364531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273.00000000000023</v>
      </c>
      <c r="BE79" s="13">
        <f>BD79*VLOOKUP('Données projet'!$B$11,Paramètres!$A$1:$I$89,3,0)*VLOOKUP('Données projet'!$B$11,Paramètres!$A$1:$I$89,5,0)</f>
        <v>212.9400000000002</v>
      </c>
      <c r="BF79" s="13">
        <f t="shared" si="91"/>
        <v>52.577528895212915</v>
      </c>
      <c r="BG79" s="20">
        <f t="shared" si="61"/>
        <v>462.44302949249618</v>
      </c>
      <c r="BH79" s="59">
        <f t="shared" si="62"/>
        <v>755.77636282582944</v>
      </c>
      <c r="BI79" s="59">
        <f ca="1">AVERAGE(OFFSET($BH$3,0,0,'Données projet'!$E$11+1,1))-AVERAGE(OFFSET($H$3,0,0,'Données projet'!$E$11+1,1))</f>
        <v>219.5868031007679</v>
      </c>
      <c r="BJ79" s="59">
        <f t="shared" si="92"/>
        <v>263.3830219837742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23.776320997950318</v>
      </c>
      <c r="BQ79" s="21">
        <f>EXP(-LN(2)/25)*BQ78+(1-EXP(-LN(2)/25))/(LN(2)/25)*Calculateur!BL79*Calculateur!BN79*VLOOKUP('Données projet'!$B$11,Paramètres!$A$1:$I$89,3,0)*0.475*44/12</f>
        <v>3.8069781021845222</v>
      </c>
      <c r="BR79" s="21">
        <f>EXP(-LN(2)/2)*BR78+(1-EXP(-LN(2)/2))/(LN(2)/2)*BL79*BO79*VLOOKUP('Données projet'!$B$11,Paramètres!$A$1:$I$89,3,0)*0.475*44/12</f>
        <v>1.9196577216586547E-2</v>
      </c>
      <c r="BS79" s="22">
        <f t="shared" si="63"/>
        <v>27.602495677351428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243.99999999999989</v>
      </c>
      <c r="BZ79" s="13">
        <f>BY79*VLOOKUP('Données projet'!$B$12,Paramètres!$A$1:$I$89,3,0)*VLOOKUP('Données projet'!$B$12,Paramètres!$A$1:$I$89,5,0)</f>
        <v>262.64159999999987</v>
      </c>
      <c r="CA79" s="13">
        <f t="shared" si="93"/>
        <v>63.285128621471941</v>
      </c>
      <c r="CB79" s="20">
        <f t="shared" si="64"/>
        <v>567.65571901573003</v>
      </c>
      <c r="CC79" s="59">
        <f t="shared" si="65"/>
        <v>860.98905234906329</v>
      </c>
      <c r="CD79" s="59">
        <f ca="1">AVERAGE(OFFSET($CC$3,0,0,'Données projet'!$E$12+1,1))-AVERAGE(OFFSET($H$3,0,0,'Données projet'!$E$12+1,1))</f>
        <v>244.7364260963538</v>
      </c>
      <c r="CE79" s="59">
        <f t="shared" si="94"/>
        <v>270.32853612539299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26.053773984406064</v>
      </c>
      <c r="CL79" s="21">
        <f>EXP(-LN(2)/25)*CL78+(1-EXP(-LN(2)/25))/(LN(2)/25)*Calculateur!CG79*Calculateur!CI79*VLOOKUP('Données projet'!$B$12,Paramètres!$A$1:$I$89,3,0)*0.475*44/12</f>
        <v>4.1922761402524431</v>
      </c>
      <c r="CM79" s="21">
        <f>EXP(-LN(2)/2)*CM78+(1-EXP(-LN(2)/2))/(LN(2)/2)*CG79*CJ79*VLOOKUP('Données projet'!$B$12,Paramètres!$A$1:$I$89,3,0)*0.475*44/12</f>
        <v>1.990439438201164E-2</v>
      </c>
      <c r="CN79" s="22">
        <f t="shared" si="66"/>
        <v>30.265954519040516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243.99999999999989</v>
      </c>
      <c r="CU79" s="17">
        <f>CT79*VLOOKUP('Données projet'!$B$13,Paramètres!$A$1:$I$89,3,0)*VLOOKUP('Données projet'!$B$13,Paramètres!$A$1:$I$89,5,0)</f>
        <v>235.99679999999987</v>
      </c>
      <c r="CV79" s="13">
        <f t="shared" si="95"/>
        <v>57.577381127598322</v>
      </c>
      <c r="CW79" s="20">
        <f t="shared" si="67"/>
        <v>511.30836546390015</v>
      </c>
      <c r="CX79" s="59">
        <f t="shared" si="68"/>
        <v>804.6416987972334</v>
      </c>
      <c r="CY79" s="59">
        <f ca="1">AVERAGE(OFFSET($CX$3,0,0,'Données projet'!$E$13+1,1))-AVERAGE(OFFSET($H$3,0,0,'Données projet'!$E$13+1,1))</f>
        <v>216.39536568500222</v>
      </c>
      <c r="CZ79" s="59">
        <f t="shared" si="96"/>
        <v>239.44686980897467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23.410637493234439</v>
      </c>
      <c r="DG79" s="21">
        <f>EXP(-LN(2)/25)*DG78+(1-EXP(-LN(2)/25))/(LN(2)/25)*Calculateur!DB79*Calculateur!DD79*VLOOKUP('Données projet'!$B$13,Paramètres!$A$1:$I$89,3,0)*0.475*44/12</f>
        <v>3.7669727637050938</v>
      </c>
      <c r="DH79" s="21">
        <f>EXP(-LN(2)/2)*DH78+(1-EXP(-LN(2)/2))/(LN(2)/2)*DB79*DE79*VLOOKUP('Données projet'!$B$13,Paramètres!$A$1:$I$89,3,0)*0.475*44/12</f>
        <v>1.7885107995430732E-2</v>
      </c>
      <c r="DI79" s="22">
        <f t="shared" si="69"/>
        <v>27.195495364934963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45.645599999999945</v>
      </c>
      <c r="D80" s="11">
        <f t="shared" si="86"/>
        <v>13.483323382303881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456.43379453006463</v>
      </c>
      <c r="H80" s="67">
        <f t="shared" si="56"/>
        <v>396.31620822417915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7.2</v>
      </c>
      <c r="N80" s="13">
        <f>IF('Données projet'!$A$36&gt;35,N79+M80-V79,IF(A80&lt;'Données projet'!$A$36,$K$205^A80,IF(A80='Données projet'!$A$36,'Données projet'!$B$36,N79+M80-V79)))</f>
        <v>298.40000000000003</v>
      </c>
      <c r="O80" s="13">
        <f>N80*VLOOKUP('Données projet'!$B$9,Paramètres!$A$1:$I$89,3,0)*VLOOKUP('Données projet'!$B$9,Paramètres!$A$1:$I$89,5,0)</f>
        <v>269.99232000000001</v>
      </c>
      <c r="P80" s="13">
        <f t="shared" si="87"/>
        <v>64.847639395310296</v>
      </c>
      <c r="Q80" s="20">
        <f t="shared" si="54"/>
        <v>583.17959594683214</v>
      </c>
      <c r="R80" s="59">
        <f t="shared" si="55"/>
        <v>876.51292928016551</v>
      </c>
      <c r="S80" s="59">
        <f ca="1">AVERAGE(OFFSET($R$3,0,0,'Données projet'!$E$9+1,1))-AVERAGE(OFFSET($H$3,0,0,'Données projet'!$E$9+1,1))</f>
        <v>330.30341204367602</v>
      </c>
      <c r="T80" s="59">
        <f t="shared" si="88"/>
        <v>200.36653694091007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50.834110816902488</v>
      </c>
      <c r="AA80" s="21">
        <f>EXP(-LN(2)/25)*AA79+(1-EXP(-LN(2)/25))/(LN(2)/25)*Calculateur!V80*Calculateur!X80*VLOOKUP('Données projet'!$B$9,Paramètres!$A$1:$I$89,3,0)*0.475*44/12</f>
        <v>2.8213662784212894</v>
      </c>
      <c r="AB80" s="21">
        <f>EXP(-LN(2)/2)*AB79+(1-EXP(-LN(2)/2))/(LN(2)/2)*V80*Y80*VLOOKUP('Données projet'!$B$9,Paramètres!$A$1:$I$89,3,0)*0.475*44/12</f>
        <v>0.87110541057171109</v>
      </c>
      <c r="AC80" s="22">
        <f t="shared" si="57"/>
        <v>54.526582505895483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971.99999999999977</v>
      </c>
      <c r="AJ80" s="13">
        <f>AI80*VLOOKUP('Données projet'!$B$10,Paramètres!$A$1:$I$89,3,0)*VLOOKUP('Données projet'!$B$10,Paramètres!$A$1:$I$89,5,0)</f>
        <v>581.25599999999986</v>
      </c>
      <c r="AK80" s="13">
        <f t="shared" si="89"/>
        <v>127.68713506014205</v>
      </c>
      <c r="AL80" s="20">
        <f t="shared" si="58"/>
        <v>1234.7426268964139</v>
      </c>
      <c r="AM80" s="59">
        <f t="shared" si="59"/>
        <v>1528.0759602297471</v>
      </c>
      <c r="AN80" s="59">
        <f ca="1">AVERAGE(OFFSET($AM$3,0,0,'Données projet'!$E$10+1,1))-AVERAGE(OFFSET($H$3,0,0,'Données projet'!$E$10+1,1))</f>
        <v>465.77577582457678</v>
      </c>
      <c r="AO80" s="59">
        <f t="shared" si="90"/>
        <v>301.15495784503042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45.59839513859415</v>
      </c>
      <c r="AV80" s="21">
        <f>EXP(-LN(2)/25)*AV79+(1-EXP(-LN(2)/25))/(LN(2)/25)*Calculateur!AQ80*Calculateur!AS80*VLOOKUP('Données projet'!$B$10,Paramètres!$A$1:$I$89,3,0)*0.475*44/12</f>
        <v>24.653786712568397</v>
      </c>
      <c r="AW80" s="21">
        <f>EXP(-LN(2)/2)*AW79+(1-EXP(-LN(2)/2))/(LN(2)/2)*AQ80*AT80*VLOOKUP('Données projet'!$B$10,Paramètres!$A$1:$I$89,3,0)*0.475*44/12</f>
        <v>0.14371947918053563</v>
      </c>
      <c r="AX80" s="21">
        <f t="shared" si="60"/>
        <v>70.395901330343079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273.00000000000023</v>
      </c>
      <c r="BE80" s="13">
        <f>BD80*VLOOKUP('Données projet'!$B$11,Paramètres!$A$1:$I$89,3,0)*VLOOKUP('Données projet'!$B$11,Paramètres!$A$1:$I$89,5,0)</f>
        <v>212.9400000000002</v>
      </c>
      <c r="BF80" s="13">
        <f t="shared" si="91"/>
        <v>52.577528895212915</v>
      </c>
      <c r="BG80" s="20">
        <f t="shared" si="61"/>
        <v>462.44302949249618</v>
      </c>
      <c r="BH80" s="59">
        <f t="shared" si="62"/>
        <v>755.77636282582944</v>
      </c>
      <c r="BI80" s="59">
        <f ca="1">AVERAGE(OFFSET($BH$3,0,0,'Données projet'!$E$11+1,1))-AVERAGE(OFFSET($H$3,0,0,'Données projet'!$E$11+1,1))</f>
        <v>219.5868031007679</v>
      </c>
      <c r="BJ80" s="59">
        <f t="shared" si="92"/>
        <v>263.3830219837742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23.310081845304357</v>
      </c>
      <c r="BQ80" s="21">
        <f>EXP(-LN(2)/25)*BQ79+(1-EXP(-LN(2)/25))/(LN(2)/25)*Calculateur!BL80*Calculateur!BN80*VLOOKUP('Données projet'!$B$11,Paramètres!$A$1:$I$89,3,0)*0.475*44/12</f>
        <v>3.7028760857800092</v>
      </c>
      <c r="BR80" s="21">
        <f>EXP(-LN(2)/2)*BR79+(1-EXP(-LN(2)/2))/(LN(2)/2)*BL80*BO80*VLOOKUP('Données projet'!$B$11,Paramètres!$A$1:$I$89,3,0)*0.475*44/12</f>
        <v>1.3574029925419527E-2</v>
      </c>
      <c r="BS80" s="22">
        <f t="shared" si="63"/>
        <v>27.026531961009784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243.99999999999989</v>
      </c>
      <c r="BZ80" s="13">
        <f>BY80*VLOOKUP('Données projet'!$B$12,Paramètres!$A$1:$I$89,3,0)*VLOOKUP('Données projet'!$B$12,Paramètres!$A$1:$I$89,5,0)</f>
        <v>262.64159999999987</v>
      </c>
      <c r="CA80" s="13">
        <f t="shared" si="93"/>
        <v>63.285128621471941</v>
      </c>
      <c r="CB80" s="20">
        <f t="shared" si="64"/>
        <v>567.65571901573003</v>
      </c>
      <c r="CC80" s="59">
        <f t="shared" si="65"/>
        <v>860.98905234906329</v>
      </c>
      <c r="CD80" s="59">
        <f ca="1">AVERAGE(OFFSET($CC$3,0,0,'Données projet'!$E$12+1,1))-AVERAGE(OFFSET($H$3,0,0,'Données projet'!$E$12+1,1))</f>
        <v>244.7364260963538</v>
      </c>
      <c r="CE80" s="59">
        <f t="shared" si="94"/>
        <v>270.32853612539299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25.542875367804861</v>
      </c>
      <c r="CL80" s="21">
        <f>EXP(-LN(2)/25)*CL79+(1-EXP(-LN(2)/25))/(LN(2)/25)*Calculateur!CG80*Calculateur!CI80*VLOOKUP('Données projet'!$B$12,Paramètres!$A$1:$I$89,3,0)*0.475*44/12</f>
        <v>4.0776381287350194</v>
      </c>
      <c r="CM80" s="21">
        <f>EXP(-LN(2)/2)*CM79+(1-EXP(-LN(2)/2))/(LN(2)/2)*CG80*CJ80*VLOOKUP('Données projet'!$B$12,Paramètres!$A$1:$I$89,3,0)*0.475*44/12</f>
        <v>1.4074532242931851E-2</v>
      </c>
      <c r="CN80" s="22">
        <f t="shared" si="66"/>
        <v>29.634588028782812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243.99999999999989</v>
      </c>
      <c r="CU80" s="17">
        <f>CT80*VLOOKUP('Données projet'!$B$13,Paramètres!$A$1:$I$89,3,0)*VLOOKUP('Données projet'!$B$13,Paramètres!$A$1:$I$89,5,0)</f>
        <v>235.99679999999987</v>
      </c>
      <c r="CV80" s="13">
        <f t="shared" si="95"/>
        <v>57.577381127598322</v>
      </c>
      <c r="CW80" s="20">
        <f t="shared" si="67"/>
        <v>511.30836546390015</v>
      </c>
      <c r="CX80" s="59">
        <f t="shared" si="68"/>
        <v>804.6416987972334</v>
      </c>
      <c r="CY80" s="59">
        <f ca="1">AVERAGE(OFFSET($CX$3,0,0,'Données projet'!$E$13+1,1))-AVERAGE(OFFSET($H$3,0,0,'Données projet'!$E$13+1,1))</f>
        <v>216.39536568500222</v>
      </c>
      <c r="CZ80" s="59">
        <f t="shared" si="96"/>
        <v>239.44686980897467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22.951569171071043</v>
      </c>
      <c r="DG80" s="21">
        <f>EXP(-LN(2)/25)*DG79+(1-EXP(-LN(2)/25))/(LN(2)/25)*Calculateur!DB80*Calculateur!DD80*VLOOKUP('Données projet'!$B$13,Paramètres!$A$1:$I$89,3,0)*0.475*44/12</f>
        <v>3.66396469538509</v>
      </c>
      <c r="DH80" s="21">
        <f>EXP(-LN(2)/2)*DH79+(1-EXP(-LN(2)/2))/(LN(2)/2)*DB80*DE80*VLOOKUP('Données projet'!$B$13,Paramètres!$A$1:$I$89,3,0)*0.475*44/12</f>
        <v>1.264668114582281E-2</v>
      </c>
      <c r="DI80" s="22">
        <f t="shared" si="69"/>
        <v>26.628180547601957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46.238399999999942</v>
      </c>
      <c r="D81" s="11">
        <f t="shared" si="86"/>
        <v>13.637932508790342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462.20326848890744</v>
      </c>
      <c r="H81" s="67">
        <f t="shared" si="56"/>
        <v>397.61794578614308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7.2</v>
      </c>
      <c r="N81" s="13">
        <f>IF('Données projet'!$A$36&gt;35,N80+M81-V80,IF(A81&lt;'Données projet'!$A$36,$K$205^A81,IF(A81='Données projet'!$A$36,'Données projet'!$B$36,N80+M81-V80)))</f>
        <v>305.60000000000002</v>
      </c>
      <c r="O81" s="13">
        <f>N81*VLOOKUP('Données projet'!$B$9,Paramètres!$A$1:$I$89,3,0)*VLOOKUP('Données projet'!$B$9,Paramètres!$A$1:$I$89,5,0)</f>
        <v>276.50687999999997</v>
      </c>
      <c r="P81" s="13">
        <f t="shared" si="87"/>
        <v>66.228273722513677</v>
      </c>
      <c r="Q81" s="20">
        <f t="shared" si="54"/>
        <v>596.93039273337797</v>
      </c>
      <c r="R81" s="59">
        <f t="shared" si="55"/>
        <v>890.26372606671134</v>
      </c>
      <c r="S81" s="59">
        <f ca="1">AVERAGE(OFFSET($R$3,0,0,'Données projet'!$E$9+1,1))-AVERAGE(OFFSET($H$3,0,0,'Données projet'!$E$9+1,1))</f>
        <v>330.30341204367602</v>
      </c>
      <c r="T81" s="59">
        <f t="shared" si="88"/>
        <v>200.36653694091007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49.837284909529068</v>
      </c>
      <c r="AA81" s="21">
        <f>EXP(-LN(2)/25)*AA80+(1-EXP(-LN(2)/25))/(LN(2)/25)*Calculateur!V81*Calculateur!X81*VLOOKUP('Données projet'!$B$9,Paramètres!$A$1:$I$89,3,0)*0.475*44/12</f>
        <v>2.7442158691686549</v>
      </c>
      <c r="AB81" s="21">
        <f>EXP(-LN(2)/2)*AB80+(1-EXP(-LN(2)/2))/(LN(2)/2)*V81*Y81*VLOOKUP('Données projet'!$B$9,Paramètres!$A$1:$I$89,3,0)*0.475*44/12</f>
        <v>0.61596454294354863</v>
      </c>
      <c r="AC81" s="22">
        <f t="shared" si="57"/>
        <v>53.197465321641275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971.99999999999977</v>
      </c>
      <c r="AJ81" s="13">
        <f>AI81*VLOOKUP('Données projet'!$B$10,Paramètres!$A$1:$I$89,3,0)*VLOOKUP('Données projet'!$B$10,Paramètres!$A$1:$I$89,5,0)</f>
        <v>581.25599999999986</v>
      </c>
      <c r="AK81" s="13">
        <f t="shared" si="89"/>
        <v>127.68713506014205</v>
      </c>
      <c r="AL81" s="20">
        <f t="shared" si="58"/>
        <v>1234.7426268964139</v>
      </c>
      <c r="AM81" s="59">
        <f t="shared" si="59"/>
        <v>1528.0759602297471</v>
      </c>
      <c r="AN81" s="59">
        <f ca="1">AVERAGE(OFFSET($AM$3,0,0,'Données projet'!$E$10+1,1))-AVERAGE(OFFSET($H$3,0,0,'Données projet'!$E$10+1,1))</f>
        <v>465.77577582457678</v>
      </c>
      <c r="AO81" s="59">
        <f t="shared" si="90"/>
        <v>301.15495784503042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44.704238422201122</v>
      </c>
      <c r="AV81" s="21">
        <f>EXP(-LN(2)/25)*AV80+(1-EXP(-LN(2)/25))/(LN(2)/25)*Calculateur!AQ81*Calculateur!AS81*VLOOKUP('Données projet'!$B$10,Paramètres!$A$1:$I$89,3,0)*0.475*44/12</f>
        <v>23.979627618426917</v>
      </c>
      <c r="AW81" s="21">
        <f>EXP(-LN(2)/2)*AW80+(1-EXP(-LN(2)/2))/(LN(2)/2)*AQ81*AT81*VLOOKUP('Données projet'!$B$10,Paramètres!$A$1:$I$89,3,0)*0.475*44/12</f>
        <v>0.10162501831715558</v>
      </c>
      <c r="AX81" s="21">
        <f t="shared" si="60"/>
        <v>68.785491058945183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273.00000000000023</v>
      </c>
      <c r="BE81" s="13">
        <f>BD81*VLOOKUP('Données projet'!$B$11,Paramètres!$A$1:$I$89,3,0)*VLOOKUP('Données projet'!$B$11,Paramètres!$A$1:$I$89,5,0)</f>
        <v>212.9400000000002</v>
      </c>
      <c r="BF81" s="13">
        <f t="shared" si="91"/>
        <v>52.577528895212915</v>
      </c>
      <c r="BG81" s="20">
        <f t="shared" si="61"/>
        <v>462.44302949249618</v>
      </c>
      <c r="BH81" s="59">
        <f t="shared" si="62"/>
        <v>755.77636282582944</v>
      </c>
      <c r="BI81" s="59">
        <f ca="1">AVERAGE(OFFSET($BH$3,0,0,'Données projet'!$E$11+1,1))-AVERAGE(OFFSET($H$3,0,0,'Données projet'!$E$11+1,1))</f>
        <v>219.5868031007679</v>
      </c>
      <c r="BJ81" s="59">
        <f t="shared" si="92"/>
        <v>263.3830219837742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22.852985358063979</v>
      </c>
      <c r="BQ81" s="21">
        <f>EXP(-LN(2)/25)*BQ80+(1-EXP(-LN(2)/25))/(LN(2)/25)*Calculateur!BL81*Calculateur!BN81*VLOOKUP('Données projet'!$B$11,Paramètres!$A$1:$I$89,3,0)*0.475*44/12</f>
        <v>3.6016207444885646</v>
      </c>
      <c r="BR81" s="21">
        <f>EXP(-LN(2)/2)*BR80+(1-EXP(-LN(2)/2))/(LN(2)/2)*BL81*BO81*VLOOKUP('Données projet'!$B$11,Paramètres!$A$1:$I$89,3,0)*0.475*44/12</f>
        <v>9.5982886082932733E-3</v>
      </c>
      <c r="BS81" s="22">
        <f t="shared" si="63"/>
        <v>26.464204391160838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243.99999999999989</v>
      </c>
      <c r="BZ81" s="13">
        <f>BY81*VLOOKUP('Données projet'!$B$12,Paramètres!$A$1:$I$89,3,0)*VLOOKUP('Données projet'!$B$12,Paramètres!$A$1:$I$89,5,0)</f>
        <v>262.64159999999987</v>
      </c>
      <c r="CA81" s="13">
        <f t="shared" si="93"/>
        <v>63.285128621471941</v>
      </c>
      <c r="CB81" s="20">
        <f t="shared" si="64"/>
        <v>567.65571901573003</v>
      </c>
      <c r="CC81" s="59">
        <f t="shared" si="65"/>
        <v>860.98905234906329</v>
      </c>
      <c r="CD81" s="59">
        <f ca="1">AVERAGE(OFFSET($CC$3,0,0,'Données projet'!$E$12+1,1))-AVERAGE(OFFSET($H$3,0,0,'Données projet'!$E$12+1,1))</f>
        <v>244.7364260963538</v>
      </c>
      <c r="CE81" s="59">
        <f t="shared" si="94"/>
        <v>270.32853612539299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25.041995161457823</v>
      </c>
      <c r="CL81" s="21">
        <f>EXP(-LN(2)/25)*CL80+(1-EXP(-LN(2)/25))/(LN(2)/25)*Calculateur!CG81*Calculateur!CI81*VLOOKUP('Données projet'!$B$12,Paramètres!$A$1:$I$89,3,0)*0.475*44/12</f>
        <v>3.9661348996710908</v>
      </c>
      <c r="CM81" s="21">
        <f>EXP(-LN(2)/2)*CM80+(1-EXP(-LN(2)/2))/(LN(2)/2)*CG81*CJ81*VLOOKUP('Données projet'!$B$12,Paramètres!$A$1:$I$89,3,0)*0.475*44/12</f>
        <v>9.95219719100582E-3</v>
      </c>
      <c r="CN81" s="22">
        <f t="shared" si="66"/>
        <v>29.018082258319918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243.99999999999989</v>
      </c>
      <c r="CU81" s="17">
        <f>CT81*VLOOKUP('Données projet'!$B$13,Paramètres!$A$1:$I$89,3,0)*VLOOKUP('Données projet'!$B$13,Paramètres!$A$1:$I$89,5,0)</f>
        <v>235.99679999999987</v>
      </c>
      <c r="CV81" s="13">
        <f t="shared" si="95"/>
        <v>57.577381127598322</v>
      </c>
      <c r="CW81" s="20">
        <f t="shared" si="67"/>
        <v>511.30836546390015</v>
      </c>
      <c r="CX81" s="59">
        <f t="shared" si="68"/>
        <v>804.6416987972334</v>
      </c>
      <c r="CY81" s="59">
        <f ca="1">AVERAGE(OFFSET($CX$3,0,0,'Données projet'!$E$13+1,1))-AVERAGE(OFFSET($H$3,0,0,'Données projet'!$E$13+1,1))</f>
        <v>216.39536568500222</v>
      </c>
      <c r="CZ81" s="59">
        <f t="shared" si="96"/>
        <v>239.44686980897467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22.50150289870124</v>
      </c>
      <c r="DG81" s="21">
        <f>EXP(-LN(2)/25)*DG80+(1-EXP(-LN(2)/25))/(LN(2)/25)*Calculateur!DB81*Calculateur!DD81*VLOOKUP('Données projet'!$B$13,Paramètres!$A$1:$I$89,3,0)*0.475*44/12</f>
        <v>3.5637733881102553</v>
      </c>
      <c r="DH81" s="21">
        <f>EXP(-LN(2)/2)*DH80+(1-EXP(-LN(2)/2))/(LN(2)/2)*DB81*DE81*VLOOKUP('Données projet'!$B$13,Paramètres!$A$1:$I$89,3,0)*0.475*44/12</f>
        <v>8.9425539977153658E-3</v>
      </c>
      <c r="DI81" s="22">
        <f t="shared" si="69"/>
        <v>26.074218840809213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46.831199999999939</v>
      </c>
      <c r="D82" s="11">
        <f t="shared" si="86"/>
        <v>13.792311076279473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467.97096269408667</v>
      </c>
      <c r="H82" s="67">
        <f t="shared" si="56"/>
        <v>398.91928179118662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7.2</v>
      </c>
      <c r="N82" s="13">
        <f>IF('Données projet'!$A$36&gt;35,N81+M82-V81,IF(A82&lt;'Données projet'!$A$36,$K$205^A82,IF(A82='Données projet'!$A$36,'Données projet'!$B$36,N81+M82-V81)))</f>
        <v>312.8</v>
      </c>
      <c r="O82" s="13">
        <f>N82*VLOOKUP('Données projet'!$B$9,Paramètres!$A$1:$I$89,3,0)*VLOOKUP('Données projet'!$B$9,Paramètres!$A$1:$I$89,5,0)</f>
        <v>283.02144000000004</v>
      </c>
      <c r="P82" s="13">
        <f t="shared" si="87"/>
        <v>67.605126603830598</v>
      </c>
      <c r="Q82" s="20">
        <f t="shared" si="54"/>
        <v>610.67460350167164</v>
      </c>
      <c r="R82" s="59">
        <f t="shared" si="55"/>
        <v>904.00793683500501</v>
      </c>
      <c r="S82" s="59">
        <f ca="1">AVERAGE(OFFSET($R$3,0,0,'Données projet'!$E$9+1,1))-AVERAGE(OFFSET($H$3,0,0,'Données projet'!$E$9+1,1))</f>
        <v>330.30341204367602</v>
      </c>
      <c r="T82" s="59">
        <f t="shared" si="88"/>
        <v>200.36653694091007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48.860006150195467</v>
      </c>
      <c r="AA82" s="21">
        <f>EXP(-LN(2)/25)*AA81+(1-EXP(-LN(2)/25))/(LN(2)/25)*Calculateur!V82*Calculateur!X82*VLOOKUP('Données projet'!$B$9,Paramètres!$A$1:$I$89,3,0)*0.475*44/12</f>
        <v>2.6691751419141974</v>
      </c>
      <c r="AB82" s="21">
        <f>EXP(-LN(2)/2)*AB81+(1-EXP(-LN(2)/2))/(LN(2)/2)*V82*Y82*VLOOKUP('Données projet'!$B$9,Paramètres!$A$1:$I$89,3,0)*0.475*44/12</f>
        <v>0.4355527052858556</v>
      </c>
      <c r="AC82" s="22">
        <f t="shared" si="57"/>
        <v>51.96473399739552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971.99999999999977</v>
      </c>
      <c r="AJ82" s="13">
        <f>AI82*VLOOKUP('Données projet'!$B$10,Paramètres!$A$1:$I$89,3,0)*VLOOKUP('Données projet'!$B$10,Paramètres!$A$1:$I$89,5,0)</f>
        <v>581.25599999999986</v>
      </c>
      <c r="AK82" s="13">
        <f t="shared" si="89"/>
        <v>127.68713506014205</v>
      </c>
      <c r="AL82" s="20">
        <f t="shared" si="58"/>
        <v>1234.7426268964139</v>
      </c>
      <c r="AM82" s="59">
        <f t="shared" si="59"/>
        <v>1528.0759602297471</v>
      </c>
      <c r="AN82" s="59">
        <f ca="1">AVERAGE(OFFSET($AM$3,0,0,'Données projet'!$E$10+1,1))-AVERAGE(OFFSET($H$3,0,0,'Données projet'!$E$10+1,1))</f>
        <v>465.77577582457678</v>
      </c>
      <c r="AO82" s="59">
        <f t="shared" si="90"/>
        <v>301.15495784503042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43.827615573634816</v>
      </c>
      <c r="AV82" s="21">
        <f>EXP(-LN(2)/25)*AV81+(1-EXP(-LN(2)/25))/(LN(2)/25)*Calculateur!AQ82*Calculateur!AS82*VLOOKUP('Données projet'!$B$10,Paramètres!$A$1:$I$89,3,0)*0.475*44/12</f>
        <v>23.323903440167221</v>
      </c>
      <c r="AW82" s="21">
        <f>EXP(-LN(2)/2)*AW81+(1-EXP(-LN(2)/2))/(LN(2)/2)*AQ82*AT82*VLOOKUP('Données projet'!$B$10,Paramètres!$A$1:$I$89,3,0)*0.475*44/12</f>
        <v>7.1859739590267813E-2</v>
      </c>
      <c r="AX82" s="21">
        <f t="shared" si="60"/>
        <v>67.223378753392311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273.00000000000023</v>
      </c>
      <c r="BE82" s="13">
        <f>BD82*VLOOKUP('Données projet'!$B$11,Paramètres!$A$1:$I$89,3,0)*VLOOKUP('Données projet'!$B$11,Paramètres!$A$1:$I$89,5,0)</f>
        <v>212.9400000000002</v>
      </c>
      <c r="BF82" s="13">
        <f t="shared" si="91"/>
        <v>52.577528895212915</v>
      </c>
      <c r="BG82" s="20">
        <f t="shared" si="61"/>
        <v>462.44302949249618</v>
      </c>
      <c r="BH82" s="59">
        <f t="shared" si="62"/>
        <v>755.77636282582944</v>
      </c>
      <c r="BI82" s="59">
        <f ca="1">AVERAGE(OFFSET($BH$3,0,0,'Données projet'!$E$11+1,1))-AVERAGE(OFFSET($H$3,0,0,'Données projet'!$E$11+1,1))</f>
        <v>219.5868031007679</v>
      </c>
      <c r="BJ82" s="59">
        <f t="shared" si="92"/>
        <v>263.3830219837742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22.404852254137055</v>
      </c>
      <c r="BQ82" s="21">
        <f>EXP(-LN(2)/25)*BQ81+(1-EXP(-LN(2)/25))/(LN(2)/25)*Calculateur!BL82*Calculateur!BN82*VLOOKUP('Données projet'!$B$11,Paramètres!$A$1:$I$89,3,0)*0.475*44/12</f>
        <v>3.5031342358295214</v>
      </c>
      <c r="BR82" s="21">
        <f>EXP(-LN(2)/2)*BR81+(1-EXP(-LN(2)/2))/(LN(2)/2)*BL82*BO82*VLOOKUP('Données projet'!$B$11,Paramètres!$A$1:$I$89,3,0)*0.475*44/12</f>
        <v>6.7870149627097635E-3</v>
      </c>
      <c r="BS82" s="22">
        <f t="shared" si="63"/>
        <v>25.914773504929286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243.99999999999989</v>
      </c>
      <c r="BZ82" s="13">
        <f>BY82*VLOOKUP('Données projet'!$B$12,Paramètres!$A$1:$I$89,3,0)*VLOOKUP('Données projet'!$B$12,Paramètres!$A$1:$I$89,5,0)</f>
        <v>262.64159999999987</v>
      </c>
      <c r="CA82" s="13">
        <f t="shared" si="93"/>
        <v>63.285128621471941</v>
      </c>
      <c r="CB82" s="20">
        <f t="shared" si="64"/>
        <v>567.65571901573003</v>
      </c>
      <c r="CC82" s="59">
        <f t="shared" si="65"/>
        <v>860.98905234906329</v>
      </c>
      <c r="CD82" s="59">
        <f ca="1">AVERAGE(OFFSET($CC$3,0,0,'Données projet'!$E$12+1,1))-AVERAGE(OFFSET($H$3,0,0,'Données projet'!$E$12+1,1))</f>
        <v>244.7364260963538</v>
      </c>
      <c r="CE82" s="59">
        <f t="shared" si="94"/>
        <v>270.32853612539299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24.550936910450492</v>
      </c>
      <c r="CL82" s="21">
        <f>EXP(-LN(2)/25)*CL81+(1-EXP(-LN(2)/25))/(LN(2)/25)*Calculateur!CG82*Calculateur!CI82*VLOOKUP('Données projet'!$B$12,Paramètres!$A$1:$I$89,3,0)*0.475*44/12</f>
        <v>3.8576807322696149</v>
      </c>
      <c r="CM82" s="21">
        <f>EXP(-LN(2)/2)*CM81+(1-EXP(-LN(2)/2))/(LN(2)/2)*CG82*CJ82*VLOOKUP('Données projet'!$B$12,Paramètres!$A$1:$I$89,3,0)*0.475*44/12</f>
        <v>7.0372661214659253E-3</v>
      </c>
      <c r="CN82" s="22">
        <f t="shared" si="66"/>
        <v>28.415654908841571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243.99999999999989</v>
      </c>
      <c r="CU82" s="17">
        <f>CT82*VLOOKUP('Données projet'!$B$13,Paramètres!$A$1:$I$89,3,0)*VLOOKUP('Données projet'!$B$13,Paramètres!$A$1:$I$89,5,0)</f>
        <v>235.99679999999987</v>
      </c>
      <c r="CV82" s="13">
        <f t="shared" si="95"/>
        <v>57.577381127598322</v>
      </c>
      <c r="CW82" s="20">
        <f t="shared" si="67"/>
        <v>511.30836546390015</v>
      </c>
      <c r="CX82" s="59">
        <f t="shared" si="68"/>
        <v>804.6416987972334</v>
      </c>
      <c r="CY82" s="59">
        <f ca="1">AVERAGE(OFFSET($CX$3,0,0,'Données projet'!$E$13+1,1))-AVERAGE(OFFSET($H$3,0,0,'Données projet'!$E$13+1,1))</f>
        <v>216.39536568500222</v>
      </c>
      <c r="CZ82" s="59">
        <f t="shared" si="96"/>
        <v>239.44686980897467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22.060262151419288</v>
      </c>
      <c r="DG82" s="21">
        <f>EXP(-LN(2)/25)*DG81+(1-EXP(-LN(2)/25))/(LN(2)/25)*Calculateur!DB82*Calculateur!DD82*VLOOKUP('Données projet'!$B$13,Paramètres!$A$1:$I$89,3,0)*0.475*44/12</f>
        <v>3.466321817401683</v>
      </c>
      <c r="DH82" s="21">
        <f>EXP(-LN(2)/2)*DH81+(1-EXP(-LN(2)/2))/(LN(2)/2)*DB82*DE82*VLOOKUP('Données projet'!$B$13,Paramètres!$A$1:$I$89,3,0)*0.475*44/12</f>
        <v>6.3233405729114052E-3</v>
      </c>
      <c r="DI82" s="22">
        <f t="shared" si="69"/>
        <v>25.532907309393885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47.423999999999936</v>
      </c>
      <c r="D83" s="11">
        <f t="shared" si="86"/>
        <v>13.946462340725047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473.73690227928063</v>
      </c>
      <c r="H83" s="67">
        <f t="shared" si="56"/>
        <v>400.22022191009597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320</v>
      </c>
      <c r="L83" s="12">
        <f>VLOOKUP(A83,'Données projet'!$A$35:$I$55,9,0)</f>
        <v>7.2</v>
      </c>
      <c r="M83" s="12">
        <f t="array" ref="M83">INDEX(L:L,MIN(IF(ISNUMBER(L83:L279),ROW(L83:L279),"")))</f>
        <v>7.2</v>
      </c>
      <c r="N83" s="13">
        <f>IF('Données projet'!$A$36&gt;35,N82+M83-V82,IF(A83&lt;'Données projet'!$A$36,$K$205^A83,IF(A83='Données projet'!$A$36,'Données projet'!$B$36,N82+M83-V82)))</f>
        <v>320</v>
      </c>
      <c r="O83" s="13">
        <f>N83*VLOOKUP('Données projet'!$B$9,Paramètres!$A$1:$I$89,3,0)*VLOOKUP('Données projet'!$B$9,Paramètres!$A$1:$I$89,5,0)</f>
        <v>289.536</v>
      </c>
      <c r="P83" s="13">
        <f t="shared" si="87"/>
        <v>68.97829509904436</v>
      </c>
      <c r="Q83" s="20">
        <f t="shared" si="54"/>
        <v>624.41239729750225</v>
      </c>
      <c r="R83" s="59">
        <f t="shared" si="55"/>
        <v>917.74573063083562</v>
      </c>
      <c r="S83" s="59">
        <f ca="1">AVERAGE(OFFSET($R$3,0,0,'Données projet'!$E$9+1,1))-AVERAGE(OFFSET($H$3,0,0,'Données projet'!$E$9+1,1))</f>
        <v>330.30341204367602</v>
      </c>
      <c r="T83" s="59">
        <f t="shared" si="88"/>
        <v>200.36653694091007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28</v>
      </c>
      <c r="W83" s="16">
        <f>IF(ISNA(VLOOKUP(A83,'Données projet'!$A$35:$I$55,5,0)),0%,VLOOKUP(A83,'Données projet'!$A$35:$I$55,5,0)*VLOOKUP('Données projet'!$B$9,Paramètres!$A$1:$I$89,7,0))</f>
        <v>0.34400000000000003</v>
      </c>
      <c r="X83" s="16">
        <f>IF(ISNA(VLOOKUP(A83,'Données projet'!$A$35:$I$55,6,0)),0%,VLOOKUP(A83,'Données projet'!$A$35:$I$55,6,0)*VLOOKUP('Données projet'!$B$9,Paramètres!$A$1:$I$89,7,0))</f>
        <v>1.72E-2</v>
      </c>
      <c r="Y83" s="16">
        <f>IF(ISNA(VLOOKUP(A83,'Données projet'!$A$35:$I$55,7,0)),0%,VLOOKUP(A83,'Données projet'!$A$35:$I$55,7,0))</f>
        <v>0.06</v>
      </c>
      <c r="Z83" s="21">
        <f>EXP(-LN(2)/35)*Z82+(1-EXP(-LN(2)/35))/(LN(2)/35)*V83*W83*VLOOKUP('Données projet'!$B$9,Paramètres!$A$1:$I$89,3,0)*0.475*44/12</f>
        <v>57.536102732685627</v>
      </c>
      <c r="AA83" s="21">
        <f>EXP(-LN(2)/25)*AA82+(1-EXP(-LN(2)/25))/(LN(2)/25)*Calculateur!V83*Calculateur!X83*VLOOKUP('Données projet'!$B$9,Paramètres!$A$1:$I$89,3,0)*0.475*44/12</f>
        <v>3.0760003042842774</v>
      </c>
      <c r="AB83" s="21">
        <f>EXP(-LN(2)/2)*AB82+(1-EXP(-LN(2)/2))/(LN(2)/2)*V83*Y83*VLOOKUP('Données projet'!$B$9,Paramètres!$A$1:$I$89,3,0)*0.475*44/12</f>
        <v>1.7422035673944991</v>
      </c>
      <c r="AC83" s="22">
        <f t="shared" si="57"/>
        <v>62.354306604364403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971.99999999999977</v>
      </c>
      <c r="AJ83" s="13">
        <f>AI83*VLOOKUP('Données projet'!$B$10,Paramètres!$A$1:$I$89,3,0)*VLOOKUP('Données projet'!$B$10,Paramètres!$A$1:$I$89,5,0)</f>
        <v>581.25599999999986</v>
      </c>
      <c r="AK83" s="13">
        <f t="shared" si="89"/>
        <v>127.68713506014205</v>
      </c>
      <c r="AL83" s="20">
        <f t="shared" si="58"/>
        <v>1234.7426268964139</v>
      </c>
      <c r="AM83" s="59">
        <f t="shared" si="59"/>
        <v>1528.0759602297471</v>
      </c>
      <c r="AN83" s="59">
        <f ca="1">AVERAGE(OFFSET($AM$3,0,0,'Données projet'!$E$10+1,1))-AVERAGE(OFFSET($H$3,0,0,'Données projet'!$E$10+1,1))</f>
        <v>465.77577582457678</v>
      </c>
      <c r="AO83" s="59">
        <f t="shared" si="90"/>
        <v>301.15495784503042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42.96818276444175</v>
      </c>
      <c r="AV83" s="21">
        <f>EXP(-LN(2)/25)*AV82+(1-EXP(-LN(2)/25))/(LN(2)/25)*Calculateur!AQ83*Calculateur!AS83*VLOOKUP('Données projet'!$B$10,Paramètres!$A$1:$I$89,3,0)*0.475*44/12</f>
        <v>22.686110074045075</v>
      </c>
      <c r="AW83" s="21">
        <f>EXP(-LN(2)/2)*AW82+(1-EXP(-LN(2)/2))/(LN(2)/2)*AQ83*AT83*VLOOKUP('Données projet'!$B$10,Paramètres!$A$1:$I$89,3,0)*0.475*44/12</f>
        <v>5.0812509158577789E-2</v>
      </c>
      <c r="AX83" s="21">
        <f t="shared" si="60"/>
        <v>65.7051053476454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273.00000000000023</v>
      </c>
      <c r="BE83" s="13">
        <f>BD83*VLOOKUP('Données projet'!$B$11,Paramètres!$A$1:$I$89,3,0)*VLOOKUP('Données projet'!$B$11,Paramètres!$A$1:$I$89,5,0)</f>
        <v>212.9400000000002</v>
      </c>
      <c r="BF83" s="13">
        <f t="shared" si="91"/>
        <v>52.577528895212915</v>
      </c>
      <c r="BG83" s="20">
        <f t="shared" si="61"/>
        <v>462.44302949249618</v>
      </c>
      <c r="BH83" s="59">
        <f t="shared" si="62"/>
        <v>755.77636282582944</v>
      </c>
      <c r="BI83" s="59">
        <f ca="1">AVERAGE(OFFSET($BH$3,0,0,'Données projet'!$E$11+1,1))-AVERAGE(OFFSET($H$3,0,0,'Données projet'!$E$11+1,1))</f>
        <v>219.5868031007679</v>
      </c>
      <c r="BJ83" s="59">
        <f t="shared" si="92"/>
        <v>263.3830219837742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21.965506767043934</v>
      </c>
      <c r="BQ83" s="21">
        <f>EXP(-LN(2)/25)*BQ82+(1-EXP(-LN(2)/25))/(LN(2)/25)*Calculateur!BL83*Calculateur!BN83*VLOOKUP('Données projet'!$B$11,Paramètres!$A$1:$I$89,3,0)*0.475*44/12</f>
        <v>3.4073408459289403</v>
      </c>
      <c r="BR83" s="21">
        <f>EXP(-LN(2)/2)*BR82+(1-EXP(-LN(2)/2))/(LN(2)/2)*BL83*BO83*VLOOKUP('Données projet'!$B$11,Paramètres!$A$1:$I$89,3,0)*0.475*44/12</f>
        <v>4.7991443041466367E-3</v>
      </c>
      <c r="BS83" s="22">
        <f t="shared" si="63"/>
        <v>25.37764675727702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243.99999999999989</v>
      </c>
      <c r="BZ83" s="13">
        <f>BY83*VLOOKUP('Données projet'!$B$12,Paramètres!$A$1:$I$89,3,0)*VLOOKUP('Données projet'!$B$12,Paramètres!$A$1:$I$89,5,0)</f>
        <v>262.64159999999987</v>
      </c>
      <c r="CA83" s="13">
        <f t="shared" si="93"/>
        <v>63.285128621471941</v>
      </c>
      <c r="CB83" s="20">
        <f t="shared" si="64"/>
        <v>567.65571901573003</v>
      </c>
      <c r="CC83" s="59">
        <f t="shared" si="65"/>
        <v>860.98905234906329</v>
      </c>
      <c r="CD83" s="59">
        <f ca="1">AVERAGE(OFFSET($CC$3,0,0,'Données projet'!$E$12+1,1))-AVERAGE(OFFSET($H$3,0,0,'Données projet'!$E$12+1,1))</f>
        <v>244.7364260963538</v>
      </c>
      <c r="CE83" s="59">
        <f t="shared" si="94"/>
        <v>270.32853612539299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24.069508012229456</v>
      </c>
      <c r="CL83" s="21">
        <f>EXP(-LN(2)/25)*CL82+(1-EXP(-LN(2)/25))/(LN(2)/25)*Calculateur!CG83*Calculateur!CI83*VLOOKUP('Données projet'!$B$12,Paramètres!$A$1:$I$89,3,0)*0.475*44/12</f>
        <v>3.7521922497790894</v>
      </c>
      <c r="CM83" s="21">
        <f>EXP(-LN(2)/2)*CM82+(1-EXP(-LN(2)/2))/(LN(2)/2)*CG83*CJ83*VLOOKUP('Données projet'!$B$12,Paramètres!$A$1:$I$89,3,0)*0.475*44/12</f>
        <v>4.97609859550291E-3</v>
      </c>
      <c r="CN83" s="22">
        <f t="shared" si="66"/>
        <v>27.826676360604047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243.99999999999989</v>
      </c>
      <c r="CU83" s="17">
        <f>CT83*VLOOKUP('Données projet'!$B$13,Paramètres!$A$1:$I$89,3,0)*VLOOKUP('Données projet'!$B$13,Paramètres!$A$1:$I$89,5,0)</f>
        <v>235.99679999999987</v>
      </c>
      <c r="CV83" s="13">
        <f t="shared" si="95"/>
        <v>57.577381127598322</v>
      </c>
      <c r="CW83" s="20">
        <f t="shared" si="67"/>
        <v>511.30836546390015</v>
      </c>
      <c r="CX83" s="59">
        <f t="shared" si="68"/>
        <v>804.6416987972334</v>
      </c>
      <c r="CY83" s="59">
        <f ca="1">AVERAGE(OFFSET($CX$3,0,0,'Données projet'!$E$13+1,1))-AVERAGE(OFFSET($H$3,0,0,'Données projet'!$E$13+1,1))</f>
        <v>216.39536568500222</v>
      </c>
      <c r="CZ83" s="59">
        <f t="shared" si="96"/>
        <v>239.44686980897467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21.627673866061254</v>
      </c>
      <c r="DG83" s="21">
        <f>EXP(-LN(2)/25)*DG82+(1-EXP(-LN(2)/25))/(LN(2)/25)*Calculateur!DB83*Calculateur!DD83*VLOOKUP('Données projet'!$B$13,Paramètres!$A$1:$I$89,3,0)*0.475*44/12</f>
        <v>3.3715350650188918</v>
      </c>
      <c r="DH83" s="21">
        <f>EXP(-LN(2)/2)*DH82+(1-EXP(-LN(2)/2))/(LN(2)/2)*DB83*DE83*VLOOKUP('Données projet'!$B$13,Paramètres!$A$1:$I$89,3,0)*0.475*44/12</f>
        <v>4.4712769988576829E-3</v>
      </c>
      <c r="DI83" s="22">
        <f t="shared" si="69"/>
        <v>25.003680208079004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48.016799999999932</v>
      </c>
      <c r="D84" s="11">
        <f t="shared" si="86"/>
        <v>14.100389472000531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479.50111171368781</v>
      </c>
      <c r="H84" s="67">
        <f t="shared" si="56"/>
        <v>401.52077166373414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6.8</v>
      </c>
      <c r="N84" s="13">
        <f>IF('Données projet'!$A$36&gt;35,N83+M84-V83,IF(A84&lt;'Données projet'!$A$36,$K$205^A84,IF(A84='Données projet'!$A$36,'Données projet'!$B$36,N83+M84-V83)))</f>
        <v>298.8</v>
      </c>
      <c r="O84" s="13">
        <f>N84*VLOOKUP('Données projet'!$B$9,Paramètres!$A$1:$I$89,3,0)*VLOOKUP('Données projet'!$B$9,Paramètres!$A$1:$I$89,5,0)</f>
        <v>270.35424</v>
      </c>
      <c r="P84" s="13">
        <f t="shared" si="87"/>
        <v>64.924442218534367</v>
      </c>
      <c r="Q84" s="20">
        <f t="shared" si="54"/>
        <v>583.94370486394735</v>
      </c>
      <c r="R84" s="59">
        <f t="shared" si="55"/>
        <v>877.27703819728072</v>
      </c>
      <c r="S84" s="59">
        <f ca="1">AVERAGE(OFFSET($R$3,0,0,'Données projet'!$E$9+1,1))-AVERAGE(OFFSET($H$3,0,0,'Données projet'!$E$9+1,1))</f>
        <v>330.30341204367602</v>
      </c>
      <c r="T84" s="59">
        <f t="shared" si="88"/>
        <v>200.36653694091007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56.407854851655131</v>
      </c>
      <c r="AA84" s="21">
        <f>EXP(-LN(2)/25)*AA83+(1-EXP(-LN(2)/25))/(LN(2)/25)*Calculateur!V84*Calculateur!X84*VLOOKUP('Données projet'!$B$9,Paramètres!$A$1:$I$89,3,0)*0.475*44/12</f>
        <v>2.991886914203798</v>
      </c>
      <c r="AB84" s="21">
        <f>EXP(-LN(2)/2)*AB83+(1-EXP(-LN(2)/2))/(LN(2)/2)*V84*Y84*VLOOKUP('Données projet'!$B$9,Paramètres!$A$1:$I$89,3,0)*0.475*44/12</f>
        <v>1.2319239567120446</v>
      </c>
      <c r="AC84" s="22">
        <f t="shared" si="57"/>
        <v>60.631665722570972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971.99999999999977</v>
      </c>
      <c r="AJ84" s="13">
        <f>AI84*VLOOKUP('Données projet'!$B$10,Paramètres!$A$1:$I$89,3,0)*VLOOKUP('Données projet'!$B$10,Paramètres!$A$1:$I$89,5,0)</f>
        <v>581.25599999999986</v>
      </c>
      <c r="AK84" s="13">
        <f t="shared" si="89"/>
        <v>127.68713506014205</v>
      </c>
      <c r="AL84" s="20">
        <f t="shared" si="58"/>
        <v>1234.7426268964139</v>
      </c>
      <c r="AM84" s="59">
        <f t="shared" si="59"/>
        <v>1528.0759602297471</v>
      </c>
      <c r="AN84" s="59">
        <f ca="1">AVERAGE(OFFSET($AM$3,0,0,'Données projet'!$E$10+1,1))-AVERAGE(OFFSET($H$3,0,0,'Données projet'!$E$10+1,1))</f>
        <v>465.77577582457678</v>
      </c>
      <c r="AO84" s="59">
        <f t="shared" si="90"/>
        <v>301.15495784503042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42.125602908434708</v>
      </c>
      <c r="AV84" s="21">
        <f>EXP(-LN(2)/25)*AV83+(1-EXP(-LN(2)/25))/(LN(2)/25)*Calculateur!AQ84*Calculateur!AS84*VLOOKUP('Données projet'!$B$10,Paramètres!$A$1:$I$89,3,0)*0.475*44/12</f>
        <v>22.065757201059633</v>
      </c>
      <c r="AW84" s="21">
        <f>EXP(-LN(2)/2)*AW83+(1-EXP(-LN(2)/2))/(LN(2)/2)*AQ84*AT84*VLOOKUP('Données projet'!$B$10,Paramètres!$A$1:$I$89,3,0)*0.475*44/12</f>
        <v>3.5929869795133906E-2</v>
      </c>
      <c r="AX84" s="21">
        <f t="shared" si="60"/>
        <v>64.22728997928948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273.00000000000023</v>
      </c>
      <c r="BE84" s="13">
        <f>BD84*VLOOKUP('Données projet'!$B$11,Paramètres!$A$1:$I$89,3,0)*VLOOKUP('Données projet'!$B$11,Paramètres!$A$1:$I$89,5,0)</f>
        <v>212.9400000000002</v>
      </c>
      <c r="BF84" s="13">
        <f t="shared" si="91"/>
        <v>52.577528895212915</v>
      </c>
      <c r="BG84" s="20">
        <f t="shared" si="61"/>
        <v>462.44302949249618</v>
      </c>
      <c r="BH84" s="59">
        <f t="shared" si="62"/>
        <v>755.77636282582944</v>
      </c>
      <c r="BI84" s="59">
        <f ca="1">AVERAGE(OFFSET($BH$3,0,0,'Données projet'!$E$11+1,1))-AVERAGE(OFFSET($H$3,0,0,'Données projet'!$E$11+1,1))</f>
        <v>219.5868031007679</v>
      </c>
      <c r="BJ84" s="59">
        <f t="shared" si="92"/>
        <v>263.3830219837742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21.534776576978423</v>
      </c>
      <c r="BQ84" s="21">
        <f>EXP(-LN(2)/25)*BQ83+(1-EXP(-LN(2)/25))/(LN(2)/25)*Calculateur!BL84*Calculateur!BN84*VLOOKUP('Données projet'!$B$11,Paramètres!$A$1:$I$89,3,0)*0.475*44/12</f>
        <v>3.3141669313127458</v>
      </c>
      <c r="BR84" s="21">
        <f>EXP(-LN(2)/2)*BR83+(1-EXP(-LN(2)/2))/(LN(2)/2)*BL84*BO84*VLOOKUP('Données projet'!$B$11,Paramètres!$A$1:$I$89,3,0)*0.475*44/12</f>
        <v>3.3935074813548818E-3</v>
      </c>
      <c r="BS84" s="22">
        <f t="shared" si="63"/>
        <v>24.852337015772523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243.99999999999989</v>
      </c>
      <c r="BZ84" s="13">
        <f>BY84*VLOOKUP('Données projet'!$B$12,Paramètres!$A$1:$I$89,3,0)*VLOOKUP('Données projet'!$B$12,Paramètres!$A$1:$I$89,5,0)</f>
        <v>262.64159999999987</v>
      </c>
      <c r="CA84" s="13">
        <f t="shared" si="93"/>
        <v>63.285128621471941</v>
      </c>
      <c r="CB84" s="20">
        <f t="shared" si="64"/>
        <v>567.65571901573003</v>
      </c>
      <c r="CC84" s="59">
        <f t="shared" si="65"/>
        <v>860.98905234906329</v>
      </c>
      <c r="CD84" s="59">
        <f ca="1">AVERAGE(OFFSET($CC$3,0,0,'Données projet'!$E$12+1,1))-AVERAGE(OFFSET($H$3,0,0,'Données projet'!$E$12+1,1))</f>
        <v>244.7364260963538</v>
      </c>
      <c r="CE84" s="59">
        <f t="shared" si="94"/>
        <v>270.32853612539299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23.5975196410599</v>
      </c>
      <c r="CL84" s="21">
        <f>EXP(-LN(2)/25)*CL83+(1-EXP(-LN(2)/25))/(LN(2)/25)*Calculateur!CG84*Calculateur!CI84*VLOOKUP('Données projet'!$B$12,Paramètres!$A$1:$I$89,3,0)*0.475*44/12</f>
        <v>3.6495883553896653</v>
      </c>
      <c r="CM84" s="21">
        <f>EXP(-LN(2)/2)*CM83+(1-EXP(-LN(2)/2))/(LN(2)/2)*CG84*CJ84*VLOOKUP('Données projet'!$B$12,Paramètres!$A$1:$I$89,3,0)*0.475*44/12</f>
        <v>3.5186330607329627E-3</v>
      </c>
      <c r="CN84" s="22">
        <f t="shared" si="66"/>
        <v>27.250626629510297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243.99999999999989</v>
      </c>
      <c r="CU84" s="17">
        <f>CT84*VLOOKUP('Données projet'!$B$13,Paramètres!$A$1:$I$89,3,0)*VLOOKUP('Données projet'!$B$13,Paramètres!$A$1:$I$89,5,0)</f>
        <v>235.99679999999987</v>
      </c>
      <c r="CV84" s="13">
        <f t="shared" si="95"/>
        <v>57.577381127598322</v>
      </c>
      <c r="CW84" s="20">
        <f t="shared" si="67"/>
        <v>511.30836546390015</v>
      </c>
      <c r="CX84" s="59">
        <f t="shared" si="68"/>
        <v>804.6416987972334</v>
      </c>
      <c r="CY84" s="59">
        <f ca="1">AVERAGE(OFFSET($CX$3,0,0,'Données projet'!$E$13+1,1))-AVERAGE(OFFSET($H$3,0,0,'Données projet'!$E$13+1,1))</f>
        <v>216.39536568500222</v>
      </c>
      <c r="CZ84" s="59">
        <f t="shared" si="96"/>
        <v>239.44686980897467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21.203568373126291</v>
      </c>
      <c r="DG84" s="21">
        <f>EXP(-LN(2)/25)*DG83+(1-EXP(-LN(2)/25))/(LN(2)/25)*Calculateur!DB84*Calculateur!DD84*VLOOKUP('Données projet'!$B$13,Paramètres!$A$1:$I$89,3,0)*0.475*44/12</f>
        <v>3.2793402613646268</v>
      </c>
      <c r="DH84" s="21">
        <f>EXP(-LN(2)/2)*DH83+(1-EXP(-LN(2)/2))/(LN(2)/2)*DB84*DE84*VLOOKUP('Données projet'!$B$13,Paramètres!$A$1:$I$89,3,0)*0.475*44/12</f>
        <v>3.1616702864557026E-3</v>
      </c>
      <c r="DI84" s="22">
        <f t="shared" si="69"/>
        <v>24.486070304777375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48.609599999999929</v>
      </c>
      <c r="D85" s="11">
        <f t="shared" si="86"/>
        <v>14.254095557208933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485.26361482757716</v>
      </c>
      <c r="H85" s="67">
        <f t="shared" si="56"/>
        <v>402.8209364288054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6.8</v>
      </c>
      <c r="N85" s="13">
        <f>IF('Données projet'!$A$36&gt;35,N84+M85-V84,IF(A85&lt;'Données projet'!$A$36,$K$205^A85,IF(A85='Données projet'!$A$36,'Données projet'!$B$36,N84+M85-V84)))</f>
        <v>305.60000000000002</v>
      </c>
      <c r="O85" s="13">
        <f>N85*VLOOKUP('Données projet'!$B$9,Paramètres!$A$1:$I$89,3,0)*VLOOKUP('Données projet'!$B$9,Paramètres!$A$1:$I$89,5,0)</f>
        <v>276.50687999999997</v>
      </c>
      <c r="P85" s="13">
        <f t="shared" si="87"/>
        <v>66.228273722513677</v>
      </c>
      <c r="Q85" s="20">
        <f t="shared" si="54"/>
        <v>596.93039273337797</v>
      </c>
      <c r="R85" s="59">
        <f t="shared" si="55"/>
        <v>890.26372606671134</v>
      </c>
      <c r="S85" s="59">
        <f ca="1">AVERAGE(OFFSET($R$3,0,0,'Données projet'!$E$9+1,1))-AVERAGE(OFFSET($H$3,0,0,'Données projet'!$E$9+1,1))</f>
        <v>330.30341204367602</v>
      </c>
      <c r="T85" s="59">
        <f t="shared" si="88"/>
        <v>200.36653694091007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55.301731223408382</v>
      </c>
      <c r="AA85" s="21">
        <f>EXP(-LN(2)/25)*AA84+(1-EXP(-LN(2)/25))/(LN(2)/25)*Calculateur!V85*Calculateur!X85*VLOOKUP('Données projet'!$B$9,Paramètres!$A$1:$I$89,3,0)*0.475*44/12</f>
        <v>2.9100736091984003</v>
      </c>
      <c r="AB85" s="21">
        <f>EXP(-LN(2)/2)*AB84+(1-EXP(-LN(2)/2))/(LN(2)/2)*V85*Y85*VLOOKUP('Données projet'!$B$9,Paramètres!$A$1:$I$89,3,0)*0.475*44/12</f>
        <v>0.87110178369724955</v>
      </c>
      <c r="AC85" s="22">
        <f t="shared" si="57"/>
        <v>59.08290661630403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971.99999999999977</v>
      </c>
      <c r="AJ85" s="13">
        <f>AI85*VLOOKUP('Données projet'!$B$10,Paramètres!$A$1:$I$89,3,0)*VLOOKUP('Données projet'!$B$10,Paramètres!$A$1:$I$89,5,0)</f>
        <v>581.25599999999986</v>
      </c>
      <c r="AK85" s="13">
        <f t="shared" si="89"/>
        <v>127.68713506014205</v>
      </c>
      <c r="AL85" s="20">
        <f t="shared" si="58"/>
        <v>1234.7426268964139</v>
      </c>
      <c r="AM85" s="59">
        <f t="shared" si="59"/>
        <v>1528.0759602297471</v>
      </c>
      <c r="AN85" s="59">
        <f ca="1">AVERAGE(OFFSET($AM$3,0,0,'Données projet'!$E$10+1,1))-AVERAGE(OFFSET($H$3,0,0,'Données projet'!$E$10+1,1))</f>
        <v>465.77577582457678</v>
      </c>
      <c r="AO85" s="59">
        <f t="shared" si="90"/>
        <v>301.15495784503042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41.299545529480994</v>
      </c>
      <c r="AV85" s="21">
        <f>EXP(-LN(2)/25)*AV84+(1-EXP(-LN(2)/25))/(LN(2)/25)*Calculateur!AQ85*Calculateur!AS85*VLOOKUP('Données projet'!$B$10,Paramètres!$A$1:$I$89,3,0)*0.475*44/12</f>
        <v>21.462367910008918</v>
      </c>
      <c r="AW85" s="21">
        <f>EXP(-LN(2)/2)*AW84+(1-EXP(-LN(2)/2))/(LN(2)/2)*AQ85*AT85*VLOOKUP('Données projet'!$B$10,Paramètres!$A$1:$I$89,3,0)*0.475*44/12</f>
        <v>2.5406254579288894E-2</v>
      </c>
      <c r="AX85" s="21">
        <f t="shared" si="60"/>
        <v>62.787319694069204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273.00000000000023</v>
      </c>
      <c r="BE85" s="13">
        <f>BD85*VLOOKUP('Données projet'!$B$11,Paramètres!$A$1:$I$89,3,0)*VLOOKUP('Données projet'!$B$11,Paramètres!$A$1:$I$89,5,0)</f>
        <v>212.9400000000002</v>
      </c>
      <c r="BF85" s="13">
        <f t="shared" si="91"/>
        <v>52.577528895212915</v>
      </c>
      <c r="BG85" s="20">
        <f t="shared" si="61"/>
        <v>462.44302949249618</v>
      </c>
      <c r="BH85" s="59">
        <f t="shared" si="62"/>
        <v>755.77636282582944</v>
      </c>
      <c r="BI85" s="59">
        <f ca="1">AVERAGE(OFFSET($BH$3,0,0,'Données projet'!$E$11+1,1))-AVERAGE(OFFSET($H$3,0,0,'Données projet'!$E$11+1,1))</f>
        <v>219.5868031007679</v>
      </c>
      <c r="BJ85" s="59">
        <f t="shared" si="92"/>
        <v>263.3830219837742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21.112492743220624</v>
      </c>
      <c r="BQ85" s="21">
        <f>EXP(-LN(2)/25)*BQ84+(1-EXP(-LN(2)/25))/(LN(2)/25)*Calculateur!BL85*Calculateur!BN85*VLOOKUP('Données projet'!$B$11,Paramètres!$A$1:$I$89,3,0)*0.475*44/12</f>
        <v>3.2235408622915345</v>
      </c>
      <c r="BR85" s="21">
        <f>EXP(-LN(2)/2)*BR84+(1-EXP(-LN(2)/2))/(LN(2)/2)*BL85*BO85*VLOOKUP('Données projet'!$B$11,Paramètres!$A$1:$I$89,3,0)*0.475*44/12</f>
        <v>2.3995721520733183E-3</v>
      </c>
      <c r="BS85" s="22">
        <f t="shared" si="63"/>
        <v>24.338433177664232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243.99999999999989</v>
      </c>
      <c r="BZ85" s="13">
        <f>BY85*VLOOKUP('Données projet'!$B$12,Paramètres!$A$1:$I$89,3,0)*VLOOKUP('Données projet'!$B$12,Paramètres!$A$1:$I$89,5,0)</f>
        <v>262.64159999999987</v>
      </c>
      <c r="CA85" s="13">
        <f t="shared" si="93"/>
        <v>63.285128621471941</v>
      </c>
      <c r="CB85" s="20">
        <f t="shared" si="64"/>
        <v>567.65571901573003</v>
      </c>
      <c r="CC85" s="59">
        <f t="shared" si="65"/>
        <v>860.98905234906329</v>
      </c>
      <c r="CD85" s="59">
        <f ca="1">AVERAGE(OFFSET($CC$3,0,0,'Données projet'!$E$12+1,1))-AVERAGE(OFFSET($H$3,0,0,'Données projet'!$E$12+1,1))</f>
        <v>244.7364260963538</v>
      </c>
      <c r="CE85" s="59">
        <f t="shared" si="94"/>
        <v>270.32853612539299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23.134786673964499</v>
      </c>
      <c r="CL85" s="21">
        <f>EXP(-LN(2)/25)*CL84+(1-EXP(-LN(2)/25))/(LN(2)/25)*Calculateur!CG85*Calculateur!CI85*VLOOKUP('Données projet'!$B$12,Paramètres!$A$1:$I$89,3,0)*0.475*44/12</f>
        <v>3.5497901698880248</v>
      </c>
      <c r="CM85" s="21">
        <f>EXP(-LN(2)/2)*CM84+(1-EXP(-LN(2)/2))/(LN(2)/2)*CG85*CJ85*VLOOKUP('Données projet'!$B$12,Paramètres!$A$1:$I$89,3,0)*0.475*44/12</f>
        <v>2.488049297751455E-3</v>
      </c>
      <c r="CN85" s="22">
        <f t="shared" si="66"/>
        <v>26.687064893150275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243.99999999999989</v>
      </c>
      <c r="CU85" s="17">
        <f>CT85*VLOOKUP('Données projet'!$B$13,Paramètres!$A$1:$I$89,3,0)*VLOOKUP('Données projet'!$B$13,Paramètres!$A$1:$I$89,5,0)</f>
        <v>235.99679999999987</v>
      </c>
      <c r="CV85" s="13">
        <f t="shared" si="95"/>
        <v>57.577381127598322</v>
      </c>
      <c r="CW85" s="20">
        <f t="shared" si="67"/>
        <v>511.30836546390015</v>
      </c>
      <c r="CX85" s="59">
        <f t="shared" si="68"/>
        <v>804.6416987972334</v>
      </c>
      <c r="CY85" s="59">
        <f ca="1">AVERAGE(OFFSET($CX$3,0,0,'Données projet'!$E$13+1,1))-AVERAGE(OFFSET($H$3,0,0,'Données projet'!$E$13+1,1))</f>
        <v>216.39536568500222</v>
      </c>
      <c r="CZ85" s="59">
        <f t="shared" si="96"/>
        <v>239.44686980897467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20.787779330228975</v>
      </c>
      <c r="DG85" s="21">
        <f>EXP(-LN(2)/25)*DG84+(1-EXP(-LN(2)/25))/(LN(2)/25)*Calculateur!DB85*Calculateur!DD85*VLOOKUP('Données projet'!$B$13,Paramètres!$A$1:$I$89,3,0)*0.475*44/12</f>
        <v>3.1896665294646018</v>
      </c>
      <c r="DH85" s="21">
        <f>EXP(-LN(2)/2)*DH84+(1-EXP(-LN(2)/2))/(LN(2)/2)*DB85*DE85*VLOOKUP('Données projet'!$B$13,Paramètres!$A$1:$I$89,3,0)*0.475*44/12</f>
        <v>2.2356384994288415E-3</v>
      </c>
      <c r="DI85" s="22">
        <f t="shared" si="69"/>
        <v>23.979681498193006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49.202399999999926</v>
      </c>
      <c r="D86" s="11">
        <f t="shared" si="86"/>
        <v>14.40758360382652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491.02443483655514</v>
      </c>
      <c r="H86" s="67">
        <f t="shared" si="56"/>
        <v>404.12072144333104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6.8</v>
      </c>
      <c r="N86" s="13">
        <f>IF('Données projet'!$A$36&gt;35,N85+M86-V85,IF(A86&lt;'Données projet'!$A$36,$K$205^A86,IF(A86='Données projet'!$A$36,'Données projet'!$B$36,N85+M86-V85)))</f>
        <v>312.40000000000003</v>
      </c>
      <c r="O86" s="13">
        <f>N86*VLOOKUP('Données projet'!$B$9,Paramètres!$A$1:$I$89,3,0)*VLOOKUP('Données projet'!$B$9,Paramètres!$A$1:$I$89,5,0)</f>
        <v>282.65952000000004</v>
      </c>
      <c r="P86" s="13">
        <f t="shared" si="87"/>
        <v>67.528732309967324</v>
      </c>
      <c r="Q86" s="20">
        <f t="shared" si="54"/>
        <v>609.91120610652649</v>
      </c>
      <c r="R86" s="59">
        <f t="shared" si="55"/>
        <v>903.24453943985986</v>
      </c>
      <c r="S86" s="59">
        <f ca="1">AVERAGE(OFFSET($R$3,0,0,'Données projet'!$E$9+1,1))-AVERAGE(OFFSET($H$3,0,0,'Données projet'!$E$9+1,1))</f>
        <v>330.30341204367602</v>
      </c>
      <c r="T86" s="59">
        <f t="shared" si="88"/>
        <v>200.36653694091007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54.21729800484276</v>
      </c>
      <c r="AA86" s="21">
        <f>EXP(-LN(2)/25)*AA85+(1-EXP(-LN(2)/25))/(LN(2)/25)*Calculateur!V86*Calculateur!X86*VLOOKUP('Données projet'!$B$9,Paramètres!$A$1:$I$89,3,0)*0.475*44/12</f>
        <v>2.8304974933207498</v>
      </c>
      <c r="AB86" s="21">
        <f>EXP(-LN(2)/2)*AB85+(1-EXP(-LN(2)/2))/(LN(2)/2)*V86*Y86*VLOOKUP('Données projet'!$B$9,Paramètres!$A$1:$I$89,3,0)*0.475*44/12</f>
        <v>0.61596197835602229</v>
      </c>
      <c r="AC86" s="22">
        <f t="shared" si="57"/>
        <v>57.663757476519528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971.99999999999977</v>
      </c>
      <c r="AJ86" s="13">
        <f>AI86*VLOOKUP('Données projet'!$B$10,Paramètres!$A$1:$I$89,3,0)*VLOOKUP('Données projet'!$B$10,Paramètres!$A$1:$I$89,5,0)</f>
        <v>581.25599999999986</v>
      </c>
      <c r="AK86" s="13">
        <f t="shared" si="89"/>
        <v>127.68713506014205</v>
      </c>
      <c r="AL86" s="20">
        <f t="shared" si="58"/>
        <v>1234.7426268964139</v>
      </c>
      <c r="AM86" s="59">
        <f t="shared" si="59"/>
        <v>1528.0759602297471</v>
      </c>
      <c r="AN86" s="59">
        <f ca="1">AVERAGE(OFFSET($AM$3,0,0,'Données projet'!$E$10+1,1))-AVERAGE(OFFSET($H$3,0,0,'Données projet'!$E$10+1,1))</f>
        <v>465.77577582457678</v>
      </c>
      <c r="AO86" s="59">
        <f t="shared" si="90"/>
        <v>301.15495784503042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40.489686631883316</v>
      </c>
      <c r="AV86" s="21">
        <f>EXP(-LN(2)/25)*AV85+(1-EXP(-LN(2)/25))/(LN(2)/25)*Calculateur!AQ86*Calculateur!AS86*VLOOKUP('Données projet'!$B$10,Paramètres!$A$1:$I$89,3,0)*0.475*44/12</f>
        <v>20.87547833085285</v>
      </c>
      <c r="AW86" s="21">
        <f>EXP(-LN(2)/2)*AW85+(1-EXP(-LN(2)/2))/(LN(2)/2)*AQ86*AT86*VLOOKUP('Données projet'!$B$10,Paramètres!$A$1:$I$89,3,0)*0.475*44/12</f>
        <v>1.7964934897566953E-2</v>
      </c>
      <c r="AX86" s="21">
        <f t="shared" si="60"/>
        <v>61.383129897633737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273.00000000000023</v>
      </c>
      <c r="BE86" s="13">
        <f>BD86*VLOOKUP('Données projet'!$B$11,Paramètres!$A$1:$I$89,3,0)*VLOOKUP('Données projet'!$B$11,Paramètres!$A$1:$I$89,5,0)</f>
        <v>212.9400000000002</v>
      </c>
      <c r="BF86" s="13">
        <f t="shared" si="91"/>
        <v>52.577528895212915</v>
      </c>
      <c r="BG86" s="20">
        <f t="shared" si="61"/>
        <v>462.44302949249618</v>
      </c>
      <c r="BH86" s="59">
        <f t="shared" si="62"/>
        <v>755.77636282582944</v>
      </c>
      <c r="BI86" s="59">
        <f ca="1">AVERAGE(OFFSET($BH$3,0,0,'Données projet'!$E$11+1,1))-AVERAGE(OFFSET($H$3,0,0,'Données projet'!$E$11+1,1))</f>
        <v>219.5868031007679</v>
      </c>
      <c r="BJ86" s="59">
        <f t="shared" si="92"/>
        <v>263.3830219837742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20.69848963787511</v>
      </c>
      <c r="BQ86" s="21">
        <f>EXP(-LN(2)/25)*BQ85+(1-EXP(-LN(2)/25))/(LN(2)/25)*Calculateur!BL86*Calculateur!BN86*VLOOKUP('Données projet'!$B$11,Paramètres!$A$1:$I$89,3,0)*0.475*44/12</f>
        <v>3.1353929678935262</v>
      </c>
      <c r="BR86" s="21">
        <f>EXP(-LN(2)/2)*BR85+(1-EXP(-LN(2)/2))/(LN(2)/2)*BL86*BO86*VLOOKUP('Données projet'!$B$11,Paramètres!$A$1:$I$89,3,0)*0.475*44/12</f>
        <v>1.6967537406774409E-3</v>
      </c>
      <c r="BS86" s="22">
        <f t="shared" si="63"/>
        <v>23.835579359509314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243.99999999999989</v>
      </c>
      <c r="BZ86" s="13">
        <f>BY86*VLOOKUP('Données projet'!$B$12,Paramètres!$A$1:$I$89,3,0)*VLOOKUP('Données projet'!$B$12,Paramètres!$A$1:$I$89,5,0)</f>
        <v>262.64159999999987</v>
      </c>
      <c r="CA86" s="13">
        <f t="shared" si="93"/>
        <v>63.285128621471941</v>
      </c>
      <c r="CB86" s="20">
        <f t="shared" si="64"/>
        <v>567.65571901573003</v>
      </c>
      <c r="CC86" s="59">
        <f t="shared" si="65"/>
        <v>860.98905234906329</v>
      </c>
      <c r="CD86" s="59">
        <f ca="1">AVERAGE(OFFSET($CC$3,0,0,'Données projet'!$E$12+1,1))-AVERAGE(OFFSET($H$3,0,0,'Données projet'!$E$12+1,1))</f>
        <v>244.7364260963538</v>
      </c>
      <c r="CE86" s="59">
        <f t="shared" si="94"/>
        <v>270.32853612539299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22.681127618114598</v>
      </c>
      <c r="CL86" s="21">
        <f>EXP(-LN(2)/25)*CL85+(1-EXP(-LN(2)/25))/(LN(2)/25)*Calculateur!CG86*Calculateur!CI86*VLOOKUP('Données projet'!$B$12,Paramètres!$A$1:$I$89,3,0)*0.475*44/12</f>
        <v>3.4527209710170848</v>
      </c>
      <c r="CM86" s="21">
        <f>EXP(-LN(2)/2)*CM85+(1-EXP(-LN(2)/2))/(LN(2)/2)*CG86*CJ86*VLOOKUP('Données projet'!$B$12,Paramètres!$A$1:$I$89,3,0)*0.475*44/12</f>
        <v>1.7593165303664813E-3</v>
      </c>
      <c r="CN86" s="22">
        <f t="shared" si="66"/>
        <v>26.135607905662049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243.99999999999989</v>
      </c>
      <c r="CU86" s="17">
        <f>CT86*VLOOKUP('Données projet'!$B$13,Paramètres!$A$1:$I$89,3,0)*VLOOKUP('Données projet'!$B$13,Paramètres!$A$1:$I$89,5,0)</f>
        <v>235.99679999999987</v>
      </c>
      <c r="CV86" s="13">
        <f t="shared" si="95"/>
        <v>57.577381127598322</v>
      </c>
      <c r="CW86" s="20">
        <f t="shared" si="67"/>
        <v>511.30836546390015</v>
      </c>
      <c r="CX86" s="59">
        <f t="shared" si="68"/>
        <v>804.6416987972334</v>
      </c>
      <c r="CY86" s="59">
        <f ca="1">AVERAGE(OFFSET($CX$3,0,0,'Données projet'!$E$13+1,1))-AVERAGE(OFFSET($H$3,0,0,'Données projet'!$E$13+1,1))</f>
        <v>216.39536568500222</v>
      </c>
      <c r="CZ86" s="59">
        <f t="shared" si="96"/>
        <v>239.44686980897467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20.3801436568566</v>
      </c>
      <c r="DG86" s="21">
        <f>EXP(-LN(2)/25)*DG85+(1-EXP(-LN(2)/25))/(LN(2)/25)*Calculateur!DB86*Calculateur!DD86*VLOOKUP('Données projet'!$B$13,Paramètres!$A$1:$I$89,3,0)*0.475*44/12</f>
        <v>3.1024449304791197</v>
      </c>
      <c r="DH86" s="21">
        <f>EXP(-LN(2)/2)*DH85+(1-EXP(-LN(2)/2))/(LN(2)/2)*DB86*DE86*VLOOKUP('Données projet'!$B$13,Paramètres!$A$1:$I$89,3,0)*0.475*44/12</f>
        <v>1.5808351432278513E-3</v>
      </c>
      <c r="DI86" s="22">
        <f t="shared" si="69"/>
        <v>23.484169422478946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49.795199999999923</v>
      </c>
      <c r="D87" s="11">
        <f t="shared" si="86"/>
        <v>14.560856542690761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496.78359436462978</v>
      </c>
      <c r="H87" s="67">
        <f t="shared" si="56"/>
        <v>405.42013181185291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6.8</v>
      </c>
      <c r="N87" s="13">
        <f>IF('Données projet'!$A$36&gt;35,N86+M87-V86,IF(A87&lt;'Données projet'!$A$36,$K$205^A87,IF(A87='Données projet'!$A$36,'Données projet'!$B$36,N86+M87-V86)))</f>
        <v>319.20000000000005</v>
      </c>
      <c r="O87" s="13">
        <f>N87*VLOOKUP('Données projet'!$B$9,Paramètres!$A$1:$I$89,3,0)*VLOOKUP('Données projet'!$B$9,Paramètres!$A$1:$I$89,5,0)</f>
        <v>288.81216000000006</v>
      </c>
      <c r="P87" s="13">
        <f t="shared" si="87"/>
        <v>68.825899854238159</v>
      </c>
      <c r="Q87" s="20">
        <f t="shared" si="54"/>
        <v>622.88628757946492</v>
      </c>
      <c r="R87" s="59">
        <f t="shared" si="55"/>
        <v>916.21962091279829</v>
      </c>
      <c r="S87" s="59">
        <f ca="1">AVERAGE(OFFSET($R$3,0,0,'Données projet'!$E$9+1,1))-AVERAGE(OFFSET($H$3,0,0,'Données projet'!$E$9+1,1))</f>
        <v>330.30341204367602</v>
      </c>
      <c r="T87" s="59">
        <f t="shared" si="88"/>
        <v>200.36653694091007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53.154129860254258</v>
      </c>
      <c r="AA87" s="21">
        <f>EXP(-LN(2)/25)*AA86+(1-EXP(-LN(2)/25))/(LN(2)/25)*Calculateur!V87*Calculateur!X87*VLOOKUP('Données projet'!$B$9,Paramètres!$A$1:$I$89,3,0)*0.475*44/12</f>
        <v>2.7530973905164999</v>
      </c>
      <c r="AB87" s="21">
        <f>EXP(-LN(2)/2)*AB86+(1-EXP(-LN(2)/2))/(LN(2)/2)*V87*Y87*VLOOKUP('Données projet'!$B$9,Paramètres!$A$1:$I$89,3,0)*0.475*44/12</f>
        <v>0.43555089184862478</v>
      </c>
      <c r="AC87" s="22">
        <f t="shared" si="57"/>
        <v>56.342778142619387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971.99999999999977</v>
      </c>
      <c r="AJ87" s="13">
        <f>AI87*VLOOKUP('Données projet'!$B$10,Paramètres!$A$1:$I$89,3,0)*VLOOKUP('Données projet'!$B$10,Paramètres!$A$1:$I$89,5,0)</f>
        <v>581.25599999999986</v>
      </c>
      <c r="AK87" s="13">
        <f t="shared" si="89"/>
        <v>127.68713506014205</v>
      </c>
      <c r="AL87" s="20">
        <f t="shared" si="58"/>
        <v>1234.7426268964139</v>
      </c>
      <c r="AM87" s="59">
        <f t="shared" si="59"/>
        <v>1528.0759602297471</v>
      </c>
      <c r="AN87" s="59">
        <f ca="1">AVERAGE(OFFSET($AM$3,0,0,'Données projet'!$E$10+1,1))-AVERAGE(OFFSET($H$3,0,0,'Données projet'!$E$10+1,1))</f>
        <v>465.77577582457678</v>
      </c>
      <c r="AO87" s="59">
        <f t="shared" si="90"/>
        <v>301.15495784503042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39.695708573302376</v>
      </c>
      <c r="AV87" s="21">
        <f>EXP(-LN(2)/25)*AV86+(1-EXP(-LN(2)/25))/(LN(2)/25)*Calculateur!AQ87*Calculateur!AS87*VLOOKUP('Données projet'!$B$10,Paramètres!$A$1:$I$89,3,0)*0.475*44/12</f>
        <v>20.304637278101985</v>
      </c>
      <c r="AW87" s="21">
        <f>EXP(-LN(2)/2)*AW86+(1-EXP(-LN(2)/2))/(LN(2)/2)*AQ87*AT87*VLOOKUP('Données projet'!$B$10,Paramètres!$A$1:$I$89,3,0)*0.475*44/12</f>
        <v>1.2703127289644447E-2</v>
      </c>
      <c r="AX87" s="21">
        <f t="shared" si="60"/>
        <v>60.013048978694009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273.00000000000023</v>
      </c>
      <c r="BE87" s="13">
        <f>BD87*VLOOKUP('Données projet'!$B$11,Paramètres!$A$1:$I$89,3,0)*VLOOKUP('Données projet'!$B$11,Paramètres!$A$1:$I$89,5,0)</f>
        <v>212.9400000000002</v>
      </c>
      <c r="BF87" s="13">
        <f t="shared" si="91"/>
        <v>52.577528895212915</v>
      </c>
      <c r="BG87" s="20">
        <f t="shared" si="61"/>
        <v>462.44302949249618</v>
      </c>
      <c r="BH87" s="59">
        <f t="shared" si="62"/>
        <v>755.77636282582944</v>
      </c>
      <c r="BI87" s="59">
        <f ca="1">AVERAGE(OFFSET($BH$3,0,0,'Données projet'!$E$11+1,1))-AVERAGE(OFFSET($H$3,0,0,'Données projet'!$E$11+1,1))</f>
        <v>219.5868031007679</v>
      </c>
      <c r="BJ87" s="59">
        <f t="shared" si="92"/>
        <v>263.3830219837742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20.29260488090846</v>
      </c>
      <c r="BQ87" s="21">
        <f>EXP(-LN(2)/25)*BQ86+(1-EXP(-LN(2)/25))/(LN(2)/25)*Calculateur!BL87*Calculateur!BN87*VLOOKUP('Données projet'!$B$11,Paramètres!$A$1:$I$89,3,0)*0.475*44/12</f>
        <v>3.0496554823033275</v>
      </c>
      <c r="BR87" s="21">
        <f>EXP(-LN(2)/2)*BR86+(1-EXP(-LN(2)/2))/(LN(2)/2)*BL87*BO87*VLOOKUP('Données projet'!$B$11,Paramètres!$A$1:$I$89,3,0)*0.475*44/12</f>
        <v>1.1997860760366592E-3</v>
      </c>
      <c r="BS87" s="22">
        <f t="shared" si="63"/>
        <v>23.343460149287822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243.99999999999989</v>
      </c>
      <c r="BZ87" s="13">
        <f>BY87*VLOOKUP('Données projet'!$B$12,Paramètres!$A$1:$I$89,3,0)*VLOOKUP('Données projet'!$B$12,Paramètres!$A$1:$I$89,5,0)</f>
        <v>262.64159999999987</v>
      </c>
      <c r="CA87" s="13">
        <f t="shared" si="93"/>
        <v>63.285128621471941</v>
      </c>
      <c r="CB87" s="20">
        <f t="shared" si="64"/>
        <v>567.65571901573003</v>
      </c>
      <c r="CC87" s="59">
        <f t="shared" si="65"/>
        <v>860.98905234906329</v>
      </c>
      <c r="CD87" s="59">
        <f ca="1">AVERAGE(OFFSET($CC$3,0,0,'Données projet'!$E$12+1,1))-AVERAGE(OFFSET($H$3,0,0,'Données projet'!$E$12+1,1))</f>
        <v>244.7364260963538</v>
      </c>
      <c r="CE87" s="59">
        <f t="shared" si="94"/>
        <v>270.32853612539299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22.236364539645212</v>
      </c>
      <c r="CL87" s="21">
        <f>EXP(-LN(2)/25)*CL86+(1-EXP(-LN(2)/25))/(LN(2)/25)*Calculateur!CG87*Calculateur!CI87*VLOOKUP('Données projet'!$B$12,Paramètres!$A$1:$I$89,3,0)*0.475*44/12</f>
        <v>3.358306134493918</v>
      </c>
      <c r="CM87" s="21">
        <f>EXP(-LN(2)/2)*CM86+(1-EXP(-LN(2)/2))/(LN(2)/2)*CG87*CJ87*VLOOKUP('Données projet'!$B$12,Paramètres!$A$1:$I$89,3,0)*0.475*44/12</f>
        <v>1.2440246488757275E-3</v>
      </c>
      <c r="CN87" s="22">
        <f t="shared" si="66"/>
        <v>25.595914698788008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243.99999999999989</v>
      </c>
      <c r="CU87" s="17">
        <f>CT87*VLOOKUP('Données projet'!$B$13,Paramètres!$A$1:$I$89,3,0)*VLOOKUP('Données projet'!$B$13,Paramètres!$A$1:$I$89,5,0)</f>
        <v>235.99679999999987</v>
      </c>
      <c r="CV87" s="13">
        <f t="shared" si="95"/>
        <v>57.577381127598322</v>
      </c>
      <c r="CW87" s="20">
        <f t="shared" si="67"/>
        <v>511.30836546390015</v>
      </c>
      <c r="CX87" s="59">
        <f t="shared" si="68"/>
        <v>804.6416987972334</v>
      </c>
      <c r="CY87" s="59">
        <f ca="1">AVERAGE(OFFSET($CX$3,0,0,'Données projet'!$E$13+1,1))-AVERAGE(OFFSET($H$3,0,0,'Données projet'!$E$13+1,1))</f>
        <v>216.39536568500222</v>
      </c>
      <c r="CZ87" s="59">
        <f t="shared" si="96"/>
        <v>239.44686980897467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19.980501470405848</v>
      </c>
      <c r="DG87" s="21">
        <f>EXP(-LN(2)/25)*DG86+(1-EXP(-LN(2)/25))/(LN(2)/25)*Calculateur!DB87*Calculateur!DD87*VLOOKUP('Données projet'!$B$13,Paramètres!$A$1:$I$89,3,0)*0.475*44/12</f>
        <v>3.0176084107046801</v>
      </c>
      <c r="DH87" s="21">
        <f>EXP(-LN(2)/2)*DH86+(1-EXP(-LN(2)/2))/(LN(2)/2)*DB87*DE87*VLOOKUP('Données projet'!$B$13,Paramètres!$A$1:$I$89,3,0)*0.475*44/12</f>
        <v>1.1178192497144207E-3</v>
      </c>
      <c r="DI87" s="22">
        <f t="shared" si="69"/>
        <v>22.999227700360244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50.38799999999992</v>
      </c>
      <c r="D88" s="11">
        <f t="shared" si="86"/>
        <v>14.713917230841947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502.5411154661478</v>
      </c>
      <c r="H88" s="67">
        <f t="shared" si="56"/>
        <v>406.71917251038286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326</v>
      </c>
      <c r="L88" s="12">
        <f>VLOOKUP(A88,'Données projet'!$A$35:$I$55,9,0)</f>
        <v>6.8</v>
      </c>
      <c r="M88" s="12">
        <f t="array" ref="M88">INDEX(L:L,MIN(IF(ISNUMBER(L88:L284),ROW(L88:L284),"")))</f>
        <v>6.8</v>
      </c>
      <c r="N88" s="13">
        <f>IF('Données projet'!$A$36&gt;35,N87+M88-V87,IF(A88&lt;'Données projet'!$A$36,$K$205^A88,IF(A88='Données projet'!$A$36,'Données projet'!$B$36,N87+M88-V87)))</f>
        <v>326.00000000000006</v>
      </c>
      <c r="O88" s="13">
        <f>N88*VLOOKUP('Données projet'!$B$9,Paramètres!$A$1:$I$89,3,0)*VLOOKUP('Données projet'!$B$9,Paramètres!$A$1:$I$89,5,0)</f>
        <v>294.96480000000003</v>
      </c>
      <c r="P88" s="13">
        <f t="shared" si="87"/>
        <v>70.119854541045001</v>
      </c>
      <c r="Q88" s="20">
        <f t="shared" si="54"/>
        <v>635.85577332565333</v>
      </c>
      <c r="R88" s="59">
        <f t="shared" si="55"/>
        <v>929.1891066589867</v>
      </c>
      <c r="S88" s="59">
        <f ca="1">AVERAGE(OFFSET($R$3,0,0,'Données projet'!$E$9+1,1))-AVERAGE(OFFSET($H$3,0,0,'Données projet'!$E$9+1,1))</f>
        <v>330.30341204367602</v>
      </c>
      <c r="T88" s="59">
        <f t="shared" si="88"/>
        <v>200.36653694091007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28</v>
      </c>
      <c r="W88" s="16">
        <f>IF(ISNA(VLOOKUP(A88,'Données projet'!$A$35:$I$55,5,0)),0%,VLOOKUP(A88,'Données projet'!$A$35:$I$55,5,0)*VLOOKUP('Données projet'!$B$9,Paramètres!$A$1:$I$89,7,0))</f>
        <v>0.34400000000000003</v>
      </c>
      <c r="X88" s="16">
        <f>IF(ISNA(VLOOKUP(A88,'Données projet'!$A$35:$I$55,6,0)),0%,VLOOKUP(A88,'Données projet'!$A$35:$I$55,6,0)*VLOOKUP('Données projet'!$B$9,Paramètres!$A$1:$I$89,7,0))</f>
        <v>1.72E-2</v>
      </c>
      <c r="Y88" s="16">
        <f>IF(ISNA(VLOOKUP(A88,'Données projet'!$A$35:$I$55,7,0)),0%,VLOOKUP(A88,'Données projet'!$A$35:$I$55,7,0))</f>
        <v>0.06</v>
      </c>
      <c r="Z88" s="21">
        <f>EXP(-LN(2)/35)*Z87+(1-EXP(-LN(2)/35))/(LN(2)/35)*V88*W88*VLOOKUP('Données projet'!$B$9,Paramètres!$A$1:$I$89,3,0)*0.475*44/12</f>
        <v>61.74602129594701</v>
      </c>
      <c r="AA88" s="21">
        <f>EXP(-LN(2)/25)*AA87+(1-EXP(-LN(2)/25))/(LN(2)/25)*Calculateur!V88*Calculateur!X88*VLOOKUP('Données projet'!$B$9,Paramètres!$A$1:$I$89,3,0)*0.475*44/12</f>
        <v>3.1576276945852708</v>
      </c>
      <c r="AB88" s="21">
        <f>EXP(-LN(2)/2)*AB87+(1-EXP(-LN(2)/2))/(LN(2)/2)*V88*Y88*VLOOKUP('Données projet'!$B$9,Paramètres!$A$1:$I$89,3,0)*0.475*44/12</f>
        <v>1.7422022851007359</v>
      </c>
      <c r="AC88" s="22">
        <f t="shared" si="57"/>
        <v>66.645851275633007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971.99999999999977</v>
      </c>
      <c r="AJ88" s="13">
        <f>AI88*VLOOKUP('Données projet'!$B$10,Paramètres!$A$1:$I$89,3,0)*VLOOKUP('Données projet'!$B$10,Paramètres!$A$1:$I$89,5,0)</f>
        <v>581.25599999999986</v>
      </c>
      <c r="AK88" s="13">
        <f t="shared" si="89"/>
        <v>127.68713506014205</v>
      </c>
      <c r="AL88" s="20">
        <f t="shared" si="58"/>
        <v>1234.7426268964139</v>
      </c>
      <c r="AM88" s="59">
        <f t="shared" si="59"/>
        <v>1528.0759602297471</v>
      </c>
      <c r="AN88" s="59">
        <f ca="1">AVERAGE(OFFSET($AM$3,0,0,'Données projet'!$E$10+1,1))-AVERAGE(OFFSET($H$3,0,0,'Données projet'!$E$10+1,1))</f>
        <v>465.77577582457678</v>
      </c>
      <c r="AO88" s="59">
        <f t="shared" si="90"/>
        <v>301.15495784503042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38.917299940171411</v>
      </c>
      <c r="AV88" s="21">
        <f>EXP(-LN(2)/25)*AV87+(1-EXP(-LN(2)/25))/(LN(2)/25)*Calculateur!AQ88*Calculateur!AS88*VLOOKUP('Données projet'!$B$10,Paramètres!$A$1:$I$89,3,0)*0.475*44/12</f>
        <v>19.749405903957818</v>
      </c>
      <c r="AW88" s="21">
        <f>EXP(-LN(2)/2)*AW87+(1-EXP(-LN(2)/2))/(LN(2)/2)*AQ88*AT88*VLOOKUP('Données projet'!$B$10,Paramètres!$A$1:$I$89,3,0)*0.475*44/12</f>
        <v>8.9824674487834766E-3</v>
      </c>
      <c r="AX88" s="21">
        <f t="shared" si="60"/>
        <v>58.675688311578007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273.00000000000023</v>
      </c>
      <c r="BE88" s="13">
        <f>BD88*VLOOKUP('Données projet'!$B$11,Paramètres!$A$1:$I$89,3,0)*VLOOKUP('Données projet'!$B$11,Paramètres!$A$1:$I$89,5,0)</f>
        <v>212.9400000000002</v>
      </c>
      <c r="BF88" s="13">
        <f t="shared" si="91"/>
        <v>52.577528895212915</v>
      </c>
      <c r="BG88" s="20">
        <f t="shared" si="61"/>
        <v>462.44302949249618</v>
      </c>
      <c r="BH88" s="59">
        <f t="shared" si="62"/>
        <v>755.77636282582944</v>
      </c>
      <c r="BI88" s="59">
        <f ca="1">AVERAGE(OFFSET($BH$3,0,0,'Données projet'!$E$11+1,1))-AVERAGE(OFFSET($H$3,0,0,'Données projet'!$E$11+1,1))</f>
        <v>219.5868031007679</v>
      </c>
      <c r="BJ88" s="59">
        <f t="shared" si="92"/>
        <v>263.3830219837742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19.894679276460668</v>
      </c>
      <c r="BQ88" s="21">
        <f>EXP(-LN(2)/25)*BQ87+(1-EXP(-LN(2)/25))/(LN(2)/25)*Calculateur!BL88*Calculateur!BN88*VLOOKUP('Données projet'!$B$11,Paramètres!$A$1:$I$89,3,0)*0.475*44/12</f>
        <v>2.9662624927653312</v>
      </c>
      <c r="BR88" s="21">
        <f>EXP(-LN(2)/2)*BR87+(1-EXP(-LN(2)/2))/(LN(2)/2)*BL88*BO88*VLOOKUP('Données projet'!$B$11,Paramètres!$A$1:$I$89,3,0)*0.475*44/12</f>
        <v>8.4837687033872044E-4</v>
      </c>
      <c r="BS88" s="22">
        <f t="shared" si="63"/>
        <v>22.861790146096336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243.99999999999989</v>
      </c>
      <c r="BZ88" s="13">
        <f>BY88*VLOOKUP('Données projet'!$B$12,Paramètres!$A$1:$I$89,3,0)*VLOOKUP('Données projet'!$B$12,Paramètres!$A$1:$I$89,5,0)</f>
        <v>262.64159999999987</v>
      </c>
      <c r="CA88" s="13">
        <f t="shared" si="93"/>
        <v>63.285128621471941</v>
      </c>
      <c r="CB88" s="20">
        <f t="shared" si="64"/>
        <v>567.65571901573003</v>
      </c>
      <c r="CC88" s="59">
        <f t="shared" si="65"/>
        <v>860.98905234906329</v>
      </c>
      <c r="CD88" s="59">
        <f ca="1">AVERAGE(OFFSET($CC$3,0,0,'Données projet'!$E$12+1,1))-AVERAGE(OFFSET($H$3,0,0,'Données projet'!$E$12+1,1))</f>
        <v>244.7364260963538</v>
      </c>
      <c r="CE88" s="59">
        <f t="shared" si="94"/>
        <v>270.32853612539299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21.800322993865919</v>
      </c>
      <c r="CL88" s="21">
        <f>EXP(-LN(2)/25)*CL87+(1-EXP(-LN(2)/25))/(LN(2)/25)*Calculateur!CG88*Calculateur!CI88*VLOOKUP('Données projet'!$B$12,Paramètres!$A$1:$I$89,3,0)*0.475*44/12</f>
        <v>3.2664730766405379</v>
      </c>
      <c r="CM88" s="21">
        <f>EXP(-LN(2)/2)*CM87+(1-EXP(-LN(2)/2))/(LN(2)/2)*CG88*CJ88*VLOOKUP('Données projet'!$B$12,Paramètres!$A$1:$I$89,3,0)*0.475*44/12</f>
        <v>8.7965826518324067E-4</v>
      </c>
      <c r="CN88" s="22">
        <f t="shared" si="66"/>
        <v>25.06767572877164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243.99999999999989</v>
      </c>
      <c r="CU88" s="17">
        <f>CT88*VLOOKUP('Données projet'!$B$13,Paramètres!$A$1:$I$89,3,0)*VLOOKUP('Données projet'!$B$13,Paramètres!$A$1:$I$89,5,0)</f>
        <v>235.99679999999987</v>
      </c>
      <c r="CV88" s="13">
        <f t="shared" si="95"/>
        <v>57.577381127598322</v>
      </c>
      <c r="CW88" s="20">
        <f t="shared" si="67"/>
        <v>511.30836546390015</v>
      </c>
      <c r="CX88" s="59">
        <f t="shared" si="68"/>
        <v>804.6416987972334</v>
      </c>
      <c r="CY88" s="59">
        <f ca="1">AVERAGE(OFFSET($CX$3,0,0,'Données projet'!$E$13+1,1))-AVERAGE(OFFSET($H$3,0,0,'Données projet'!$E$13+1,1))</f>
        <v>216.39536568500222</v>
      </c>
      <c r="CZ88" s="59">
        <f t="shared" si="96"/>
        <v>239.44686980897467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19.58869602347373</v>
      </c>
      <c r="DG88" s="21">
        <f>EXP(-LN(2)/25)*DG87+(1-EXP(-LN(2)/25))/(LN(2)/25)*Calculateur!DB88*Calculateur!DD88*VLOOKUP('Données projet'!$B$13,Paramètres!$A$1:$I$89,3,0)*0.475*44/12</f>
        <v>2.935091750024831</v>
      </c>
      <c r="DH88" s="21">
        <f>EXP(-LN(2)/2)*DH87+(1-EXP(-LN(2)/2))/(LN(2)/2)*DB88*DE88*VLOOKUP('Données projet'!$B$13,Paramètres!$A$1:$I$89,3,0)*0.475*44/12</f>
        <v>7.9041757161392564E-4</v>
      </c>
      <c r="DI88" s="22">
        <f t="shared" si="69"/>
        <v>22.524578191070177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50.980799999999917</v>
      </c>
      <c r="D89" s="11">
        <f t="shared" si="86"/>
        <v>14.866768454227216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508.29701964666555</v>
      </c>
      <c r="H89" s="67">
        <f t="shared" si="56"/>
        <v>408.01784839111224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6.4</v>
      </c>
      <c r="N89" s="13">
        <f>IF('Données projet'!$A$36&gt;35,N88+M89-V88,IF(A89&lt;'Données projet'!$A$36,$K$205^A89,IF(A89='Données projet'!$A$36,'Données projet'!$B$36,N88+M89-V88)))</f>
        <v>304.40000000000003</v>
      </c>
      <c r="O89" s="13">
        <f>N89*VLOOKUP('Données projet'!$B$9,Paramètres!$A$1:$I$89,3,0)*VLOOKUP('Données projet'!$B$9,Paramètres!$A$1:$I$89,5,0)</f>
        <v>275.42112000000003</v>
      </c>
      <c r="P89" s="13">
        <f t="shared" si="87"/>
        <v>65.998433293601067</v>
      </c>
      <c r="Q89" s="20">
        <f t="shared" si="54"/>
        <v>594.63905531968851</v>
      </c>
      <c r="R89" s="59">
        <f t="shared" si="55"/>
        <v>887.97238865302188</v>
      </c>
      <c r="S89" s="59">
        <f ca="1">AVERAGE(OFFSET($R$3,0,0,'Données projet'!$E$9+1,1))-AVERAGE(OFFSET($H$3,0,0,'Données projet'!$E$9+1,1))</f>
        <v>330.30341204367602</v>
      </c>
      <c r="T89" s="59">
        <f t="shared" si="88"/>
        <v>200.36653694091007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60.535219479687733</v>
      </c>
      <c r="AA89" s="21">
        <f>EXP(-LN(2)/25)*AA88+(1-EXP(-LN(2)/25))/(LN(2)/25)*Calculateur!V89*Calculateur!X89*VLOOKUP('Données projet'!$B$9,Paramètres!$A$1:$I$89,3,0)*0.475*44/12</f>
        <v>3.071282199224413</v>
      </c>
      <c r="AB89" s="21">
        <f>EXP(-LN(2)/2)*AB88+(1-EXP(-LN(2)/2))/(LN(2)/2)*V89*Y89*VLOOKUP('Données projet'!$B$9,Paramètres!$A$1:$I$89,3,0)*0.475*44/12</f>
        <v>1.2319230499934293</v>
      </c>
      <c r="AC89" s="22">
        <f t="shared" si="57"/>
        <v>64.838424728905579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971.99999999999977</v>
      </c>
      <c r="AJ89" s="13">
        <f>AI89*VLOOKUP('Données projet'!$B$10,Paramètres!$A$1:$I$89,3,0)*VLOOKUP('Données projet'!$B$10,Paramètres!$A$1:$I$89,5,0)</f>
        <v>581.25599999999986</v>
      </c>
      <c r="AK89" s="13">
        <f t="shared" si="89"/>
        <v>127.68713506014205</v>
      </c>
      <c r="AL89" s="20">
        <f t="shared" si="58"/>
        <v>1234.7426268964139</v>
      </c>
      <c r="AM89" s="59">
        <f t="shared" si="59"/>
        <v>1528.0759602297471</v>
      </c>
      <c r="AN89" s="59">
        <f ca="1">AVERAGE(OFFSET($AM$3,0,0,'Données projet'!$E$10+1,1))-AVERAGE(OFFSET($H$3,0,0,'Données projet'!$E$10+1,1))</f>
        <v>465.77577582457678</v>
      </c>
      <c r="AO89" s="59">
        <f t="shared" si="90"/>
        <v>301.15495784503042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38.15415542555376</v>
      </c>
      <c r="AV89" s="21">
        <f>EXP(-LN(2)/25)*AV88+(1-EXP(-LN(2)/25))/(LN(2)/25)*Calculateur!AQ89*Calculateur!AS89*VLOOKUP('Données projet'!$B$10,Paramètres!$A$1:$I$89,3,0)*0.475*44/12</f>
        <v>19.209357360937972</v>
      </c>
      <c r="AW89" s="21">
        <f>EXP(-LN(2)/2)*AW88+(1-EXP(-LN(2)/2))/(LN(2)/2)*AQ89*AT89*VLOOKUP('Données projet'!$B$10,Paramètres!$A$1:$I$89,3,0)*0.475*44/12</f>
        <v>6.3515636448222236E-3</v>
      </c>
      <c r="AX89" s="21">
        <f t="shared" si="60"/>
        <v>57.369864350136552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273.00000000000023</v>
      </c>
      <c r="BE89" s="13">
        <f>BD89*VLOOKUP('Données projet'!$B$11,Paramètres!$A$1:$I$89,3,0)*VLOOKUP('Données projet'!$B$11,Paramètres!$A$1:$I$89,5,0)</f>
        <v>212.9400000000002</v>
      </c>
      <c r="BF89" s="13">
        <f t="shared" si="91"/>
        <v>52.577528895212915</v>
      </c>
      <c r="BG89" s="20">
        <f t="shared" si="61"/>
        <v>462.44302949249618</v>
      </c>
      <c r="BH89" s="59">
        <f t="shared" si="62"/>
        <v>755.77636282582944</v>
      </c>
      <c r="BI89" s="59">
        <f ca="1">AVERAGE(OFFSET($BH$3,0,0,'Données projet'!$E$11+1,1))-AVERAGE(OFFSET($H$3,0,0,'Données projet'!$E$11+1,1))</f>
        <v>219.5868031007679</v>
      </c>
      <c r="BJ89" s="59">
        <f t="shared" si="92"/>
        <v>263.3830219837742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19.504556750405445</v>
      </c>
      <c r="BQ89" s="21">
        <f>EXP(-LN(2)/25)*BQ88+(1-EXP(-LN(2)/25))/(LN(2)/25)*Calculateur!BL89*Calculateur!BN89*VLOOKUP('Données projet'!$B$11,Paramètres!$A$1:$I$89,3,0)*0.475*44/12</f>
        <v>2.8851498889116982</v>
      </c>
      <c r="BR89" s="21">
        <f>EXP(-LN(2)/2)*BR88+(1-EXP(-LN(2)/2))/(LN(2)/2)*BL89*BO89*VLOOKUP('Données projet'!$B$11,Paramètres!$A$1:$I$89,3,0)*0.475*44/12</f>
        <v>5.9989303801832958E-4</v>
      </c>
      <c r="BS89" s="22">
        <f t="shared" si="63"/>
        <v>22.390306532355162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243.99999999999989</v>
      </c>
      <c r="BZ89" s="13">
        <f>BY89*VLOOKUP('Données projet'!$B$12,Paramètres!$A$1:$I$89,3,0)*VLOOKUP('Données projet'!$B$12,Paramètres!$A$1:$I$89,5,0)</f>
        <v>262.64159999999987</v>
      </c>
      <c r="CA89" s="13">
        <f t="shared" si="93"/>
        <v>63.285128621471941</v>
      </c>
      <c r="CB89" s="20">
        <f t="shared" si="64"/>
        <v>567.65571901573003</v>
      </c>
      <c r="CC89" s="59">
        <f t="shared" si="65"/>
        <v>860.98905234906329</v>
      </c>
      <c r="CD89" s="59">
        <f ca="1">AVERAGE(OFFSET($CC$3,0,0,'Données projet'!$E$12+1,1))-AVERAGE(OFFSET($H$3,0,0,'Données projet'!$E$12+1,1))</f>
        <v>244.7364260963538</v>
      </c>
      <c r="CE89" s="59">
        <f t="shared" si="94"/>
        <v>270.32853612539299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21.372831956840276</v>
      </c>
      <c r="CL89" s="21">
        <f>EXP(-LN(2)/25)*CL88+(1-EXP(-LN(2)/25))/(LN(2)/25)*Calculateur!CG89*Calculateur!CI89*VLOOKUP('Données projet'!$B$12,Paramètres!$A$1:$I$89,3,0)*0.475*44/12</f>
        <v>3.1771511985834491</v>
      </c>
      <c r="CM89" s="21">
        <f>EXP(-LN(2)/2)*CM88+(1-EXP(-LN(2)/2))/(LN(2)/2)*CG89*CJ89*VLOOKUP('Données projet'!$B$12,Paramètres!$A$1:$I$89,3,0)*0.475*44/12</f>
        <v>6.2201232443786375E-4</v>
      </c>
      <c r="CN89" s="22">
        <f t="shared" si="66"/>
        <v>24.550605167748163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243.99999999999989</v>
      </c>
      <c r="CU89" s="17">
        <f>CT89*VLOOKUP('Données projet'!$B$13,Paramètres!$A$1:$I$89,3,0)*VLOOKUP('Données projet'!$B$13,Paramètres!$A$1:$I$89,5,0)</f>
        <v>235.99679999999987</v>
      </c>
      <c r="CV89" s="13">
        <f t="shared" si="95"/>
        <v>57.577381127598322</v>
      </c>
      <c r="CW89" s="20">
        <f t="shared" si="67"/>
        <v>511.30836546390015</v>
      </c>
      <c r="CX89" s="59">
        <f t="shared" si="68"/>
        <v>804.6416987972334</v>
      </c>
      <c r="CY89" s="59">
        <f ca="1">AVERAGE(OFFSET($CX$3,0,0,'Données projet'!$E$13+1,1))-AVERAGE(OFFSET($H$3,0,0,'Données projet'!$E$13+1,1))</f>
        <v>216.39536568500222</v>
      </c>
      <c r="CZ89" s="59">
        <f t="shared" si="96"/>
        <v>239.44686980897467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19.204573642378225</v>
      </c>
      <c r="DG89" s="21">
        <f>EXP(-LN(2)/25)*DG88+(1-EXP(-LN(2)/25))/(LN(2)/25)*Calculateur!DB89*Calculateur!DD89*VLOOKUP('Données projet'!$B$13,Paramètres!$A$1:$I$89,3,0)*0.475*44/12</f>
        <v>2.8548315117706351</v>
      </c>
      <c r="DH89" s="21">
        <f>EXP(-LN(2)/2)*DH88+(1-EXP(-LN(2)/2))/(LN(2)/2)*DB89*DE89*VLOOKUP('Données projet'!$B$13,Paramètres!$A$1:$I$89,3,0)*0.475*44/12</f>
        <v>5.5890962485721037E-4</v>
      </c>
      <c r="DI89" s="22">
        <f t="shared" si="69"/>
        <v>22.059964063773716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51.573599999999914</v>
      </c>
      <c r="D90" s="11">
        <f t="shared" si="86"/>
        <v>15.019412930275296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514.05132788282617</v>
      </c>
      <c r="H90" s="67">
        <f t="shared" si="56"/>
        <v>409.31616418689595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6.4</v>
      </c>
      <c r="N90" s="13">
        <f>IF('Données projet'!$A$36&gt;35,N89+M90-V89,IF(A90&lt;'Données projet'!$A$36,$K$205^A90,IF(A90='Données projet'!$A$36,'Données projet'!$B$36,N89+M90-V89)))</f>
        <v>310.8</v>
      </c>
      <c r="O90" s="13">
        <f>N90*VLOOKUP('Données projet'!$B$9,Paramètres!$A$1:$I$89,3,0)*VLOOKUP('Données projet'!$B$9,Paramètres!$A$1:$I$89,5,0)</f>
        <v>281.21184</v>
      </c>
      <c r="P90" s="13">
        <f t="shared" si="87"/>
        <v>67.22304110496664</v>
      </c>
      <c r="Q90" s="20">
        <f t="shared" si="54"/>
        <v>606.85741792448357</v>
      </c>
      <c r="R90" s="59">
        <f t="shared" si="55"/>
        <v>900.19075125781683</v>
      </c>
      <c r="S90" s="59">
        <f ca="1">AVERAGE(OFFSET($R$3,0,0,'Données projet'!$E$9+1,1))-AVERAGE(OFFSET($H$3,0,0,'Données projet'!$E$9+1,1))</f>
        <v>330.30341204367602</v>
      </c>
      <c r="T90" s="59">
        <f t="shared" si="88"/>
        <v>200.36653694091007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59.348160748529111</v>
      </c>
      <c r="AA90" s="21">
        <f>EXP(-LN(2)/25)*AA89+(1-EXP(-LN(2)/25))/(LN(2)/25)*Calculateur!V90*Calculateur!X90*VLOOKUP('Données projet'!$B$9,Paramètres!$A$1:$I$89,3,0)*0.475*44/12</f>
        <v>2.9872978259749101</v>
      </c>
      <c r="AB90" s="21">
        <f>EXP(-LN(2)/2)*AB89+(1-EXP(-LN(2)/2))/(LN(2)/2)*V90*Y90*VLOOKUP('Données projet'!$B$9,Paramètres!$A$1:$I$89,3,0)*0.475*44/12</f>
        <v>0.87110114255036808</v>
      </c>
      <c r="AC90" s="22">
        <f t="shared" si="57"/>
        <v>63.20655971705439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971.99999999999977</v>
      </c>
      <c r="AJ90" s="13">
        <f>AI90*VLOOKUP('Données projet'!$B$10,Paramètres!$A$1:$I$89,3,0)*VLOOKUP('Données projet'!$B$10,Paramètres!$A$1:$I$89,5,0)</f>
        <v>581.25599999999986</v>
      </c>
      <c r="AK90" s="13">
        <f t="shared" si="89"/>
        <v>127.68713506014205</v>
      </c>
      <c r="AL90" s="20">
        <f t="shared" si="58"/>
        <v>1234.7426268964139</v>
      </c>
      <c r="AM90" s="59">
        <f t="shared" si="59"/>
        <v>1528.0759602297471</v>
      </c>
      <c r="AN90" s="59">
        <f ca="1">AVERAGE(OFFSET($AM$3,0,0,'Données projet'!$E$10+1,1))-AVERAGE(OFFSET($H$3,0,0,'Données projet'!$E$10+1,1))</f>
        <v>465.77577582457678</v>
      </c>
      <c r="AO90" s="59">
        <f t="shared" si="90"/>
        <v>301.15495784503042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37.40597570939557</v>
      </c>
      <c r="AV90" s="21">
        <f>EXP(-LN(2)/25)*AV89+(1-EXP(-LN(2)/25))/(LN(2)/25)*Calculateur!AQ90*Calculateur!AS90*VLOOKUP('Données projet'!$B$10,Paramètres!$A$1:$I$89,3,0)*0.475*44/12</f>
        <v>18.684076473726922</v>
      </c>
      <c r="AW90" s="21">
        <f>EXP(-LN(2)/2)*AW89+(1-EXP(-LN(2)/2))/(LN(2)/2)*AQ90*AT90*VLOOKUP('Données projet'!$B$10,Paramètres!$A$1:$I$89,3,0)*0.475*44/12</f>
        <v>4.4912337243917383E-3</v>
      </c>
      <c r="AX90" s="21">
        <f t="shared" si="60"/>
        <v>56.094543416846889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273.00000000000023</v>
      </c>
      <c r="BE90" s="13">
        <f>BD90*VLOOKUP('Données projet'!$B$11,Paramètres!$A$1:$I$89,3,0)*VLOOKUP('Données projet'!$B$11,Paramètres!$A$1:$I$89,5,0)</f>
        <v>212.9400000000002</v>
      </c>
      <c r="BF90" s="13">
        <f t="shared" si="91"/>
        <v>52.577528895212915</v>
      </c>
      <c r="BG90" s="20">
        <f t="shared" si="61"/>
        <v>462.44302949249618</v>
      </c>
      <c r="BH90" s="59">
        <f t="shared" si="62"/>
        <v>755.77636282582944</v>
      </c>
      <c r="BI90" s="59">
        <f ca="1">AVERAGE(OFFSET($BH$3,0,0,'Données projet'!$E$11+1,1))-AVERAGE(OFFSET($H$3,0,0,'Données projet'!$E$11+1,1))</f>
        <v>219.5868031007679</v>
      </c>
      <c r="BJ90" s="59">
        <f t="shared" si="92"/>
        <v>263.3830219837742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19.122084289134921</v>
      </c>
      <c r="BQ90" s="21">
        <f>EXP(-LN(2)/25)*BQ89+(1-EXP(-LN(2)/25))/(LN(2)/25)*Calculateur!BL90*Calculateur!BN90*VLOOKUP('Données projet'!$B$11,Paramètres!$A$1:$I$89,3,0)*0.475*44/12</f>
        <v>2.8062553134759693</v>
      </c>
      <c r="BR90" s="21">
        <f>EXP(-LN(2)/2)*BR89+(1-EXP(-LN(2)/2))/(LN(2)/2)*BL90*BO90*VLOOKUP('Données projet'!$B$11,Paramètres!$A$1:$I$89,3,0)*0.475*44/12</f>
        <v>4.2418843516936022E-4</v>
      </c>
      <c r="BS90" s="22">
        <f t="shared" si="63"/>
        <v>21.928763791046059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243.99999999999989</v>
      </c>
      <c r="BZ90" s="13">
        <f>BY90*VLOOKUP('Données projet'!$B$12,Paramètres!$A$1:$I$89,3,0)*VLOOKUP('Données projet'!$B$12,Paramètres!$A$1:$I$89,5,0)</f>
        <v>262.64159999999987</v>
      </c>
      <c r="CA90" s="13">
        <f t="shared" si="93"/>
        <v>63.285128621471941</v>
      </c>
      <c r="CB90" s="20">
        <f t="shared" si="64"/>
        <v>567.65571901573003</v>
      </c>
      <c r="CC90" s="59">
        <f t="shared" si="65"/>
        <v>860.98905234906329</v>
      </c>
      <c r="CD90" s="59">
        <f ca="1">AVERAGE(OFFSET($CC$3,0,0,'Données projet'!$E$12+1,1))-AVERAGE(OFFSET($H$3,0,0,'Données projet'!$E$12+1,1))</f>
        <v>244.7364260963538</v>
      </c>
      <c r="CE90" s="59">
        <f t="shared" si="94"/>
        <v>270.32853612539299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20.953723758306921</v>
      </c>
      <c r="CL90" s="21">
        <f>EXP(-LN(2)/25)*CL89+(1-EXP(-LN(2)/25))/(LN(2)/25)*Calculateur!CG90*Calculateur!CI90*VLOOKUP('Données projet'!$B$12,Paramètres!$A$1:$I$89,3,0)*0.475*44/12</f>
        <v>3.0902718319790647</v>
      </c>
      <c r="CM90" s="21">
        <f>EXP(-LN(2)/2)*CM89+(1-EXP(-LN(2)/2))/(LN(2)/2)*CG90*CJ90*VLOOKUP('Données projet'!$B$12,Paramètres!$A$1:$I$89,3,0)*0.475*44/12</f>
        <v>4.3982913259162033E-4</v>
      </c>
      <c r="CN90" s="22">
        <f t="shared" si="66"/>
        <v>24.04443541941858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243.99999999999989</v>
      </c>
      <c r="CU90" s="17">
        <f>CT90*VLOOKUP('Données projet'!$B$13,Paramètres!$A$1:$I$89,3,0)*VLOOKUP('Données projet'!$B$13,Paramètres!$A$1:$I$89,5,0)</f>
        <v>235.99679999999987</v>
      </c>
      <c r="CV90" s="13">
        <f t="shared" si="95"/>
        <v>57.577381127598322</v>
      </c>
      <c r="CW90" s="20">
        <f t="shared" si="67"/>
        <v>511.30836546390015</v>
      </c>
      <c r="CX90" s="59">
        <f t="shared" si="68"/>
        <v>804.6416987972334</v>
      </c>
      <c r="CY90" s="59">
        <f ca="1">AVERAGE(OFFSET($CX$3,0,0,'Données projet'!$E$13+1,1))-AVERAGE(OFFSET($H$3,0,0,'Données projet'!$E$13+1,1))</f>
        <v>216.39536568500222</v>
      </c>
      <c r="CZ90" s="59">
        <f t="shared" si="96"/>
        <v>239.44686980897467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18.827983666884485</v>
      </c>
      <c r="DG90" s="21">
        <f>EXP(-LN(2)/25)*DG89+(1-EXP(-LN(2)/25))/(LN(2)/25)*Calculateur!DB90*Calculateur!DD90*VLOOKUP('Données projet'!$B$13,Paramètres!$A$1:$I$89,3,0)*0.475*44/12</f>
        <v>2.7767659939522025</v>
      </c>
      <c r="DH90" s="21">
        <f>EXP(-LN(2)/2)*DH89+(1-EXP(-LN(2)/2))/(LN(2)/2)*DB90*DE90*VLOOKUP('Données projet'!$B$13,Paramètres!$A$1:$I$89,3,0)*0.475*44/12</f>
        <v>3.9520878580696282E-4</v>
      </c>
      <c r="DI90" s="22">
        <f t="shared" si="69"/>
        <v>21.605144869622496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52.166399999999911</v>
      </c>
      <c r="D91" s="11">
        <f t="shared" si="86"/>
        <v>15.171853310349414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519.80406064129306</v>
      </c>
      <c r="H91" s="67">
        <f t="shared" si="56"/>
        <v>410.61412451552508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6.4</v>
      </c>
      <c r="N91" s="13">
        <f>IF('Données projet'!$A$36&gt;35,N90+M91-V90,IF(A91&lt;'Données projet'!$A$36,$K$205^A91,IF(A91='Données projet'!$A$36,'Données projet'!$B$36,N90+M91-V90)))</f>
        <v>317.2</v>
      </c>
      <c r="O91" s="13">
        <f>N91*VLOOKUP('Données projet'!$B$9,Paramètres!$A$1:$I$89,3,0)*VLOOKUP('Données projet'!$B$9,Paramètres!$A$1:$I$89,5,0)</f>
        <v>287.00255999999996</v>
      </c>
      <c r="P91" s="13">
        <f t="shared" si="87"/>
        <v>68.444716936118553</v>
      </c>
      <c r="Q91" s="20">
        <f t="shared" si="54"/>
        <v>619.07067399707296</v>
      </c>
      <c r="R91" s="59">
        <f t="shared" si="55"/>
        <v>912.40400733040633</v>
      </c>
      <c r="S91" s="59">
        <f ca="1">AVERAGE(OFFSET($R$3,0,0,'Données projet'!$E$9+1,1))-AVERAGE(OFFSET($H$3,0,0,'Données projet'!$E$9+1,1))</f>
        <v>330.30341204367602</v>
      </c>
      <c r="T91" s="59">
        <f t="shared" si="88"/>
        <v>200.36653694091007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58.184379515054175</v>
      </c>
      <c r="AA91" s="21">
        <f>EXP(-LN(2)/25)*AA90+(1-EXP(-LN(2)/25))/(LN(2)/25)*Calculateur!V91*Calculateur!X91*VLOOKUP('Données projet'!$B$9,Paramètres!$A$1:$I$89,3,0)*0.475*44/12</f>
        <v>2.905610009828461</v>
      </c>
      <c r="AB91" s="21">
        <f>EXP(-LN(2)/2)*AB90+(1-EXP(-LN(2)/2))/(LN(2)/2)*V91*Y91*VLOOKUP('Données projet'!$B$9,Paramètres!$A$1:$I$89,3,0)*0.475*44/12</f>
        <v>0.61596152499671475</v>
      </c>
      <c r="AC91" s="22">
        <f t="shared" si="57"/>
        <v>61.705951049879353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971.99999999999977</v>
      </c>
      <c r="AJ91" s="13">
        <f>AI91*VLOOKUP('Données projet'!$B$10,Paramètres!$A$1:$I$89,3,0)*VLOOKUP('Données projet'!$B$10,Paramètres!$A$1:$I$89,5,0)</f>
        <v>581.25599999999986</v>
      </c>
      <c r="AK91" s="13">
        <f t="shared" si="89"/>
        <v>127.68713506014205</v>
      </c>
      <c r="AL91" s="20">
        <f t="shared" si="58"/>
        <v>1234.7426268964139</v>
      </c>
      <c r="AM91" s="59">
        <f t="shared" si="59"/>
        <v>1528.0759602297471</v>
      </c>
      <c r="AN91" s="59">
        <f ca="1">AVERAGE(OFFSET($AM$3,0,0,'Données projet'!$E$10+1,1))-AVERAGE(OFFSET($H$3,0,0,'Données projet'!$E$10+1,1))</f>
        <v>465.77577582457678</v>
      </c>
      <c r="AO91" s="59">
        <f t="shared" si="90"/>
        <v>301.15495784503042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36.672467341126669</v>
      </c>
      <c r="AV91" s="21">
        <f>EXP(-LN(2)/25)*AV90+(1-EXP(-LN(2)/25))/(LN(2)/25)*Calculateur!AQ91*Calculateur!AS91*VLOOKUP('Données projet'!$B$10,Paramètres!$A$1:$I$89,3,0)*0.475*44/12</f>
        <v>18.17315941999998</v>
      </c>
      <c r="AW91" s="21">
        <f>EXP(-LN(2)/2)*AW90+(1-EXP(-LN(2)/2))/(LN(2)/2)*AQ91*AT91*VLOOKUP('Données projet'!$B$10,Paramètres!$A$1:$I$89,3,0)*0.475*44/12</f>
        <v>3.1757818224111118E-3</v>
      </c>
      <c r="AX91" s="21">
        <f t="shared" si="60"/>
        <v>54.848802542949066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273.00000000000023</v>
      </c>
      <c r="BE91" s="13">
        <f>BD91*VLOOKUP('Données projet'!$B$11,Paramètres!$A$1:$I$89,3,0)*VLOOKUP('Données projet'!$B$11,Paramètres!$A$1:$I$89,5,0)</f>
        <v>212.9400000000002</v>
      </c>
      <c r="BF91" s="13">
        <f t="shared" si="91"/>
        <v>52.577528895212915</v>
      </c>
      <c r="BG91" s="20">
        <f t="shared" si="61"/>
        <v>462.44302949249618</v>
      </c>
      <c r="BH91" s="59">
        <f t="shared" si="62"/>
        <v>755.77636282582944</v>
      </c>
      <c r="BI91" s="59">
        <f ca="1">AVERAGE(OFFSET($BH$3,0,0,'Données projet'!$E$11+1,1))-AVERAGE(OFFSET($H$3,0,0,'Données projet'!$E$11+1,1))</f>
        <v>219.5868031007679</v>
      </c>
      <c r="BJ91" s="59">
        <f t="shared" si="92"/>
        <v>263.3830219837742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18.747111879544743</v>
      </c>
      <c r="BQ91" s="21">
        <f>EXP(-LN(2)/25)*BQ90+(1-EXP(-LN(2)/25))/(LN(2)/25)*Calculateur!BL91*Calculateur!BN91*VLOOKUP('Données projet'!$B$11,Paramètres!$A$1:$I$89,3,0)*0.475*44/12</f>
        <v>2.7295181143544158</v>
      </c>
      <c r="BR91" s="21">
        <f>EXP(-LN(2)/2)*BR90+(1-EXP(-LN(2)/2))/(LN(2)/2)*BL91*BO91*VLOOKUP('Données projet'!$B$11,Paramètres!$A$1:$I$89,3,0)*0.475*44/12</f>
        <v>2.9994651900916479E-4</v>
      </c>
      <c r="BS91" s="22">
        <f t="shared" si="63"/>
        <v>21.47692994041817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243.99999999999989</v>
      </c>
      <c r="BZ91" s="13">
        <f>BY91*VLOOKUP('Données projet'!$B$12,Paramètres!$A$1:$I$89,3,0)*VLOOKUP('Données projet'!$B$12,Paramètres!$A$1:$I$89,5,0)</f>
        <v>262.64159999999987</v>
      </c>
      <c r="CA91" s="13">
        <f t="shared" si="93"/>
        <v>63.285128621471941</v>
      </c>
      <c r="CB91" s="20">
        <f t="shared" si="64"/>
        <v>567.65571901573003</v>
      </c>
      <c r="CC91" s="59">
        <f t="shared" si="65"/>
        <v>860.98905234906329</v>
      </c>
      <c r="CD91" s="59">
        <f ca="1">AVERAGE(OFFSET($CC$3,0,0,'Données projet'!$E$12+1,1))-AVERAGE(OFFSET($H$3,0,0,'Données projet'!$E$12+1,1))</f>
        <v>244.7364260963538</v>
      </c>
      <c r="CE91" s="59">
        <f t="shared" si="94"/>
        <v>270.32853612539299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20.542834015916046</v>
      </c>
      <c r="CL91" s="21">
        <f>EXP(-LN(2)/25)*CL90+(1-EXP(-LN(2)/25))/(LN(2)/25)*Calculateur!CG91*Calculateur!CI91*VLOOKUP('Données projet'!$B$12,Paramètres!$A$1:$I$89,3,0)*0.475*44/12</f>
        <v>3.0057681862232646</v>
      </c>
      <c r="CM91" s="21">
        <f>EXP(-LN(2)/2)*CM90+(1-EXP(-LN(2)/2))/(LN(2)/2)*CG91*CJ91*VLOOKUP('Données projet'!$B$12,Paramètres!$A$1:$I$89,3,0)*0.475*44/12</f>
        <v>3.1100616221893187E-4</v>
      </c>
      <c r="CN91" s="22">
        <f t="shared" si="66"/>
        <v>23.548913208301528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243.99999999999989</v>
      </c>
      <c r="CU91" s="17">
        <f>CT91*VLOOKUP('Données projet'!$B$13,Paramètres!$A$1:$I$89,3,0)*VLOOKUP('Données projet'!$B$13,Paramètres!$A$1:$I$89,5,0)</f>
        <v>235.99679999999987</v>
      </c>
      <c r="CV91" s="13">
        <f t="shared" si="95"/>
        <v>57.577381127598322</v>
      </c>
      <c r="CW91" s="20">
        <f t="shared" si="67"/>
        <v>511.30836546390015</v>
      </c>
      <c r="CX91" s="59">
        <f t="shared" si="68"/>
        <v>804.6416987972334</v>
      </c>
      <c r="CY91" s="59">
        <f ca="1">AVERAGE(OFFSET($CX$3,0,0,'Données projet'!$E$13+1,1))-AVERAGE(OFFSET($H$3,0,0,'Données projet'!$E$13+1,1))</f>
        <v>216.39536568500222</v>
      </c>
      <c r="CZ91" s="59">
        <f t="shared" si="96"/>
        <v>239.44686980897467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18.458778391112972</v>
      </c>
      <c r="DG91" s="21">
        <f>EXP(-LN(2)/25)*DG90+(1-EXP(-LN(2)/25))/(LN(2)/25)*Calculateur!DB91*Calculateur!DD91*VLOOKUP('Données projet'!$B$13,Paramètres!$A$1:$I$89,3,0)*0.475*44/12</f>
        <v>2.7008351818238023</v>
      </c>
      <c r="DH91" s="21">
        <f>EXP(-LN(2)/2)*DH90+(1-EXP(-LN(2)/2))/(LN(2)/2)*DB91*DE91*VLOOKUP('Données projet'!$B$13,Paramètres!$A$1:$I$89,3,0)*0.475*44/12</f>
        <v>2.7945481242860518E-4</v>
      </c>
      <c r="DI91" s="22">
        <f t="shared" si="69"/>
        <v>21.159893027749202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52.759199999999908</v>
      </c>
      <c r="D92" s="11">
        <f t="shared" si="86"/>
        <v>15.324092182085595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525.55523789680035</v>
      </c>
      <c r="H92" s="67">
        <f t="shared" si="56"/>
        <v>411.91173388379889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6.4</v>
      </c>
      <c r="N92" s="13">
        <f>IF('Données projet'!$A$36&gt;35,N91+M92-V91,IF(A92&lt;'Données projet'!$A$36,$K$205^A92,IF(A92='Données projet'!$A$36,'Données projet'!$B$36,N91+M92-V91)))</f>
        <v>323.59999999999997</v>
      </c>
      <c r="O92" s="13">
        <f>N92*VLOOKUP('Données projet'!$B$9,Paramètres!$A$1:$I$89,3,0)*VLOOKUP('Données projet'!$B$9,Paramètres!$A$1:$I$89,5,0)</f>
        <v>292.79327999999992</v>
      </c>
      <c r="P92" s="13">
        <f t="shared" si="87"/>
        <v>69.663526761731433</v>
      </c>
      <c r="Q92" s="20">
        <f t="shared" si="54"/>
        <v>631.27893844334869</v>
      </c>
      <c r="R92" s="59">
        <f t="shared" si="55"/>
        <v>924.61227177668206</v>
      </c>
      <c r="S92" s="59">
        <f ca="1">AVERAGE(OFFSET($R$3,0,0,'Données projet'!$E$9+1,1))-AVERAGE(OFFSET($H$3,0,0,'Données projet'!$E$9+1,1))</f>
        <v>330.30341204367602</v>
      </c>
      <c r="T92" s="59">
        <f t="shared" si="88"/>
        <v>200.36653694091007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57.043419321731221</v>
      </c>
      <c r="AA92" s="21">
        <f>EXP(-LN(2)/25)*AA91+(1-EXP(-LN(2)/25))/(LN(2)/25)*Calculateur!V92*Calculateur!X92*VLOOKUP('Données projet'!$B$9,Paramètres!$A$1:$I$89,3,0)*0.475*44/12</f>
        <v>2.8261559513103123</v>
      </c>
      <c r="AB92" s="21">
        <f>EXP(-LN(2)/2)*AB91+(1-EXP(-LN(2)/2))/(LN(2)/2)*V92*Y92*VLOOKUP('Données projet'!$B$9,Paramètres!$A$1:$I$89,3,0)*0.475*44/12</f>
        <v>0.43555057127518415</v>
      </c>
      <c r="AC92" s="22">
        <f t="shared" si="57"/>
        <v>60.30512584431672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971.99999999999977</v>
      </c>
      <c r="AJ92" s="13">
        <f>AI92*VLOOKUP('Données projet'!$B$10,Paramètres!$A$1:$I$89,3,0)*VLOOKUP('Données projet'!$B$10,Paramètres!$A$1:$I$89,5,0)</f>
        <v>581.25599999999986</v>
      </c>
      <c r="AK92" s="13">
        <f t="shared" si="89"/>
        <v>127.68713506014205</v>
      </c>
      <c r="AL92" s="20">
        <f t="shared" si="58"/>
        <v>1234.7426268964139</v>
      </c>
      <c r="AM92" s="59">
        <f t="shared" si="59"/>
        <v>1528.0759602297471</v>
      </c>
      <c r="AN92" s="59">
        <f ca="1">AVERAGE(OFFSET($AM$3,0,0,'Données projet'!$E$10+1,1))-AVERAGE(OFFSET($H$3,0,0,'Données projet'!$E$10+1,1))</f>
        <v>465.77577582457678</v>
      </c>
      <c r="AO92" s="59">
        <f t="shared" si="90"/>
        <v>301.15495784503042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35.953342624563597</v>
      </c>
      <c r="AV92" s="21">
        <f>EXP(-LN(2)/25)*AV91+(1-EXP(-LN(2)/25))/(LN(2)/25)*Calculateur!AQ92*Calculateur!AS92*VLOOKUP('Données projet'!$B$10,Paramètres!$A$1:$I$89,3,0)*0.475*44/12</f>
        <v>17.676213419975163</v>
      </c>
      <c r="AW92" s="21">
        <f>EXP(-LN(2)/2)*AW91+(1-EXP(-LN(2)/2))/(LN(2)/2)*AQ92*AT92*VLOOKUP('Données projet'!$B$10,Paramètres!$A$1:$I$89,3,0)*0.475*44/12</f>
        <v>2.2456168621958691E-3</v>
      </c>
      <c r="AX92" s="21">
        <f t="shared" si="60"/>
        <v>53.631801661400957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273.00000000000023</v>
      </c>
      <c r="BE92" s="13">
        <f>BD92*VLOOKUP('Données projet'!$B$11,Paramètres!$A$1:$I$89,3,0)*VLOOKUP('Données projet'!$B$11,Paramètres!$A$1:$I$89,5,0)</f>
        <v>212.9400000000002</v>
      </c>
      <c r="BF92" s="13">
        <f t="shared" si="91"/>
        <v>52.577528895212915</v>
      </c>
      <c r="BG92" s="20">
        <f t="shared" si="61"/>
        <v>462.44302949249618</v>
      </c>
      <c r="BH92" s="59">
        <f t="shared" si="62"/>
        <v>755.77636282582944</v>
      </c>
      <c r="BI92" s="59">
        <f ca="1">AVERAGE(OFFSET($BH$3,0,0,'Données projet'!$E$11+1,1))-AVERAGE(OFFSET($H$3,0,0,'Données projet'!$E$11+1,1))</f>
        <v>219.5868031007679</v>
      </c>
      <c r="BJ92" s="59">
        <f t="shared" si="92"/>
        <v>263.3830219837742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18.379492450196043</v>
      </c>
      <c r="BQ92" s="21">
        <f>EXP(-LN(2)/25)*BQ91+(1-EXP(-LN(2)/25))/(LN(2)/25)*Calculateur!BL92*Calculateur!BN92*VLOOKUP('Données projet'!$B$11,Paramètres!$A$1:$I$89,3,0)*0.475*44/12</f>
        <v>2.6548792979782752</v>
      </c>
      <c r="BR92" s="21">
        <f>EXP(-LN(2)/2)*BR91+(1-EXP(-LN(2)/2))/(LN(2)/2)*BL92*BO92*VLOOKUP('Données projet'!$B$11,Paramètres!$A$1:$I$89,3,0)*0.475*44/12</f>
        <v>2.1209421758468011E-4</v>
      </c>
      <c r="BS92" s="22">
        <f t="shared" si="63"/>
        <v>21.034583842391903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243.99999999999989</v>
      </c>
      <c r="BZ92" s="13">
        <f>BY92*VLOOKUP('Données projet'!$B$12,Paramètres!$A$1:$I$89,3,0)*VLOOKUP('Données projet'!$B$12,Paramètres!$A$1:$I$89,5,0)</f>
        <v>262.64159999999987</v>
      </c>
      <c r="CA92" s="13">
        <f t="shared" si="93"/>
        <v>63.285128621471941</v>
      </c>
      <c r="CB92" s="20">
        <f t="shared" si="64"/>
        <v>567.65571901573003</v>
      </c>
      <c r="CC92" s="59">
        <f t="shared" si="65"/>
        <v>860.98905234906329</v>
      </c>
      <c r="CD92" s="59">
        <f ca="1">AVERAGE(OFFSET($CC$3,0,0,'Données projet'!$E$12+1,1))-AVERAGE(OFFSET($H$3,0,0,'Données projet'!$E$12+1,1))</f>
        <v>244.7364260963538</v>
      </c>
      <c r="CE92" s="59">
        <f t="shared" si="94"/>
        <v>270.32853612539299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20.140001570755459</v>
      </c>
      <c r="CL92" s="21">
        <f>EXP(-LN(2)/25)*CL91+(1-EXP(-LN(2)/25))/(LN(2)/25)*Calculateur!CG92*Calculateur!CI92*VLOOKUP('Données projet'!$B$12,Paramètres!$A$1:$I$89,3,0)*0.475*44/12</f>
        <v>2.9235752971045104</v>
      </c>
      <c r="CM92" s="21">
        <f>EXP(-LN(2)/2)*CM91+(1-EXP(-LN(2)/2))/(LN(2)/2)*CG92*CJ92*VLOOKUP('Données projet'!$B$12,Paramètres!$A$1:$I$89,3,0)*0.475*44/12</f>
        <v>2.1991456629581017E-4</v>
      </c>
      <c r="CN92" s="22">
        <f t="shared" si="66"/>
        <v>23.063796782426262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243.99999999999989</v>
      </c>
      <c r="CU92" s="17">
        <f>CT92*VLOOKUP('Données projet'!$B$13,Paramètres!$A$1:$I$89,3,0)*VLOOKUP('Données projet'!$B$13,Paramètres!$A$1:$I$89,5,0)</f>
        <v>235.99679999999987</v>
      </c>
      <c r="CV92" s="13">
        <f t="shared" si="95"/>
        <v>57.577381127598322</v>
      </c>
      <c r="CW92" s="20">
        <f t="shared" si="67"/>
        <v>511.30836546390015</v>
      </c>
      <c r="CX92" s="59">
        <f t="shared" si="68"/>
        <v>804.6416987972334</v>
      </c>
      <c r="CY92" s="59">
        <f ca="1">AVERAGE(OFFSET($CX$3,0,0,'Données projet'!$E$13+1,1))-AVERAGE(OFFSET($H$3,0,0,'Données projet'!$E$13+1,1))</f>
        <v>216.39536568500222</v>
      </c>
      <c r="CZ92" s="59">
        <f t="shared" si="96"/>
        <v>239.44686980897467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18.096813005606357</v>
      </c>
      <c r="DG92" s="21">
        <f>EXP(-LN(2)/25)*DG91+(1-EXP(-LN(2)/25))/(LN(2)/25)*Calculateur!DB92*Calculateur!DD92*VLOOKUP('Données projet'!$B$13,Paramètres!$A$1:$I$89,3,0)*0.475*44/12</f>
        <v>2.6269807017460809</v>
      </c>
      <c r="DH92" s="21">
        <f>EXP(-LN(2)/2)*DH91+(1-EXP(-LN(2)/2))/(LN(2)/2)*DB92*DE92*VLOOKUP('Données projet'!$B$13,Paramètres!$A$1:$I$89,3,0)*0.475*44/12</f>
        <v>1.9760439290348141E-4</v>
      </c>
      <c r="DI92" s="22">
        <f t="shared" si="69"/>
        <v>20.72399131174534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53.351999999999904</v>
      </c>
      <c r="D93" s="11">
        <f t="shared" si="86"/>
        <v>15.476132071622814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531.30487914936839</v>
      </c>
      <c r="H93" s="67">
        <f t="shared" si="56"/>
        <v>413.20899669140954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330</v>
      </c>
      <c r="L93" s="12">
        <f>VLOOKUP(A93,'Données projet'!$A$35:$I$55,9,0)</f>
        <v>6.4</v>
      </c>
      <c r="M93" s="12">
        <f t="array" ref="M93">INDEX(L:L,MIN(IF(ISNUMBER(L93:L289),ROW(L93:L289),"")))</f>
        <v>6.4</v>
      </c>
      <c r="N93" s="13">
        <f>IF('Données projet'!$A$36&gt;35,N92+M93-V92,IF(A93&lt;'Données projet'!$A$36,$K$205^A93,IF(A93='Données projet'!$A$36,'Données projet'!$B$36,N92+M93-V92)))</f>
        <v>329.99999999999994</v>
      </c>
      <c r="O93" s="13">
        <f>N93*VLOOKUP('Données projet'!$B$9,Paramètres!$A$1:$I$89,3,0)*VLOOKUP('Données projet'!$B$9,Paramètres!$A$1:$I$89,5,0)</f>
        <v>298.58399999999995</v>
      </c>
      <c r="P93" s="13">
        <f t="shared" si="87"/>
        <v>70.879533797607607</v>
      </c>
      <c r="Q93" s="20">
        <f t="shared" si="54"/>
        <v>643.48232136416652</v>
      </c>
      <c r="R93" s="59">
        <f t="shared" si="55"/>
        <v>936.81565469749989</v>
      </c>
      <c r="S93" s="59">
        <f ca="1">AVERAGE(OFFSET($R$3,0,0,'Données projet'!$E$9+1,1))-AVERAGE(OFFSET($H$3,0,0,'Données projet'!$E$9+1,1))</f>
        <v>330.30341204367602</v>
      </c>
      <c r="T93" s="59">
        <f t="shared" si="88"/>
        <v>200.36653694091007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28</v>
      </c>
      <c r="W93" s="16">
        <f>IF(ISNA(VLOOKUP(A93,'Données projet'!$A$35:$I$55,5,0)),0%,VLOOKUP(A93,'Données projet'!$A$35:$I$55,5,0)*VLOOKUP('Données projet'!$B$9,Paramètres!$A$1:$I$89,7,0))</f>
        <v>0.34400000000000003</v>
      </c>
      <c r="X93" s="16">
        <f>IF(ISNA(VLOOKUP(A93,'Données projet'!$A$35:$I$55,6,0)),0%,VLOOKUP(A93,'Données projet'!$A$35:$I$55,6,0)*VLOOKUP('Données projet'!$B$9,Paramètres!$A$1:$I$89,7,0))</f>
        <v>1.72E-2</v>
      </c>
      <c r="Y93" s="16">
        <f>IF(ISNA(VLOOKUP(A93,'Données projet'!$A$35:$I$55,7,0)),0%,VLOOKUP(A93,'Données projet'!$A$35:$I$55,7,0))</f>
        <v>0.06</v>
      </c>
      <c r="Z93" s="21">
        <f>EXP(-LN(2)/35)*Z92+(1-EXP(-LN(2)/35))/(LN(2)/35)*V93*W93*VLOOKUP('Données projet'!$B$9,Paramètres!$A$1:$I$89,3,0)*0.475*44/12</f>
        <v>65.559044163316742</v>
      </c>
      <c r="AA93" s="21">
        <f>EXP(-LN(2)/25)*AA92+(1-EXP(-LN(2)/25))/(LN(2)/25)*Calculateur!V93*Calculateur!X93*VLOOKUP('Données projet'!$B$9,Paramètres!$A$1:$I$89,3,0)*0.475*44/12</f>
        <v>3.2286884651921937</v>
      </c>
      <c r="AB93" s="21">
        <f>EXP(-LN(2)/2)*AB92+(1-EXP(-LN(2)/2))/(LN(2)/2)*V93*Y93*VLOOKUP('Données projet'!$B$9,Paramètres!$A$1:$I$89,3,0)*0.475*44/12</f>
        <v>1.7422020584210822</v>
      </c>
      <c r="AC93" s="22">
        <f t="shared" si="57"/>
        <v>70.529934686930019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971.99999999999977</v>
      </c>
      <c r="AJ93" s="13">
        <f>AI93*VLOOKUP('Données projet'!$B$10,Paramètres!$A$1:$I$89,3,0)*VLOOKUP('Données projet'!$B$10,Paramètres!$A$1:$I$89,5,0)</f>
        <v>581.25599999999986</v>
      </c>
      <c r="AK93" s="13">
        <f t="shared" si="89"/>
        <v>127.68713506014205</v>
      </c>
      <c r="AL93" s="20">
        <f t="shared" si="58"/>
        <v>1234.7426268964139</v>
      </c>
      <c r="AM93" s="59">
        <f t="shared" si="59"/>
        <v>1528.0759602297471</v>
      </c>
      <c r="AN93" s="59">
        <f ca="1">AVERAGE(OFFSET($AM$3,0,0,'Données projet'!$E$10+1,1))-AVERAGE(OFFSET($H$3,0,0,'Données projet'!$E$10+1,1))</f>
        <v>465.77577582457678</v>
      </c>
      <c r="AO93" s="59">
        <f t="shared" si="90"/>
        <v>301.15495784503042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35.24831950506956</v>
      </c>
      <c r="AV93" s="21">
        <f>EXP(-LN(2)/25)*AV92+(1-EXP(-LN(2)/25))/(LN(2)/25)*Calculateur!AQ93*Calculateur!AS93*VLOOKUP('Données projet'!$B$10,Paramètres!$A$1:$I$89,3,0)*0.475*44/12</f>
        <v>17.192856434454278</v>
      </c>
      <c r="AW93" s="21">
        <f>EXP(-LN(2)/2)*AW92+(1-EXP(-LN(2)/2))/(LN(2)/2)*AQ93*AT93*VLOOKUP('Données projet'!$B$10,Paramètres!$A$1:$I$89,3,0)*0.475*44/12</f>
        <v>1.5878909112055559E-3</v>
      </c>
      <c r="AX93" s="21">
        <f t="shared" si="60"/>
        <v>52.442763830435041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273.00000000000023</v>
      </c>
      <c r="BE93" s="13">
        <f>BD93*VLOOKUP('Données projet'!$B$11,Paramètres!$A$1:$I$89,3,0)*VLOOKUP('Données projet'!$B$11,Paramètres!$A$1:$I$89,5,0)</f>
        <v>212.9400000000002</v>
      </c>
      <c r="BF93" s="13">
        <f t="shared" si="91"/>
        <v>52.577528895212915</v>
      </c>
      <c r="BG93" s="20">
        <f t="shared" si="61"/>
        <v>462.44302949249618</v>
      </c>
      <c r="BH93" s="59">
        <f t="shared" si="62"/>
        <v>755.77636282582944</v>
      </c>
      <c r="BI93" s="59">
        <f ca="1">AVERAGE(OFFSET($BH$3,0,0,'Données projet'!$E$11+1,1))-AVERAGE(OFFSET($H$3,0,0,'Données projet'!$E$11+1,1))</f>
        <v>219.5868031007679</v>
      </c>
      <c r="BJ93" s="59">
        <f t="shared" si="92"/>
        <v>263.3830219837742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18.019081813631161</v>
      </c>
      <c r="BQ93" s="21">
        <f>EXP(-LN(2)/25)*BQ92+(1-EXP(-LN(2)/25))/(LN(2)/25)*Calculateur!BL93*Calculateur!BN93*VLOOKUP('Données projet'!$B$11,Paramètres!$A$1:$I$89,3,0)*0.475*44/12</f>
        <v>2.5822814839610246</v>
      </c>
      <c r="BR93" s="21">
        <f>EXP(-LN(2)/2)*BR92+(1-EXP(-LN(2)/2))/(LN(2)/2)*BL93*BO93*VLOOKUP('Données projet'!$B$11,Paramètres!$A$1:$I$89,3,0)*0.475*44/12</f>
        <v>1.499732595045824E-4</v>
      </c>
      <c r="BS93" s="22">
        <f t="shared" si="63"/>
        <v>20.60151327085169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243.99999999999989</v>
      </c>
      <c r="BZ93" s="13">
        <f>BY93*VLOOKUP('Données projet'!$B$12,Paramètres!$A$1:$I$89,3,0)*VLOOKUP('Données projet'!$B$12,Paramètres!$A$1:$I$89,5,0)</f>
        <v>262.64159999999987</v>
      </c>
      <c r="CA93" s="13">
        <f t="shared" si="93"/>
        <v>63.285128621471941</v>
      </c>
      <c r="CB93" s="20">
        <f t="shared" si="64"/>
        <v>567.65571901573003</v>
      </c>
      <c r="CC93" s="59">
        <f t="shared" si="65"/>
        <v>860.98905234906329</v>
      </c>
      <c r="CD93" s="59">
        <f ca="1">AVERAGE(OFFSET($CC$3,0,0,'Données projet'!$E$12+1,1))-AVERAGE(OFFSET($H$3,0,0,'Données projet'!$E$12+1,1))</f>
        <v>244.7364260963538</v>
      </c>
      <c r="CE93" s="59">
        <f t="shared" si="94"/>
        <v>270.32853612539299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19.745068424140939</v>
      </c>
      <c r="CL93" s="21">
        <f>EXP(-LN(2)/25)*CL92+(1-EXP(-LN(2)/25))/(LN(2)/25)*Calculateur!CG93*Calculateur!CI93*VLOOKUP('Données projet'!$B$12,Paramètres!$A$1:$I$89,3,0)*0.475*44/12</f>
        <v>2.8436299768610445</v>
      </c>
      <c r="CM93" s="21">
        <f>EXP(-LN(2)/2)*CM92+(1-EXP(-LN(2)/2))/(LN(2)/2)*CG93*CJ93*VLOOKUP('Données projet'!$B$12,Paramètres!$A$1:$I$89,3,0)*0.475*44/12</f>
        <v>1.5550308110946594E-4</v>
      </c>
      <c r="CN93" s="22">
        <f t="shared" si="66"/>
        <v>22.588853904083095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243.99999999999989</v>
      </c>
      <c r="CU93" s="17">
        <f>CT93*VLOOKUP('Données projet'!$B$13,Paramètres!$A$1:$I$89,3,0)*VLOOKUP('Données projet'!$B$13,Paramètres!$A$1:$I$89,5,0)</f>
        <v>235.99679999999987</v>
      </c>
      <c r="CV93" s="13">
        <f t="shared" si="95"/>
        <v>57.577381127598322</v>
      </c>
      <c r="CW93" s="20">
        <f t="shared" si="67"/>
        <v>511.30836546390015</v>
      </c>
      <c r="CX93" s="59">
        <f t="shared" si="68"/>
        <v>804.6416987972334</v>
      </c>
      <c r="CY93" s="59">
        <f ca="1">AVERAGE(OFFSET($CX$3,0,0,'Données projet'!$E$13+1,1))-AVERAGE(OFFSET($H$3,0,0,'Données projet'!$E$13+1,1))</f>
        <v>216.39536568500222</v>
      </c>
      <c r="CZ93" s="59">
        <f t="shared" si="96"/>
        <v>239.44686980897467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17.741945540532441</v>
      </c>
      <c r="DG93" s="21">
        <f>EXP(-LN(2)/25)*DG92+(1-EXP(-LN(2)/25))/(LN(2)/25)*Calculateur!DB93*Calculateur!DD93*VLOOKUP('Données projet'!$B$13,Paramètres!$A$1:$I$89,3,0)*0.475*44/12</f>
        <v>2.5551457763099235</v>
      </c>
      <c r="DH93" s="21">
        <f>EXP(-LN(2)/2)*DH92+(1-EXP(-LN(2)/2))/(LN(2)/2)*DB93*DE93*VLOOKUP('Données projet'!$B$13,Paramètres!$A$1:$I$89,3,0)*0.475*44/12</f>
        <v>1.3972740621430259E-4</v>
      </c>
      <c r="DI93" s="22">
        <f t="shared" si="69"/>
        <v>20.29723104424858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53.944799999999901</v>
      </c>
      <c r="D94" s="11">
        <f t="shared" si="86"/>
        <v>15.627975445731293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537.05300344073203</v>
      </c>
      <c r="H94" s="67">
        <f t="shared" si="56"/>
        <v>414.50591723464851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6.2</v>
      </c>
      <c r="N94" s="13">
        <f>IF('Données projet'!$A$36&gt;35,N93+M94-V93,IF(A94&lt;'Données projet'!$A$36,$K$205^A94,IF(A94='Données projet'!$A$36,'Données projet'!$B$36,N93+M94-V93)))</f>
        <v>308.19999999999993</v>
      </c>
      <c r="O94" s="13">
        <f>N94*VLOOKUP('Données projet'!$B$9,Paramètres!$A$1:$I$89,3,0)*VLOOKUP('Données projet'!$B$9,Paramètres!$A$1:$I$89,5,0)</f>
        <v>278.85935999999992</v>
      </c>
      <c r="P94" s="13">
        <f t="shared" si="87"/>
        <v>66.725901622172387</v>
      </c>
      <c r="Q94" s="20">
        <f t="shared" si="54"/>
        <v>601.8943306586167</v>
      </c>
      <c r="R94" s="59">
        <f t="shared" si="55"/>
        <v>895.22766399195007</v>
      </c>
      <c r="S94" s="59">
        <f ca="1">AVERAGE(OFFSET($R$3,0,0,'Données projet'!$E$9+1,1))-AVERAGE(OFFSET($H$3,0,0,'Données projet'!$E$9+1,1))</f>
        <v>330.30341204367602</v>
      </c>
      <c r="T94" s="59">
        <f t="shared" si="88"/>
        <v>200.36653694091007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64.273471294342642</v>
      </c>
      <c r="AA94" s="21">
        <f>EXP(-LN(2)/25)*AA93+(1-EXP(-LN(2)/25))/(LN(2)/25)*Calculateur!V94*Calculateur!X94*VLOOKUP('Données projet'!$B$9,Paramètres!$A$1:$I$89,3,0)*0.475*44/12</f>
        <v>3.1403998093221661</v>
      </c>
      <c r="AB94" s="21">
        <f>EXP(-LN(2)/2)*AB93+(1-EXP(-LN(2)/2))/(LN(2)/2)*V94*Y94*VLOOKUP('Données projet'!$B$9,Paramètres!$A$1:$I$89,3,0)*0.475*44/12</f>
        <v>1.2319228897067089</v>
      </c>
      <c r="AC94" s="22">
        <f t="shared" si="57"/>
        <v>68.645793993371512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971.99999999999977</v>
      </c>
      <c r="AJ94" s="13">
        <f>AI94*VLOOKUP('Données projet'!$B$10,Paramètres!$A$1:$I$89,3,0)*VLOOKUP('Données projet'!$B$10,Paramètres!$A$1:$I$89,5,0)</f>
        <v>581.25599999999986</v>
      </c>
      <c r="AK94" s="13">
        <f t="shared" si="89"/>
        <v>127.68713506014205</v>
      </c>
      <c r="AL94" s="20">
        <f t="shared" si="58"/>
        <v>1234.7426268964139</v>
      </c>
      <c r="AM94" s="59">
        <f t="shared" si="59"/>
        <v>1528.0759602297471</v>
      </c>
      <c r="AN94" s="59">
        <f ca="1">AVERAGE(OFFSET($AM$3,0,0,'Données projet'!$E$10+1,1))-AVERAGE(OFFSET($H$3,0,0,'Données projet'!$E$10+1,1))</f>
        <v>465.77577582457678</v>
      </c>
      <c r="AO94" s="59">
        <f t="shared" si="90"/>
        <v>301.15495784503042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34.557121458927156</v>
      </c>
      <c r="AV94" s="21">
        <f>EXP(-LN(2)/25)*AV93+(1-EXP(-LN(2)/25))/(LN(2)/25)*Calculateur!AQ94*Calculateur!AS94*VLOOKUP('Données projet'!$B$10,Paramètres!$A$1:$I$89,3,0)*0.475*44/12</f>
        <v>16.722716871121101</v>
      </c>
      <c r="AW94" s="21">
        <f>EXP(-LN(2)/2)*AW93+(1-EXP(-LN(2)/2))/(LN(2)/2)*AQ94*AT94*VLOOKUP('Données projet'!$B$10,Paramètres!$A$1:$I$89,3,0)*0.475*44/12</f>
        <v>1.1228084310979346E-3</v>
      </c>
      <c r="AX94" s="21">
        <f t="shared" si="60"/>
        <v>51.280961138479356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273.00000000000023</v>
      </c>
      <c r="BE94" s="13">
        <f>BD94*VLOOKUP('Données projet'!$B$11,Paramètres!$A$1:$I$89,3,0)*VLOOKUP('Données projet'!$B$11,Paramètres!$A$1:$I$89,5,0)</f>
        <v>212.9400000000002</v>
      </c>
      <c r="BF94" s="13">
        <f t="shared" si="91"/>
        <v>52.577528895212915</v>
      </c>
      <c r="BG94" s="20">
        <f t="shared" si="61"/>
        <v>462.44302949249618</v>
      </c>
      <c r="BH94" s="59">
        <f t="shared" si="62"/>
        <v>755.77636282582944</v>
      </c>
      <c r="BI94" s="59">
        <f ca="1">AVERAGE(OFFSET($BH$3,0,0,'Données projet'!$E$11+1,1))-AVERAGE(OFFSET($H$3,0,0,'Données projet'!$E$11+1,1))</f>
        <v>219.5868031007679</v>
      </c>
      <c r="BJ94" s="59">
        <f t="shared" si="92"/>
        <v>263.3830219837742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17.665738609820533</v>
      </c>
      <c r="BQ94" s="21">
        <f>EXP(-LN(2)/25)*BQ93+(1-EXP(-LN(2)/25))/(LN(2)/25)*Calculateur!BL94*Calculateur!BN94*VLOOKUP('Données projet'!$B$11,Paramètres!$A$1:$I$89,3,0)*0.475*44/12</f>
        <v>2.5116688609858291</v>
      </c>
      <c r="BR94" s="21">
        <f>EXP(-LN(2)/2)*BR93+(1-EXP(-LN(2)/2))/(LN(2)/2)*BL94*BO94*VLOOKUP('Données projet'!$B$11,Paramètres!$A$1:$I$89,3,0)*0.475*44/12</f>
        <v>1.0604710879234006E-4</v>
      </c>
      <c r="BS94" s="22">
        <f t="shared" si="63"/>
        <v>20.177513517915155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243.99999999999989</v>
      </c>
      <c r="BZ94" s="13">
        <f>BY94*VLOOKUP('Données projet'!$B$12,Paramètres!$A$1:$I$89,3,0)*VLOOKUP('Données projet'!$B$12,Paramètres!$A$1:$I$89,5,0)</f>
        <v>262.64159999999987</v>
      </c>
      <c r="CA94" s="13">
        <f t="shared" si="93"/>
        <v>63.285128621471941</v>
      </c>
      <c r="CB94" s="20">
        <f t="shared" si="64"/>
        <v>567.65571901573003</v>
      </c>
      <c r="CC94" s="59">
        <f t="shared" si="65"/>
        <v>860.98905234906329</v>
      </c>
      <c r="CD94" s="59">
        <f ca="1">AVERAGE(OFFSET($CC$3,0,0,'Données projet'!$E$12+1,1))-AVERAGE(OFFSET($H$3,0,0,'Données projet'!$E$12+1,1))</f>
        <v>244.7364260963538</v>
      </c>
      <c r="CE94" s="59">
        <f t="shared" si="94"/>
        <v>270.32853612539299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19.357879675646096</v>
      </c>
      <c r="CL94" s="21">
        <f>EXP(-LN(2)/25)*CL93+(1-EXP(-LN(2)/25))/(LN(2)/25)*Calculateur!CG94*Calculateur!CI94*VLOOKUP('Données projet'!$B$12,Paramètres!$A$1:$I$89,3,0)*0.475*44/12</f>
        <v>2.7658707656037778</v>
      </c>
      <c r="CM94" s="21">
        <f>EXP(-LN(2)/2)*CM93+(1-EXP(-LN(2)/2))/(LN(2)/2)*CG94*CJ94*VLOOKUP('Données projet'!$B$12,Paramètres!$A$1:$I$89,3,0)*0.475*44/12</f>
        <v>1.0995728314790508E-4</v>
      </c>
      <c r="CN94" s="22">
        <f t="shared" si="66"/>
        <v>22.123860398533022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243.99999999999989</v>
      </c>
      <c r="CU94" s="17">
        <f>CT94*VLOOKUP('Données projet'!$B$13,Paramètres!$A$1:$I$89,3,0)*VLOOKUP('Données projet'!$B$13,Paramètres!$A$1:$I$89,5,0)</f>
        <v>235.99679999999987</v>
      </c>
      <c r="CV94" s="13">
        <f t="shared" si="95"/>
        <v>57.577381127598322</v>
      </c>
      <c r="CW94" s="20">
        <f t="shared" si="67"/>
        <v>511.30836546390015</v>
      </c>
      <c r="CX94" s="59">
        <f t="shared" si="68"/>
        <v>804.6416987972334</v>
      </c>
      <c r="CY94" s="59">
        <f ca="1">AVERAGE(OFFSET($CX$3,0,0,'Données projet'!$E$13+1,1))-AVERAGE(OFFSET($H$3,0,0,'Données projet'!$E$13+1,1))</f>
        <v>216.39536568500222</v>
      </c>
      <c r="CZ94" s="59">
        <f t="shared" si="96"/>
        <v>239.44686980897467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17.394036810000845</v>
      </c>
      <c r="DG94" s="21">
        <f>EXP(-LN(2)/25)*DG93+(1-EXP(-LN(2)/25))/(LN(2)/25)*Calculateur!DB94*Calculateur!DD94*VLOOKUP('Données projet'!$B$13,Paramètres!$A$1:$I$89,3,0)*0.475*44/12</f>
        <v>2.4852751806874522</v>
      </c>
      <c r="DH94" s="21">
        <f>EXP(-LN(2)/2)*DH93+(1-EXP(-LN(2)/2))/(LN(2)/2)*DB94*DE94*VLOOKUP('Données projet'!$B$13,Paramètres!$A$1:$I$89,3,0)*0.475*44/12</f>
        <v>9.8802196451740706E-5</v>
      </c>
      <c r="DI94" s="22">
        <f t="shared" si="69"/>
        <v>19.879410792884748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54.537599999999898</v>
      </c>
      <c r="D95" s="11">
        <f t="shared" si="86"/>
        <v>15.779624713844433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542.79962937002642</v>
      </c>
      <c r="H95" s="67">
        <f t="shared" si="56"/>
        <v>415.80249970994549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6.2</v>
      </c>
      <c r="N95" s="13">
        <f>IF('Données projet'!$A$36&gt;35,N94+M95-V94,IF(A95&lt;'Données projet'!$A$36,$K$205^A95,IF(A95='Données projet'!$A$36,'Données projet'!$B$36,N94+M95-V94)))</f>
        <v>314.39999999999992</v>
      </c>
      <c r="O95" s="13">
        <f>N95*VLOOKUP('Données projet'!$B$9,Paramètres!$A$1:$I$89,3,0)*VLOOKUP('Données projet'!$B$9,Paramètres!$A$1:$I$89,5,0)</f>
        <v>284.46911999999992</v>
      </c>
      <c r="P95" s="13">
        <f t="shared" si="87"/>
        <v>67.91059023737904</v>
      </c>
      <c r="Q95" s="20">
        <f t="shared" si="54"/>
        <v>613.72799533010163</v>
      </c>
      <c r="R95" s="59">
        <f t="shared" si="55"/>
        <v>907.06132866343501</v>
      </c>
      <c r="S95" s="59">
        <f ca="1">AVERAGE(OFFSET($R$3,0,0,'Données projet'!$E$9+1,1))-AVERAGE(OFFSET($H$3,0,0,'Données projet'!$E$9+1,1))</f>
        <v>330.30341204367602</v>
      </c>
      <c r="T95" s="59">
        <f t="shared" si="88"/>
        <v>200.36653694091007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63.013107725207099</v>
      </c>
      <c r="AA95" s="21">
        <f>EXP(-LN(2)/25)*AA94+(1-EXP(-LN(2)/25))/(LN(2)/25)*Calculateur!V95*Calculateur!X95*VLOOKUP('Données projet'!$B$9,Paramètres!$A$1:$I$89,3,0)*0.475*44/12</f>
        <v>3.054525411389803</v>
      </c>
      <c r="AB95" s="21">
        <f>EXP(-LN(2)/2)*AB94+(1-EXP(-LN(2)/2))/(LN(2)/2)*V95*Y95*VLOOKUP('Données projet'!$B$9,Paramètres!$A$1:$I$89,3,0)*0.475*44/12</f>
        <v>0.87110102921054122</v>
      </c>
      <c r="AC95" s="22">
        <f t="shared" si="57"/>
        <v>66.938734165807432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971.99999999999977</v>
      </c>
      <c r="AJ95" s="13">
        <f>AI95*VLOOKUP('Données projet'!$B$10,Paramètres!$A$1:$I$89,3,0)*VLOOKUP('Données projet'!$B$10,Paramètres!$A$1:$I$89,5,0)</f>
        <v>581.25599999999986</v>
      </c>
      <c r="AK95" s="13">
        <f t="shared" si="89"/>
        <v>127.68713506014205</v>
      </c>
      <c r="AL95" s="20">
        <f t="shared" si="58"/>
        <v>1234.7426268964139</v>
      </c>
      <c r="AM95" s="59">
        <f t="shared" si="59"/>
        <v>1528.0759602297471</v>
      </c>
      <c r="AN95" s="59">
        <f ca="1">AVERAGE(OFFSET($AM$3,0,0,'Données projet'!$E$10+1,1))-AVERAGE(OFFSET($H$3,0,0,'Données projet'!$E$10+1,1))</f>
        <v>465.77577582457678</v>
      </c>
      <c r="AO95" s="59">
        <f t="shared" si="90"/>
        <v>301.15495784503042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33.879477384880431</v>
      </c>
      <c r="AV95" s="21">
        <f>EXP(-LN(2)/25)*AV94+(1-EXP(-LN(2)/25))/(LN(2)/25)*Calculateur!AQ95*Calculateur!AS95*VLOOKUP('Données projet'!$B$10,Paramètres!$A$1:$I$89,3,0)*0.475*44/12</f>
        <v>16.265433298870835</v>
      </c>
      <c r="AW95" s="21">
        <f>EXP(-LN(2)/2)*AW94+(1-EXP(-LN(2)/2))/(LN(2)/2)*AQ95*AT95*VLOOKUP('Données projet'!$B$10,Paramètres!$A$1:$I$89,3,0)*0.475*44/12</f>
        <v>7.9394545560277795E-4</v>
      </c>
      <c r="AX95" s="21">
        <f t="shared" si="60"/>
        <v>50.145704629206868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273.00000000000023</v>
      </c>
      <c r="BE95" s="13">
        <f>BD95*VLOOKUP('Données projet'!$B$11,Paramètres!$A$1:$I$89,3,0)*VLOOKUP('Données projet'!$B$11,Paramètres!$A$1:$I$89,5,0)</f>
        <v>212.9400000000002</v>
      </c>
      <c r="BF95" s="13">
        <f t="shared" si="91"/>
        <v>52.577528895212915</v>
      </c>
      <c r="BG95" s="20">
        <f t="shared" si="61"/>
        <v>462.44302949249618</v>
      </c>
      <c r="BH95" s="59">
        <f t="shared" si="62"/>
        <v>755.77636282582944</v>
      </c>
      <c r="BI95" s="59">
        <f ca="1">AVERAGE(OFFSET($BH$3,0,0,'Données projet'!$E$11+1,1))-AVERAGE(OFFSET($H$3,0,0,'Données projet'!$E$11+1,1))</f>
        <v>219.5868031007679</v>
      </c>
      <c r="BJ95" s="59">
        <f t="shared" si="92"/>
        <v>263.3830219837742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17.319324250718559</v>
      </c>
      <c r="BQ95" s="21">
        <f>EXP(-LN(2)/25)*BQ94+(1-EXP(-LN(2)/25))/(LN(2)/25)*Calculateur!BL95*Calculateur!BN95*VLOOKUP('Données projet'!$B$11,Paramètres!$A$1:$I$89,3,0)*0.475*44/12</f>
        <v>2.4429871438992468</v>
      </c>
      <c r="BR95" s="21">
        <f>EXP(-LN(2)/2)*BR94+(1-EXP(-LN(2)/2))/(LN(2)/2)*BL95*BO95*VLOOKUP('Données projet'!$B$11,Paramètres!$A$1:$I$89,3,0)*0.475*44/12</f>
        <v>7.4986629752291198E-5</v>
      </c>
      <c r="BS95" s="22">
        <f t="shared" si="63"/>
        <v>19.762386381247556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243.99999999999989</v>
      </c>
      <c r="BZ95" s="13">
        <f>BY95*VLOOKUP('Données projet'!$B$12,Paramètres!$A$1:$I$89,3,0)*VLOOKUP('Données projet'!$B$12,Paramètres!$A$1:$I$89,5,0)</f>
        <v>262.64159999999987</v>
      </c>
      <c r="CA95" s="13">
        <f t="shared" si="93"/>
        <v>63.285128621471941</v>
      </c>
      <c r="CB95" s="20">
        <f t="shared" si="64"/>
        <v>567.65571901573003</v>
      </c>
      <c r="CC95" s="59">
        <f t="shared" si="65"/>
        <v>860.98905234906329</v>
      </c>
      <c r="CD95" s="59">
        <f ca="1">AVERAGE(OFFSET($CC$3,0,0,'Données projet'!$E$12+1,1))-AVERAGE(OFFSET($H$3,0,0,'Données projet'!$E$12+1,1))</f>
        <v>244.7364260963538</v>
      </c>
      <c r="CE95" s="59">
        <f t="shared" si="94"/>
        <v>270.32853612539299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18.97828346234742</v>
      </c>
      <c r="CL95" s="21">
        <f>EXP(-LN(2)/25)*CL94+(1-EXP(-LN(2)/25))/(LN(2)/25)*Calculateur!CG95*Calculateur!CI95*VLOOKUP('Données projet'!$B$12,Paramètres!$A$1:$I$89,3,0)*0.475*44/12</f>
        <v>2.6902378840675203</v>
      </c>
      <c r="CM95" s="21">
        <f>EXP(-LN(2)/2)*CM94+(1-EXP(-LN(2)/2))/(LN(2)/2)*CG95*CJ95*VLOOKUP('Données projet'!$B$12,Paramètres!$A$1:$I$89,3,0)*0.475*44/12</f>
        <v>7.7751540554732968E-5</v>
      </c>
      <c r="CN95" s="22">
        <f t="shared" si="66"/>
        <v>21.668599097955497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243.99999999999989</v>
      </c>
      <c r="CU95" s="17">
        <f>CT95*VLOOKUP('Données projet'!$B$13,Paramètres!$A$1:$I$89,3,0)*VLOOKUP('Données projet'!$B$13,Paramètres!$A$1:$I$89,5,0)</f>
        <v>235.99679999999987</v>
      </c>
      <c r="CV95" s="13">
        <f t="shared" si="95"/>
        <v>57.577381127598322</v>
      </c>
      <c r="CW95" s="20">
        <f t="shared" si="67"/>
        <v>511.30836546390015</v>
      </c>
      <c r="CX95" s="59">
        <f t="shared" si="68"/>
        <v>804.6416987972334</v>
      </c>
      <c r="CY95" s="59">
        <f ca="1">AVERAGE(OFFSET($CX$3,0,0,'Données projet'!$E$13+1,1))-AVERAGE(OFFSET($H$3,0,0,'Données projet'!$E$13+1,1))</f>
        <v>216.39536568500222</v>
      </c>
      <c r="CZ95" s="59">
        <f t="shared" si="96"/>
        <v>239.44686980897467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17.052950357471598</v>
      </c>
      <c r="DG95" s="21">
        <f>EXP(-LN(2)/25)*DG94+(1-EXP(-LN(2)/25))/(LN(2)/25)*Calculateur!DB95*Calculateur!DD95*VLOOKUP('Données projet'!$B$13,Paramètres!$A$1:$I$89,3,0)*0.475*44/12</f>
        <v>2.4173152001766121</v>
      </c>
      <c r="DH95" s="21">
        <f>EXP(-LN(2)/2)*DH94+(1-EXP(-LN(2)/2))/(LN(2)/2)*DB95*DE95*VLOOKUP('Données projet'!$B$13,Paramètres!$A$1:$I$89,3,0)*0.475*44/12</f>
        <v>6.9863703107151296E-5</v>
      </c>
      <c r="DI95" s="22">
        <f t="shared" si="69"/>
        <v>19.470335421351319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55.130399999999895</v>
      </c>
      <c r="D96" s="11">
        <f t="shared" si="86"/>
        <v>15.931082230000007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548.5447751087712</v>
      </c>
      <c r="H96" s="67">
        <f t="shared" si="56"/>
        <v>417.09874821724981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6.2</v>
      </c>
      <c r="N96" s="13">
        <f>IF('Données projet'!$A$36&gt;35,N95+M96-V95,IF(A96&lt;'Données projet'!$A$36,$K$205^A96,IF(A96='Données projet'!$A$36,'Données projet'!$B$36,N95+M96-V95)))</f>
        <v>320.59999999999991</v>
      </c>
      <c r="O96" s="13">
        <f>N96*VLOOKUP('Données projet'!$B$9,Paramètres!$A$1:$I$89,3,0)*VLOOKUP('Données projet'!$B$9,Paramètres!$A$1:$I$89,5,0)</f>
        <v>290.07887999999991</v>
      </c>
      <c r="P96" s="13">
        <f t="shared" si="87"/>
        <v>69.092562427360406</v>
      </c>
      <c r="Q96" s="20">
        <f t="shared" si="54"/>
        <v>625.55692889431919</v>
      </c>
      <c r="R96" s="59">
        <f t="shared" si="55"/>
        <v>918.89026222765256</v>
      </c>
      <c r="S96" s="59">
        <f ca="1">AVERAGE(OFFSET($R$3,0,0,'Données projet'!$E$9+1,1))-AVERAGE(OFFSET($H$3,0,0,'Données projet'!$E$9+1,1))</f>
        <v>330.30341204367602</v>
      </c>
      <c r="T96" s="59">
        <f t="shared" si="88"/>
        <v>200.36653694091007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61.77745911691644</v>
      </c>
      <c r="AA96" s="21">
        <f>EXP(-LN(2)/25)*AA95+(1-EXP(-LN(2)/25))/(LN(2)/25)*Calculateur!V96*Calculateur!X96*VLOOKUP('Données projet'!$B$9,Paramètres!$A$1:$I$89,3,0)*0.475*44/12</f>
        <v>2.9709992533848388</v>
      </c>
      <c r="AB96" s="21">
        <f>EXP(-LN(2)/2)*AB95+(1-EXP(-LN(2)/2))/(LN(2)/2)*V96*Y96*VLOOKUP('Données projet'!$B$9,Paramètres!$A$1:$I$89,3,0)*0.475*44/12</f>
        <v>0.61596144485335458</v>
      </c>
      <c r="AC96" s="22">
        <f t="shared" si="57"/>
        <v>65.364419815154633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971.99999999999977</v>
      </c>
      <c r="AJ96" s="13">
        <f>AI96*VLOOKUP('Données projet'!$B$10,Paramètres!$A$1:$I$89,3,0)*VLOOKUP('Données projet'!$B$10,Paramètres!$A$1:$I$89,5,0)</f>
        <v>581.25599999999986</v>
      </c>
      <c r="AK96" s="13">
        <f t="shared" si="89"/>
        <v>127.68713506014205</v>
      </c>
      <c r="AL96" s="20">
        <f t="shared" si="58"/>
        <v>1234.7426268964139</v>
      </c>
      <c r="AM96" s="59">
        <f t="shared" si="59"/>
        <v>1528.0759602297471</v>
      </c>
      <c r="AN96" s="59">
        <f ca="1">AVERAGE(OFFSET($AM$3,0,0,'Données projet'!$E$10+1,1))-AVERAGE(OFFSET($H$3,0,0,'Données projet'!$E$10+1,1))</f>
        <v>465.77577582457678</v>
      </c>
      <c r="AO96" s="59">
        <f t="shared" si="90"/>
        <v>301.15495784503042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33.215121497803686</v>
      </c>
      <c r="AV96" s="21">
        <f>EXP(-LN(2)/25)*AV95+(1-EXP(-LN(2)/25))/(LN(2)/25)*Calculateur!AQ96*Calculateur!AS96*VLOOKUP('Données projet'!$B$10,Paramètres!$A$1:$I$89,3,0)*0.475*44/12</f>
        <v>15.820654169951251</v>
      </c>
      <c r="AW96" s="21">
        <f>EXP(-LN(2)/2)*AW95+(1-EXP(-LN(2)/2))/(LN(2)/2)*AQ96*AT96*VLOOKUP('Données projet'!$B$10,Paramètres!$A$1:$I$89,3,0)*0.475*44/12</f>
        <v>5.6140421554896729E-4</v>
      </c>
      <c r="AX96" s="21">
        <f t="shared" si="60"/>
        <v>49.036337071970479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273.00000000000023</v>
      </c>
      <c r="BE96" s="13">
        <f>BD96*VLOOKUP('Données projet'!$B$11,Paramètres!$A$1:$I$89,3,0)*VLOOKUP('Données projet'!$B$11,Paramètres!$A$1:$I$89,5,0)</f>
        <v>212.9400000000002</v>
      </c>
      <c r="BF96" s="13">
        <f t="shared" si="91"/>
        <v>52.577528895212915</v>
      </c>
      <c r="BG96" s="20">
        <f t="shared" si="61"/>
        <v>462.44302949249618</v>
      </c>
      <c r="BH96" s="59">
        <f t="shared" si="62"/>
        <v>755.77636282582944</v>
      </c>
      <c r="BI96" s="59">
        <f ca="1">AVERAGE(OFFSET($BH$3,0,0,'Données projet'!$E$11+1,1))-AVERAGE(OFFSET($H$3,0,0,'Données projet'!$E$11+1,1))</f>
        <v>219.5868031007679</v>
      </c>
      <c r="BJ96" s="59">
        <f t="shared" si="92"/>
        <v>263.3830219837742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16.979702865906678</v>
      </c>
      <c r="BQ96" s="21">
        <f>EXP(-LN(2)/25)*BQ95+(1-EXP(-LN(2)/25))/(LN(2)/25)*Calculateur!BL96*Calculateur!BN96*VLOOKUP('Données projet'!$B$11,Paramètres!$A$1:$I$89,3,0)*0.475*44/12</f>
        <v>2.3761835319782114</v>
      </c>
      <c r="BR96" s="21">
        <f>EXP(-LN(2)/2)*BR95+(1-EXP(-LN(2)/2))/(LN(2)/2)*BL96*BO96*VLOOKUP('Données projet'!$B$11,Paramètres!$A$1:$I$89,3,0)*0.475*44/12</f>
        <v>5.3023554396170028E-5</v>
      </c>
      <c r="BS96" s="22">
        <f t="shared" si="63"/>
        <v>19.355939421439285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243.99999999999989</v>
      </c>
      <c r="BZ96" s="13">
        <f>BY96*VLOOKUP('Données projet'!$B$12,Paramètres!$A$1:$I$89,3,0)*VLOOKUP('Données projet'!$B$12,Paramètres!$A$1:$I$89,5,0)</f>
        <v>262.64159999999987</v>
      </c>
      <c r="CA96" s="13">
        <f t="shared" si="93"/>
        <v>63.285128621471941</v>
      </c>
      <c r="CB96" s="20">
        <f t="shared" si="64"/>
        <v>567.65571901573003</v>
      </c>
      <c r="CC96" s="59">
        <f t="shared" si="65"/>
        <v>860.98905234906329</v>
      </c>
      <c r="CD96" s="59">
        <f ca="1">AVERAGE(OFFSET($CC$3,0,0,'Données projet'!$E$12+1,1))-AVERAGE(OFFSET($H$3,0,0,'Données projet'!$E$12+1,1))</f>
        <v>244.7364260963538</v>
      </c>
      <c r="CE96" s="59">
        <f t="shared" si="94"/>
        <v>270.32853612539299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18.606130899260702</v>
      </c>
      <c r="CL96" s="21">
        <f>EXP(-LN(2)/25)*CL95+(1-EXP(-LN(2)/25))/(LN(2)/25)*Calculateur!CG96*Calculateur!CI96*VLOOKUP('Données projet'!$B$12,Paramètres!$A$1:$I$89,3,0)*0.475*44/12</f>
        <v>2.6166731876542322</v>
      </c>
      <c r="CM96" s="21">
        <f>EXP(-LN(2)/2)*CM95+(1-EXP(-LN(2)/2))/(LN(2)/2)*CG96*CJ96*VLOOKUP('Données projet'!$B$12,Paramètres!$A$1:$I$89,3,0)*0.475*44/12</f>
        <v>5.4978641573952542E-5</v>
      </c>
      <c r="CN96" s="22">
        <f t="shared" si="66"/>
        <v>21.222859065556509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243.99999999999989</v>
      </c>
      <c r="CU96" s="17">
        <f>CT96*VLOOKUP('Données projet'!$B$13,Paramètres!$A$1:$I$89,3,0)*VLOOKUP('Données projet'!$B$13,Paramètres!$A$1:$I$89,5,0)</f>
        <v>235.99679999999987</v>
      </c>
      <c r="CV96" s="13">
        <f t="shared" si="95"/>
        <v>57.577381127598322</v>
      </c>
      <c r="CW96" s="20">
        <f t="shared" si="67"/>
        <v>511.30836546390015</v>
      </c>
      <c r="CX96" s="59">
        <f t="shared" si="68"/>
        <v>804.6416987972334</v>
      </c>
      <c r="CY96" s="59">
        <f ca="1">AVERAGE(OFFSET($CX$3,0,0,'Données projet'!$E$13+1,1))-AVERAGE(OFFSET($H$3,0,0,'Données projet'!$E$13+1,1))</f>
        <v>216.39536568500222</v>
      </c>
      <c r="CZ96" s="59">
        <f t="shared" si="96"/>
        <v>239.44686980897467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16.718552402234259</v>
      </c>
      <c r="DG96" s="21">
        <f>EXP(-LN(2)/25)*DG95+(1-EXP(-LN(2)/25))/(LN(2)/25)*Calculateur!DB96*Calculateur!DD96*VLOOKUP('Données projet'!$B$13,Paramètres!$A$1:$I$89,3,0)*0.475*44/12</f>
        <v>2.3512135889067012</v>
      </c>
      <c r="DH96" s="21">
        <f>EXP(-LN(2)/2)*DH95+(1-EXP(-LN(2)/2))/(LN(2)/2)*DB96*DE96*VLOOKUP('Données projet'!$B$13,Paramètres!$A$1:$I$89,3,0)*0.475*44/12</f>
        <v>4.9401098225870353E-5</v>
      </c>
      <c r="DI96" s="22">
        <f t="shared" si="69"/>
        <v>19.069815392239189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55.723199999999892</v>
      </c>
      <c r="D97" s="11">
        <f t="shared" si="86"/>
        <v>16.08235029469542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554.28845841519194</v>
      </c>
      <c r="H97" s="67">
        <f t="shared" si="56"/>
        <v>418.394666763261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6.2</v>
      </c>
      <c r="N97" s="13">
        <f>IF('Données projet'!$A$36&gt;35,N96+M97-V96,IF(A97&lt;'Données projet'!$A$36,$K$205^A97,IF(A97='Données projet'!$A$36,'Données projet'!$B$36,N96+M97-V96)))</f>
        <v>326.7999999999999</v>
      </c>
      <c r="O97" s="13">
        <f>N97*VLOOKUP('Données projet'!$B$9,Paramètres!$A$1:$I$89,3,0)*VLOOKUP('Données projet'!$B$9,Paramètres!$A$1:$I$89,5,0)</f>
        <v>295.68863999999991</v>
      </c>
      <c r="P97" s="13">
        <f t="shared" si="87"/>
        <v>70.271876780519747</v>
      </c>
      <c r="Q97" s="20">
        <f t="shared" si="54"/>
        <v>637.3812333927383</v>
      </c>
      <c r="R97" s="59">
        <f t="shared" si="55"/>
        <v>930.71456672607155</v>
      </c>
      <c r="S97" s="59">
        <f ca="1">AVERAGE(OFFSET($R$3,0,0,'Données projet'!$E$9+1,1))-AVERAGE(OFFSET($H$3,0,0,'Données projet'!$E$9+1,1))</f>
        <v>330.30341204367602</v>
      </c>
      <c r="T97" s="59">
        <f t="shared" si="88"/>
        <v>200.36653694091007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60.566040824163125</v>
      </c>
      <c r="AA97" s="21">
        <f>EXP(-LN(2)/25)*AA96+(1-EXP(-LN(2)/25))/(LN(2)/25)*Calculateur!V97*Calculateur!X97*VLOOKUP('Données projet'!$B$9,Paramètres!$A$1:$I$89,3,0)*0.475*44/12</f>
        <v>2.8897571225629699</v>
      </c>
      <c r="AB97" s="21">
        <f>EXP(-LN(2)/2)*AB96+(1-EXP(-LN(2)/2))/(LN(2)/2)*V97*Y97*VLOOKUP('Données projet'!$B$9,Paramètres!$A$1:$I$89,3,0)*0.475*44/12</f>
        <v>0.43555051460527067</v>
      </c>
      <c r="AC97" s="22">
        <f t="shared" si="57"/>
        <v>63.891348461331361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971.99999999999977</v>
      </c>
      <c r="AJ97" s="13">
        <f>AI97*VLOOKUP('Données projet'!$B$10,Paramètres!$A$1:$I$89,3,0)*VLOOKUP('Données projet'!$B$10,Paramètres!$A$1:$I$89,5,0)</f>
        <v>581.25599999999986</v>
      </c>
      <c r="AK97" s="13">
        <f t="shared" si="89"/>
        <v>127.68713506014205</v>
      </c>
      <c r="AL97" s="20">
        <f t="shared" si="58"/>
        <v>1234.7426268964139</v>
      </c>
      <c r="AM97" s="59">
        <f t="shared" si="59"/>
        <v>1528.0759602297471</v>
      </c>
      <c r="AN97" s="59">
        <f ca="1">AVERAGE(OFFSET($AM$3,0,0,'Données projet'!$E$10+1,1))-AVERAGE(OFFSET($H$3,0,0,'Données projet'!$E$10+1,1))</f>
        <v>465.77577582457678</v>
      </c>
      <c r="AO97" s="59">
        <f t="shared" si="90"/>
        <v>301.15495784503042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32.563793224455438</v>
      </c>
      <c r="AV97" s="21">
        <f>EXP(-LN(2)/25)*AV96+(1-EXP(-LN(2)/25))/(LN(2)/25)*Calculateur!AQ97*Calculateur!AS97*VLOOKUP('Données projet'!$B$10,Paramètres!$A$1:$I$89,3,0)*0.475*44/12</f>
        <v>15.38803754970189</v>
      </c>
      <c r="AW97" s="21">
        <f>EXP(-LN(2)/2)*AW96+(1-EXP(-LN(2)/2))/(LN(2)/2)*AQ97*AT97*VLOOKUP('Données projet'!$B$10,Paramètres!$A$1:$I$89,3,0)*0.475*44/12</f>
        <v>3.9697272780138897E-4</v>
      </c>
      <c r="AX97" s="21">
        <f t="shared" si="60"/>
        <v>47.952227746885129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273.00000000000023</v>
      </c>
      <c r="BE97" s="13">
        <f>BD97*VLOOKUP('Données projet'!$B$11,Paramètres!$A$1:$I$89,3,0)*VLOOKUP('Données projet'!$B$11,Paramètres!$A$1:$I$89,5,0)</f>
        <v>212.9400000000002</v>
      </c>
      <c r="BF97" s="13">
        <f t="shared" si="91"/>
        <v>52.577528895212915</v>
      </c>
      <c r="BG97" s="20">
        <f t="shared" si="61"/>
        <v>462.44302949249618</v>
      </c>
      <c r="BH97" s="59">
        <f t="shared" si="62"/>
        <v>755.77636282582944</v>
      </c>
      <c r="BI97" s="59">
        <f ca="1">AVERAGE(OFFSET($BH$3,0,0,'Données projet'!$E$11+1,1))-AVERAGE(OFFSET($H$3,0,0,'Données projet'!$E$11+1,1))</f>
        <v>219.5868031007679</v>
      </c>
      <c r="BJ97" s="59">
        <f t="shared" si="92"/>
        <v>263.3830219837742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16.646741249302366</v>
      </c>
      <c r="BQ97" s="21">
        <f>EXP(-LN(2)/25)*BQ96+(1-EXP(-LN(2)/25))/(LN(2)/25)*Calculateur!BL97*Calculateur!BN97*VLOOKUP('Données projet'!$B$11,Paramètres!$A$1:$I$89,3,0)*0.475*44/12</f>
        <v>2.311206668338206</v>
      </c>
      <c r="BR97" s="21">
        <f>EXP(-LN(2)/2)*BR96+(1-EXP(-LN(2)/2))/(LN(2)/2)*BL97*BO97*VLOOKUP('Données projet'!$B$11,Paramètres!$A$1:$I$89,3,0)*0.475*44/12</f>
        <v>3.7493314876145599E-5</v>
      </c>
      <c r="BS97" s="22">
        <f t="shared" si="63"/>
        <v>18.957985410955448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243.99999999999989</v>
      </c>
      <c r="BZ97" s="13">
        <f>BY97*VLOOKUP('Données projet'!$B$12,Paramètres!$A$1:$I$89,3,0)*VLOOKUP('Données projet'!$B$12,Paramètres!$A$1:$I$89,5,0)</f>
        <v>262.64159999999987</v>
      </c>
      <c r="CA97" s="13">
        <f t="shared" si="93"/>
        <v>63.285128621471941</v>
      </c>
      <c r="CB97" s="20">
        <f t="shared" si="64"/>
        <v>567.65571901573003</v>
      </c>
      <c r="CC97" s="59">
        <f t="shared" si="65"/>
        <v>860.98905234906329</v>
      </c>
      <c r="CD97" s="59">
        <f ca="1">AVERAGE(OFFSET($CC$3,0,0,'Données projet'!$E$12+1,1))-AVERAGE(OFFSET($H$3,0,0,'Données projet'!$E$12+1,1))</f>
        <v>244.7364260963538</v>
      </c>
      <c r="CE97" s="59">
        <f t="shared" si="94"/>
        <v>270.32853612539299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18.241276020945463</v>
      </c>
      <c r="CL97" s="21">
        <f>EXP(-LN(2)/25)*CL96+(1-EXP(-LN(2)/25))/(LN(2)/25)*Calculateur!CG97*Calculateur!CI97*VLOOKUP('Données projet'!$B$12,Paramètres!$A$1:$I$89,3,0)*0.475*44/12</f>
        <v>2.5451201217329649</v>
      </c>
      <c r="CM97" s="21">
        <f>EXP(-LN(2)/2)*CM96+(1-EXP(-LN(2)/2))/(LN(2)/2)*CG97*CJ97*VLOOKUP('Données projet'!$B$12,Paramètres!$A$1:$I$89,3,0)*0.475*44/12</f>
        <v>3.8875770277366484E-5</v>
      </c>
      <c r="CN97" s="22">
        <f t="shared" si="66"/>
        <v>20.786435018448703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243.99999999999989</v>
      </c>
      <c r="CU97" s="17">
        <f>CT97*VLOOKUP('Données projet'!$B$13,Paramètres!$A$1:$I$89,3,0)*VLOOKUP('Données projet'!$B$13,Paramètres!$A$1:$I$89,5,0)</f>
        <v>235.99679999999987</v>
      </c>
      <c r="CV97" s="13">
        <f t="shared" si="95"/>
        <v>57.577381127598322</v>
      </c>
      <c r="CW97" s="20">
        <f t="shared" si="67"/>
        <v>511.30836546390015</v>
      </c>
      <c r="CX97" s="59">
        <f t="shared" si="68"/>
        <v>804.6416987972334</v>
      </c>
      <c r="CY97" s="59">
        <f ca="1">AVERAGE(OFFSET($CX$3,0,0,'Données projet'!$E$13+1,1))-AVERAGE(OFFSET($H$3,0,0,'Données projet'!$E$13+1,1))</f>
        <v>216.39536568500222</v>
      </c>
      <c r="CZ97" s="59">
        <f t="shared" si="96"/>
        <v>239.44686980897467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16.39071178693651</v>
      </c>
      <c r="DG97" s="21">
        <f>EXP(-LN(2)/25)*DG96+(1-EXP(-LN(2)/25))/(LN(2)/25)*Calculateur!DB97*Calculateur!DD97*VLOOKUP('Données projet'!$B$13,Paramètres!$A$1:$I$89,3,0)*0.475*44/12</f>
        <v>2.2869195296730984</v>
      </c>
      <c r="DH97" s="21">
        <f>EXP(-LN(2)/2)*DH96+(1-EXP(-LN(2)/2))/(LN(2)/2)*DB97*DE97*VLOOKUP('Données projet'!$B$13,Paramètres!$A$1:$I$89,3,0)*0.475*44/12</f>
        <v>3.4931851553575648E-5</v>
      </c>
      <c r="DI97" s="22">
        <f t="shared" si="69"/>
        <v>18.677666248461165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56.315999999999889</v>
      </c>
      <c r="D98" s="11">
        <f t="shared" si="86"/>
        <v>16.233431156661798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560.03069664791474</v>
      </c>
      <c r="H98" s="67">
        <f t="shared" si="56"/>
        <v>419.69025926451906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333</v>
      </c>
      <c r="L98" s="12">
        <f>VLOOKUP(A98,'Données projet'!$A$35:$I$55,9,0)</f>
        <v>6.2</v>
      </c>
      <c r="M98" s="12">
        <f t="array" ref="M98">INDEX(L:L,MIN(IF(ISNUMBER(L98:L294),ROW(L98:L294),"")))</f>
        <v>6.2</v>
      </c>
      <c r="N98" s="13">
        <f>IF('Données projet'!$A$36&gt;35,N97+M98-V97,IF(A98&lt;'Données projet'!$A$36,$K$205^A98,IF(A98='Données projet'!$A$36,'Données projet'!$B$36,N97+M98-V97)))</f>
        <v>332.99999999999989</v>
      </c>
      <c r="O98" s="13">
        <f>N98*VLOOKUP('Données projet'!$B$9,Paramètres!$A$1:$I$89,3,0)*VLOOKUP('Données projet'!$B$9,Paramètres!$A$1:$I$89,5,0)</f>
        <v>301.2983999999999</v>
      </c>
      <c r="P98" s="13">
        <f t="shared" si="87"/>
        <v>71.448589534990518</v>
      </c>
      <c r="Q98" s="20">
        <f t="shared" si="54"/>
        <v>649.20100677344158</v>
      </c>
      <c r="R98" s="59">
        <f t="shared" si="55"/>
        <v>942.53434010677483</v>
      </c>
      <c r="S98" s="59">
        <f ca="1">AVERAGE(OFFSET($R$3,0,0,'Données projet'!$E$9+1,1))-AVERAGE(OFFSET($H$3,0,0,'Données projet'!$E$9+1,1))</f>
        <v>330.30341204367602</v>
      </c>
      <c r="T98" s="59">
        <f t="shared" si="88"/>
        <v>200.36653694091007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28</v>
      </c>
      <c r="W98" s="16">
        <f>IF(ISNA(VLOOKUP(A98,'Données projet'!$A$35:$I$55,5,0)),0%,VLOOKUP(A98,'Données projet'!$A$35:$I$55,5,0)*VLOOKUP('Données projet'!$B$9,Paramètres!$A$1:$I$89,7,0))</f>
        <v>0.34400000000000003</v>
      </c>
      <c r="X98" s="16">
        <f>IF(ISNA(VLOOKUP(A98,'Données projet'!$A$35:$I$55,6,0)),0%,VLOOKUP(A98,'Données projet'!$A$35:$I$55,6,0)*VLOOKUP('Données projet'!$B$9,Paramètres!$A$1:$I$89,7,0))</f>
        <v>1.72E-2</v>
      </c>
      <c r="Y98" s="16">
        <f>IF(ISNA(VLOOKUP(A98,'Données projet'!$A$35:$I$55,7,0)),0%,VLOOKUP(A98,'Données projet'!$A$35:$I$55,7,0))</f>
        <v>0.06</v>
      </c>
      <c r="Z98" s="21">
        <f>EXP(-LN(2)/35)*Z97+(1-EXP(-LN(2)/35))/(LN(2)/35)*V98*W98*VLOOKUP('Données projet'!$B$9,Paramètres!$A$1:$I$89,3,0)*0.475*44/12</f>
        <v>69.012589206672914</v>
      </c>
      <c r="AA98" s="21">
        <f>EXP(-LN(2)/25)*AA97+(1-EXP(-LN(2)/25))/(LN(2)/25)*Calculateur!V98*Calculateur!X98*VLOOKUP('Données projet'!$B$9,Paramètres!$A$1:$I$89,3,0)*0.475*44/12</f>
        <v>3.2905504590723074</v>
      </c>
      <c r="AB98" s="21">
        <f>EXP(-LN(2)/2)*AB97+(1-EXP(-LN(2)/2))/(LN(2)/2)*V98*Y98*VLOOKUP('Données projet'!$B$9,Paramètres!$A$1:$I$89,3,0)*0.475*44/12</f>
        <v>1.742202018349402</v>
      </c>
      <c r="AC98" s="22">
        <f t="shared" si="57"/>
        <v>74.045341684094623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971.99999999999977</v>
      </c>
      <c r="AJ98" s="13">
        <f>AI98*VLOOKUP('Données projet'!$B$10,Paramètres!$A$1:$I$89,3,0)*VLOOKUP('Données projet'!$B$10,Paramètres!$A$1:$I$89,5,0)</f>
        <v>581.25599999999986</v>
      </c>
      <c r="AK98" s="13">
        <f t="shared" si="89"/>
        <v>127.68713506014205</v>
      </c>
      <c r="AL98" s="20">
        <f t="shared" si="58"/>
        <v>1234.7426268964139</v>
      </c>
      <c r="AM98" s="59">
        <f t="shared" si="59"/>
        <v>1528.0759602297471</v>
      </c>
      <c r="AN98" s="59">
        <f ca="1">AVERAGE(OFFSET($AM$3,0,0,'Données projet'!$E$10+1,1))-AVERAGE(OFFSET($H$3,0,0,'Données projet'!$E$10+1,1))</f>
        <v>465.77577582457678</v>
      </c>
      <c r="AO98" s="59">
        <f t="shared" si="90"/>
        <v>301.15495784503042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31.925237101276529</v>
      </c>
      <c r="AV98" s="21">
        <f>EXP(-LN(2)/25)*AV97+(1-EXP(-LN(2)/25))/(LN(2)/25)*Calculateur!AQ98*Calculateur!AS98*VLOOKUP('Données projet'!$B$10,Paramètres!$A$1:$I$89,3,0)*0.475*44/12</f>
        <v>14.967250853683566</v>
      </c>
      <c r="AW98" s="21">
        <f>EXP(-LN(2)/2)*AW97+(1-EXP(-LN(2)/2))/(LN(2)/2)*AQ98*AT98*VLOOKUP('Données projet'!$B$10,Paramètres!$A$1:$I$89,3,0)*0.475*44/12</f>
        <v>2.8070210777448364E-4</v>
      </c>
      <c r="AX98" s="21">
        <f t="shared" si="60"/>
        <v>46.892768657067869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273.00000000000023</v>
      </c>
      <c r="BE98" s="13">
        <f>BD98*VLOOKUP('Données projet'!$B$11,Paramètres!$A$1:$I$89,3,0)*VLOOKUP('Données projet'!$B$11,Paramètres!$A$1:$I$89,5,0)</f>
        <v>212.9400000000002</v>
      </c>
      <c r="BF98" s="13">
        <f t="shared" si="91"/>
        <v>52.577528895212915</v>
      </c>
      <c r="BG98" s="20">
        <f t="shared" si="61"/>
        <v>462.44302949249618</v>
      </c>
      <c r="BH98" s="59">
        <f t="shared" si="62"/>
        <v>755.77636282582944</v>
      </c>
      <c r="BI98" s="59">
        <f ca="1">AVERAGE(OFFSET($BH$3,0,0,'Données projet'!$E$11+1,1))-AVERAGE(OFFSET($H$3,0,0,'Données projet'!$E$11+1,1))</f>
        <v>219.5868031007679</v>
      </c>
      <c r="BJ98" s="59">
        <f t="shared" si="92"/>
        <v>263.3830219837742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16.320308806913133</v>
      </c>
      <c r="BQ98" s="21">
        <f>EXP(-LN(2)/25)*BQ97+(1-EXP(-LN(2)/25))/(LN(2)/25)*Calculateur!BL98*Calculateur!BN98*VLOOKUP('Données projet'!$B$11,Paramètres!$A$1:$I$89,3,0)*0.475*44/12</f>
        <v>2.2480066004514212</v>
      </c>
      <c r="BR98" s="21">
        <f>EXP(-LN(2)/2)*BR97+(1-EXP(-LN(2)/2))/(LN(2)/2)*BL98*BO98*VLOOKUP('Données projet'!$B$11,Paramètres!$A$1:$I$89,3,0)*0.475*44/12</f>
        <v>2.6511777198085014E-5</v>
      </c>
      <c r="BS98" s="22">
        <f t="shared" si="63"/>
        <v>18.568341919141751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243.99999999999989</v>
      </c>
      <c r="BZ98" s="13">
        <f>BY98*VLOOKUP('Données projet'!$B$12,Paramètres!$A$1:$I$89,3,0)*VLOOKUP('Données projet'!$B$12,Paramètres!$A$1:$I$89,5,0)</f>
        <v>262.64159999999987</v>
      </c>
      <c r="CA98" s="13">
        <f t="shared" si="93"/>
        <v>63.285128621471941</v>
      </c>
      <c r="CB98" s="20">
        <f t="shared" si="64"/>
        <v>567.65571901573003</v>
      </c>
      <c r="CC98" s="59">
        <f t="shared" si="65"/>
        <v>860.98905234906329</v>
      </c>
      <c r="CD98" s="59">
        <f ca="1">AVERAGE(OFFSET($CC$3,0,0,'Données projet'!$E$12+1,1))-AVERAGE(OFFSET($H$3,0,0,'Données projet'!$E$12+1,1))</f>
        <v>244.7364260963538</v>
      </c>
      <c r="CE98" s="59">
        <f t="shared" si="94"/>
        <v>270.32853612539299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17.883575724254488</v>
      </c>
      <c r="CL98" s="21">
        <f>EXP(-LN(2)/25)*CL97+(1-EXP(-LN(2)/25))/(LN(2)/25)*Calculateur!CG98*Calculateur!CI98*VLOOKUP('Données projet'!$B$12,Paramètres!$A$1:$I$89,3,0)*0.475*44/12</f>
        <v>2.4755236781621268</v>
      </c>
      <c r="CM98" s="21">
        <f>EXP(-LN(2)/2)*CM97+(1-EXP(-LN(2)/2))/(LN(2)/2)*CG98*CJ98*VLOOKUP('Données projet'!$B$12,Paramètres!$A$1:$I$89,3,0)*0.475*44/12</f>
        <v>2.7489320786976271E-5</v>
      </c>
      <c r="CN98" s="22">
        <f t="shared" si="66"/>
        <v>20.3591268917374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243.99999999999989</v>
      </c>
      <c r="CU98" s="17">
        <f>CT98*VLOOKUP('Données projet'!$B$13,Paramètres!$A$1:$I$89,3,0)*VLOOKUP('Données projet'!$B$13,Paramètres!$A$1:$I$89,5,0)</f>
        <v>235.99679999999987</v>
      </c>
      <c r="CV98" s="13">
        <f t="shared" si="95"/>
        <v>57.577381127598322</v>
      </c>
      <c r="CW98" s="20">
        <f t="shared" si="67"/>
        <v>511.30836546390015</v>
      </c>
      <c r="CX98" s="59">
        <f t="shared" si="68"/>
        <v>804.6416987972334</v>
      </c>
      <c r="CY98" s="59">
        <f ca="1">AVERAGE(OFFSET($CX$3,0,0,'Données projet'!$E$13+1,1))-AVERAGE(OFFSET($H$3,0,0,'Données projet'!$E$13+1,1))</f>
        <v>216.39536568500222</v>
      </c>
      <c r="CZ98" s="59">
        <f t="shared" si="96"/>
        <v>239.44686980897467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16.069299926141721</v>
      </c>
      <c r="DG98" s="21">
        <f>EXP(-LN(2)/25)*DG97+(1-EXP(-LN(2)/25))/(LN(2)/25)*Calculateur!DB98*Calculateur!DD98*VLOOKUP('Données projet'!$B$13,Paramètres!$A$1:$I$89,3,0)*0.475*44/12</f>
        <v>2.2243835948703161</v>
      </c>
      <c r="DH98" s="21">
        <f>EXP(-LN(2)/2)*DH97+(1-EXP(-LN(2)/2))/(LN(2)/2)*DB98*DE98*VLOOKUP('Données projet'!$B$13,Paramètres!$A$1:$I$89,3,0)*0.475*44/12</f>
        <v>2.4700549112935176E-5</v>
      </c>
      <c r="DI98" s="22">
        <f t="shared" si="69"/>
        <v>18.293708221561147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56.908799999999886</v>
      </c>
      <c r="D99" s="11">
        <f t="shared" si="86"/>
        <v>16.384327014561176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565.77150677906786</v>
      </c>
      <c r="H99" s="67">
        <f t="shared" si="56"/>
        <v>420.98552955036052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5.6</v>
      </c>
      <c r="N99" s="13">
        <f>IF('Données projet'!$A$36&gt;35,N98+M99-V98,IF(A99&lt;'Données projet'!$A$36,$K$205^A99,IF(A99='Données projet'!$A$36,'Données projet'!$B$36,N98+M99-V98)))</f>
        <v>310.59999999999991</v>
      </c>
      <c r="O99" s="13">
        <f>N99*VLOOKUP('Données projet'!$B$9,Paramètres!$A$1:$I$89,3,0)*VLOOKUP('Données projet'!$B$9,Paramètres!$A$1:$I$89,5,0)</f>
        <v>281.03087999999991</v>
      </c>
      <c r="P99" s="13">
        <f t="shared" si="87"/>
        <v>67.184816842275467</v>
      </c>
      <c r="Q99" s="20">
        <f t="shared" ref="Q99:Q130" si="107">(O99+P99)*0.475*44/12</f>
        <v>606.4756720002963</v>
      </c>
      <c r="R99" s="59">
        <f t="shared" si="55"/>
        <v>899.80900533362956</v>
      </c>
      <c r="S99" s="59">
        <f ca="1">AVERAGE(OFFSET($R$3,0,0,'Données projet'!$E$9+1,1))-AVERAGE(OFFSET($H$3,0,0,'Données projet'!$E$9+1,1))</f>
        <v>330.30341204367602</v>
      </c>
      <c r="T99" s="59">
        <f t="shared" si="88"/>
        <v>200.36653694091007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67.659294425853091</v>
      </c>
      <c r="AA99" s="21">
        <f>EXP(-LN(2)/25)*AA98+(1-EXP(-LN(2)/25))/(LN(2)/25)*Calculateur!V99*Calculateur!X99*VLOOKUP('Données projet'!$B$9,Paramètres!$A$1:$I$89,3,0)*0.475*44/12</f>
        <v>3.2005701837264473</v>
      </c>
      <c r="AB99" s="21">
        <f>EXP(-LN(2)/2)*AB98+(1-EXP(-LN(2)/2))/(LN(2)/2)*V99*Y99*VLOOKUP('Données projet'!$B$9,Paramètres!$A$1:$I$89,3,0)*0.475*44/12</f>
        <v>1.2319228613717521</v>
      </c>
      <c r="AC99" s="22">
        <f t="shared" si="57"/>
        <v>72.091787470951289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971.99999999999977</v>
      </c>
      <c r="AJ99" s="13">
        <f>AI99*VLOOKUP('Données projet'!$B$10,Paramètres!$A$1:$I$89,3,0)*VLOOKUP('Données projet'!$B$10,Paramètres!$A$1:$I$89,5,0)</f>
        <v>581.25599999999986</v>
      </c>
      <c r="AK99" s="13">
        <f t="shared" si="89"/>
        <v>127.68713506014205</v>
      </c>
      <c r="AL99" s="20">
        <f t="shared" si="58"/>
        <v>1234.7426268964139</v>
      </c>
      <c r="AM99" s="59">
        <f t="shared" si="59"/>
        <v>1528.0759602297471</v>
      </c>
      <c r="AN99" s="59">
        <f ca="1">AVERAGE(OFFSET($AM$3,0,0,'Données projet'!$E$10+1,1))-AVERAGE(OFFSET($H$3,0,0,'Données projet'!$E$10+1,1))</f>
        <v>465.77577582457678</v>
      </c>
      <c r="AO99" s="59">
        <f t="shared" si="90"/>
        <v>301.15495784503042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31.299202674192383</v>
      </c>
      <c r="AV99" s="21">
        <f>EXP(-LN(2)/25)*AV98+(1-EXP(-LN(2)/25))/(LN(2)/25)*Calculateur!AQ99*Calculateur!AS99*VLOOKUP('Données projet'!$B$10,Paramètres!$A$1:$I$89,3,0)*0.475*44/12</f>
        <v>14.557970591996074</v>
      </c>
      <c r="AW99" s="21">
        <f>EXP(-LN(2)/2)*AW98+(1-EXP(-LN(2)/2))/(LN(2)/2)*AQ99*AT99*VLOOKUP('Données projet'!$B$10,Paramètres!$A$1:$I$89,3,0)*0.475*44/12</f>
        <v>1.9848636390069449E-4</v>
      </c>
      <c r="AX99" s="21">
        <f t="shared" si="60"/>
        <v>45.857371752552353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273.00000000000023</v>
      </c>
      <c r="BE99" s="13">
        <f>BD99*VLOOKUP('Données projet'!$B$11,Paramètres!$A$1:$I$89,3,0)*VLOOKUP('Données projet'!$B$11,Paramètres!$A$1:$I$89,5,0)</f>
        <v>212.9400000000002</v>
      </c>
      <c r="BF99" s="13">
        <f t="shared" si="91"/>
        <v>52.577528895212915</v>
      </c>
      <c r="BG99" s="20">
        <f t="shared" si="61"/>
        <v>462.44302949249618</v>
      </c>
      <c r="BH99" s="59">
        <f t="shared" si="62"/>
        <v>755.77636282582944</v>
      </c>
      <c r="BI99" s="59">
        <f ca="1">AVERAGE(OFFSET($BH$3,0,0,'Données projet'!$E$11+1,1))-AVERAGE(OFFSET($H$3,0,0,'Données projet'!$E$11+1,1))</f>
        <v>219.5868031007679</v>
      </c>
      <c r="BJ99" s="59">
        <f t="shared" si="92"/>
        <v>263.3830219837742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16.000277505615021</v>
      </c>
      <c r="BQ99" s="21">
        <f>EXP(-LN(2)/25)*BQ98+(1-EXP(-LN(2)/25))/(LN(2)/25)*Calculateur!BL99*Calculateur!BN99*VLOOKUP('Données projet'!$B$11,Paramètres!$A$1:$I$89,3,0)*0.475*44/12</f>
        <v>2.186534741744548</v>
      </c>
      <c r="BR99" s="21">
        <f>EXP(-LN(2)/2)*BR98+(1-EXP(-LN(2)/2))/(LN(2)/2)*BL99*BO99*VLOOKUP('Données projet'!$B$11,Paramètres!$A$1:$I$89,3,0)*0.475*44/12</f>
        <v>1.87466574380728E-5</v>
      </c>
      <c r="BS99" s="22">
        <f t="shared" si="63"/>
        <v>18.186830994017008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243.99999999999989</v>
      </c>
      <c r="BZ99" s="13">
        <f>BY99*VLOOKUP('Données projet'!$B$12,Paramètres!$A$1:$I$89,3,0)*VLOOKUP('Données projet'!$B$12,Paramètres!$A$1:$I$89,5,0)</f>
        <v>262.64159999999987</v>
      </c>
      <c r="CA99" s="13">
        <f t="shared" si="93"/>
        <v>63.285128621471941</v>
      </c>
      <c r="CB99" s="20">
        <f t="shared" si="64"/>
        <v>567.65571901573003</v>
      </c>
      <c r="CC99" s="59">
        <f t="shared" si="65"/>
        <v>860.98905234906329</v>
      </c>
      <c r="CD99" s="59">
        <f ca="1">AVERAGE(OFFSET($CC$3,0,0,'Données projet'!$E$12+1,1))-AVERAGE(OFFSET($H$3,0,0,'Données projet'!$E$12+1,1))</f>
        <v>244.7364260963538</v>
      </c>
      <c r="CE99" s="59">
        <f t="shared" si="94"/>
        <v>270.32853612539299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17.532889712205982</v>
      </c>
      <c r="CL99" s="21">
        <f>EXP(-LN(2)/25)*CL98+(1-EXP(-LN(2)/25))/(LN(2)/25)*Calculateur!CG99*Calculateur!CI99*VLOOKUP('Données projet'!$B$12,Paramètres!$A$1:$I$89,3,0)*0.475*44/12</f>
        <v>2.4078303530006511</v>
      </c>
      <c r="CM99" s="21">
        <f>EXP(-LN(2)/2)*CM98+(1-EXP(-LN(2)/2))/(LN(2)/2)*CG99*CJ99*VLOOKUP('Données projet'!$B$12,Paramètres!$A$1:$I$89,3,0)*0.475*44/12</f>
        <v>1.9437885138683242E-5</v>
      </c>
      <c r="CN99" s="22">
        <f t="shared" si="66"/>
        <v>19.940739503091773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243.99999999999989</v>
      </c>
      <c r="CU99" s="17">
        <f>CT99*VLOOKUP('Données projet'!$B$13,Paramètres!$A$1:$I$89,3,0)*VLOOKUP('Données projet'!$B$13,Paramètres!$A$1:$I$89,5,0)</f>
        <v>235.99679999999987</v>
      </c>
      <c r="CV99" s="13">
        <f t="shared" si="95"/>
        <v>57.577381127598322</v>
      </c>
      <c r="CW99" s="20">
        <f t="shared" si="67"/>
        <v>511.30836546390015</v>
      </c>
      <c r="CX99" s="59">
        <f t="shared" si="68"/>
        <v>804.6416987972334</v>
      </c>
      <c r="CY99" s="59">
        <f ca="1">AVERAGE(OFFSET($CX$3,0,0,'Données projet'!$E$13+1,1))-AVERAGE(OFFSET($H$3,0,0,'Données projet'!$E$13+1,1))</f>
        <v>216.39536568500222</v>
      </c>
      <c r="CZ99" s="59">
        <f t="shared" si="96"/>
        <v>239.44686980897467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15.754190755895237</v>
      </c>
      <c r="DG99" s="21">
        <f>EXP(-LN(2)/25)*DG98+(1-EXP(-LN(2)/25))/(LN(2)/25)*Calculateur!DB99*Calculateur!DD99*VLOOKUP('Données projet'!$B$13,Paramètres!$A$1:$I$89,3,0)*0.475*44/12</f>
        <v>2.1635577084933382</v>
      </c>
      <c r="DH99" s="21">
        <f>EXP(-LN(2)/2)*DH98+(1-EXP(-LN(2)/2))/(LN(2)/2)*DB99*DE99*VLOOKUP('Données projet'!$B$13,Paramètres!$A$1:$I$89,3,0)*0.475*44/12</f>
        <v>1.7465925776787824E-5</v>
      </c>
      <c r="DI99" s="22">
        <f t="shared" si="69"/>
        <v>17.917765930314353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57.501599999999883</v>
      </c>
      <c r="D100" s="11">
        <f t="shared" si="86"/>
        <v>16.535040018611035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571.51090540682117</v>
      </c>
      <c r="H100" s="67">
        <f t="shared" si="56"/>
        <v>422.28048136574728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5.6</v>
      </c>
      <c r="N100" s="13">
        <f>IF('Données projet'!$A$36&gt;35,N99+M100-V99,IF(A100&lt;'Données projet'!$A$36,$K$205^A100,IF(A100='Données projet'!$A$36,'Données projet'!$B$36,N99+M100-V99)))</f>
        <v>316.19999999999993</v>
      </c>
      <c r="O100" s="13">
        <f>N100*VLOOKUP('Données projet'!$B$9,Paramètres!$A$1:$I$89,3,0)*VLOOKUP('Données projet'!$B$9,Paramètres!$A$1:$I$89,5,0)</f>
        <v>286.09775999999994</v>
      </c>
      <c r="P100" s="13">
        <f t="shared" si="87"/>
        <v>68.254020651723678</v>
      </c>
      <c r="Q100" s="20">
        <f t="shared" si="107"/>
        <v>617.16268463508527</v>
      </c>
      <c r="R100" s="59">
        <f t="shared" si="55"/>
        <v>910.49601796841853</v>
      </c>
      <c r="S100" s="59">
        <f ca="1">AVERAGE(OFFSET($R$3,0,0,'Données projet'!$E$9+1,1))-AVERAGE(OFFSET($H$3,0,0,'Données projet'!$E$9+1,1))</f>
        <v>330.30341204367602</v>
      </c>
      <c r="T100" s="59">
        <f t="shared" si="88"/>
        <v>200.36653694091007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66.332536930256822</v>
      </c>
      <c r="AA100" s="21">
        <f>EXP(-LN(2)/25)*AA99+(1-EXP(-LN(2)/25))/(LN(2)/25)*Calculateur!V100*Calculateur!X100*VLOOKUP('Données projet'!$B$9,Paramètres!$A$1:$I$89,3,0)*0.475*44/12</f>
        <v>3.1130504237417767</v>
      </c>
      <c r="AB100" s="21">
        <f>EXP(-LN(2)/2)*AB99+(1-EXP(-LN(2)/2))/(LN(2)/2)*V100*Y100*VLOOKUP('Données projet'!$B$9,Paramètres!$A$1:$I$89,3,0)*0.475*44/12</f>
        <v>0.87110100917470112</v>
      </c>
      <c r="AC100" s="22">
        <f t="shared" si="57"/>
        <v>70.316688363173299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971.99999999999977</v>
      </c>
      <c r="AJ100" s="13">
        <f>AI100*VLOOKUP('Données projet'!$B$10,Paramètres!$A$1:$I$89,3,0)*VLOOKUP('Données projet'!$B$10,Paramètres!$A$1:$I$89,5,0)</f>
        <v>581.25599999999986</v>
      </c>
      <c r="AK100" s="13">
        <f t="shared" si="89"/>
        <v>127.68713506014205</v>
      </c>
      <c r="AL100" s="20">
        <f t="shared" si="58"/>
        <v>1234.7426268964139</v>
      </c>
      <c r="AM100" s="59">
        <f t="shared" si="59"/>
        <v>1528.0759602297471</v>
      </c>
      <c r="AN100" s="59">
        <f ca="1">AVERAGE(OFFSET($AM$3,0,0,'Données projet'!$E$10+1,1))-AVERAGE(OFFSET($H$3,0,0,'Données projet'!$E$10+1,1))</f>
        <v>465.77577582457678</v>
      </c>
      <c r="AO100" s="59">
        <f t="shared" si="90"/>
        <v>301.15495784503042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30.68544440038006</v>
      </c>
      <c r="AV100" s="21">
        <f>EXP(-LN(2)/25)*AV99+(1-EXP(-LN(2)/25))/(LN(2)/25)*Calculateur!AQ100*Calculateur!AS100*VLOOKUP('Données projet'!$B$10,Paramètres!$A$1:$I$89,3,0)*0.475*44/12</f>
        <v>14.159882120587541</v>
      </c>
      <c r="AW100" s="21">
        <f>EXP(-LN(2)/2)*AW99+(1-EXP(-LN(2)/2))/(LN(2)/2)*AQ100*AT100*VLOOKUP('Données projet'!$B$10,Paramètres!$A$1:$I$89,3,0)*0.475*44/12</f>
        <v>1.4035105388724182E-4</v>
      </c>
      <c r="AX100" s="21">
        <f t="shared" si="60"/>
        <v>44.84546687202149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273.00000000000023</v>
      </c>
      <c r="BE100" s="13">
        <f>BD100*VLOOKUP('Données projet'!$B$11,Paramètres!$A$1:$I$89,3,0)*VLOOKUP('Données projet'!$B$11,Paramètres!$A$1:$I$89,5,0)</f>
        <v>212.9400000000002</v>
      </c>
      <c r="BF100" s="13">
        <f t="shared" si="91"/>
        <v>52.577528895212915</v>
      </c>
      <c r="BG100" s="20">
        <f t="shared" si="61"/>
        <v>462.44302949249618</v>
      </c>
      <c r="BH100" s="59">
        <f t="shared" si="62"/>
        <v>755.77636282582944</v>
      </c>
      <c r="BI100" s="59">
        <f ca="1">AVERAGE(OFFSET($BH$3,0,0,'Données projet'!$E$11+1,1))-AVERAGE(OFFSET($H$3,0,0,'Données projet'!$E$11+1,1))</f>
        <v>219.5868031007679</v>
      </c>
      <c r="BJ100" s="59">
        <f t="shared" si="92"/>
        <v>263.3830219837742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15.686521822935546</v>
      </c>
      <c r="BQ100" s="21">
        <f>EXP(-LN(2)/25)*BQ99+(1-EXP(-LN(2)/25))/(LN(2)/25)*Calculateur!BL100*Calculateur!BN100*VLOOKUP('Données projet'!$B$11,Paramètres!$A$1:$I$89,3,0)*0.475*44/12</f>
        <v>2.1267438342466787</v>
      </c>
      <c r="BR100" s="21">
        <f>EXP(-LN(2)/2)*BR99+(1-EXP(-LN(2)/2))/(LN(2)/2)*BL100*BO100*VLOOKUP('Données projet'!$B$11,Paramètres!$A$1:$I$89,3,0)*0.475*44/12</f>
        <v>1.3255888599042507E-5</v>
      </c>
      <c r="BS100" s="22">
        <f t="shared" si="63"/>
        <v>17.813278913070825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243.99999999999989</v>
      </c>
      <c r="BZ100" s="13">
        <f>BY100*VLOOKUP('Données projet'!$B$12,Paramètres!$A$1:$I$89,3,0)*VLOOKUP('Données projet'!$B$12,Paramètres!$A$1:$I$89,5,0)</f>
        <v>262.64159999999987</v>
      </c>
      <c r="CA100" s="13">
        <f t="shared" si="93"/>
        <v>63.285128621471941</v>
      </c>
      <c r="CB100" s="20">
        <f t="shared" si="64"/>
        <v>567.65571901573003</v>
      </c>
      <c r="CC100" s="59">
        <f t="shared" si="65"/>
        <v>860.98905234906329</v>
      </c>
      <c r="CD100" s="59">
        <f ca="1">AVERAGE(OFFSET($CC$3,0,0,'Données projet'!$E$12+1,1))-AVERAGE(OFFSET($H$3,0,0,'Données projet'!$E$12+1,1))</f>
        <v>244.7364260963538</v>
      </c>
      <c r="CE100" s="59">
        <f t="shared" si="94"/>
        <v>270.32853612539299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17.189080438956402</v>
      </c>
      <c r="CL100" s="21">
        <f>EXP(-LN(2)/25)*CL99+(1-EXP(-LN(2)/25))/(LN(2)/25)*Calculateur!CG100*Calculateur!CI100*VLOOKUP('Données projet'!$B$12,Paramètres!$A$1:$I$89,3,0)*0.475*44/12</f>
        <v>2.3419881053755534</v>
      </c>
      <c r="CM100" s="21">
        <f>EXP(-LN(2)/2)*CM99+(1-EXP(-LN(2)/2))/(LN(2)/2)*CG100*CJ100*VLOOKUP('Données projet'!$B$12,Paramètres!$A$1:$I$89,3,0)*0.475*44/12</f>
        <v>1.3744660393488135E-5</v>
      </c>
      <c r="CN100" s="22">
        <f t="shared" si="66"/>
        <v>19.531082288992348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243.99999999999989</v>
      </c>
      <c r="CU100" s="17">
        <f>CT100*VLOOKUP('Données projet'!$B$13,Paramètres!$A$1:$I$89,3,0)*VLOOKUP('Données projet'!$B$13,Paramètres!$A$1:$I$89,5,0)</f>
        <v>235.99679999999987</v>
      </c>
      <c r="CV100" s="13">
        <f t="shared" si="95"/>
        <v>57.577381127598322</v>
      </c>
      <c r="CW100" s="20">
        <f t="shared" si="67"/>
        <v>511.30836546390015</v>
      </c>
      <c r="CX100" s="59">
        <f t="shared" si="68"/>
        <v>804.6416987972334</v>
      </c>
      <c r="CY100" s="59">
        <f ca="1">AVERAGE(OFFSET($CX$3,0,0,'Données projet'!$E$13+1,1))-AVERAGE(OFFSET($H$3,0,0,'Données projet'!$E$13+1,1))</f>
        <v>216.39536568500222</v>
      </c>
      <c r="CZ100" s="59">
        <f t="shared" si="96"/>
        <v>239.44686980897467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15.445260684279672</v>
      </c>
      <c r="DG100" s="21">
        <f>EXP(-LN(2)/25)*DG99+(1-EXP(-LN(2)/25))/(LN(2)/25)*Calculateur!DB100*Calculateur!DD100*VLOOKUP('Données projet'!$B$13,Paramètres!$A$1:$I$89,3,0)*0.475*44/12</f>
        <v>2.1043951091780326</v>
      </c>
      <c r="DH100" s="21">
        <f>EXP(-LN(2)/2)*DH99+(1-EXP(-LN(2)/2))/(LN(2)/2)*DB100*DE100*VLOOKUP('Données projet'!$B$13,Paramètres!$A$1:$I$89,3,0)*0.475*44/12</f>
        <v>1.2350274556467588E-5</v>
      </c>
      <c r="DI100" s="22">
        <f t="shared" si="69"/>
        <v>17.549668143732262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58.094399999999879</v>
      </c>
      <c r="D101" s="11">
        <f t="shared" si="86"/>
        <v>16.685572272139861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577.2489087673946</v>
      </c>
      <c r="H101" s="67">
        <f t="shared" si="56"/>
        <v>423.57511837397669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5.6</v>
      </c>
      <c r="N101" s="13">
        <f>IF('Données projet'!$A$36&gt;35,N100+M101-V100,IF(A101&lt;'Données projet'!$A$36,$K$205^A101,IF(A101='Données projet'!$A$36,'Données projet'!$B$36,N100+M101-V100)))</f>
        <v>321.79999999999995</v>
      </c>
      <c r="O101" s="13">
        <f>N101*VLOOKUP('Données projet'!$B$9,Paramètres!$A$1:$I$89,3,0)*VLOOKUP('Données projet'!$B$9,Paramètres!$A$1:$I$89,5,0)</f>
        <v>291.16463999999991</v>
      </c>
      <c r="P101" s="13">
        <f t="shared" si="87"/>
        <v>69.321022467464644</v>
      </c>
      <c r="Q101" s="20">
        <f t="shared" si="107"/>
        <v>627.84586213083401</v>
      </c>
      <c r="R101" s="59">
        <f t="shared" si="55"/>
        <v>921.17919546416738</v>
      </c>
      <c r="S101" s="59">
        <f ca="1">AVERAGE(OFFSET($R$3,0,0,'Données projet'!$E$9+1,1))-AVERAGE(OFFSET($H$3,0,0,'Données projet'!$E$9+1,1))</f>
        <v>330.30341204367602</v>
      </c>
      <c r="T101" s="59">
        <f t="shared" si="88"/>
        <v>200.36653694091007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65.031796339907032</v>
      </c>
      <c r="AA101" s="21">
        <f>EXP(-LN(2)/25)*AA100+(1-EXP(-LN(2)/25))/(LN(2)/25)*Calculateur!V101*Calculateur!X101*VLOOKUP('Données projet'!$B$9,Paramètres!$A$1:$I$89,3,0)*0.475*44/12</f>
        <v>3.0279238961963508</v>
      </c>
      <c r="AB101" s="21">
        <f>EXP(-LN(2)/2)*AB100+(1-EXP(-LN(2)/2))/(LN(2)/2)*V101*Y101*VLOOKUP('Données projet'!$B$9,Paramètres!$A$1:$I$89,3,0)*0.475*44/12</f>
        <v>0.61596143068587617</v>
      </c>
      <c r="AC101" s="22">
        <f t="shared" si="57"/>
        <v>68.675681666789259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971.99999999999977</v>
      </c>
      <c r="AJ101" s="13">
        <f>AI101*VLOOKUP('Données projet'!$B$10,Paramètres!$A$1:$I$89,3,0)*VLOOKUP('Données projet'!$B$10,Paramètres!$A$1:$I$89,5,0)</f>
        <v>581.25599999999986</v>
      </c>
      <c r="AK101" s="13">
        <f t="shared" si="89"/>
        <v>127.68713506014205</v>
      </c>
      <c r="AL101" s="20">
        <f t="shared" si="58"/>
        <v>1234.7426268964139</v>
      </c>
      <c r="AM101" s="59">
        <f t="shared" si="59"/>
        <v>1528.0759602297471</v>
      </c>
      <c r="AN101" s="59">
        <f ca="1">AVERAGE(OFFSET($AM$3,0,0,'Données projet'!$E$10+1,1))-AVERAGE(OFFSET($H$3,0,0,'Données projet'!$E$10+1,1))</f>
        <v>465.77577582457678</v>
      </c>
      <c r="AO101" s="59">
        <f t="shared" si="90"/>
        <v>301.15495784503042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30.083721551961613</v>
      </c>
      <c r="AV101" s="21">
        <f>EXP(-LN(2)/25)*AV100+(1-EXP(-LN(2)/25))/(LN(2)/25)*Calculateur!AQ101*Calculateur!AS101*VLOOKUP('Données projet'!$B$10,Paramètres!$A$1:$I$89,3,0)*0.475*44/12</f>
        <v>13.772679399364238</v>
      </c>
      <c r="AW101" s="21">
        <f>EXP(-LN(2)/2)*AW100+(1-EXP(-LN(2)/2))/(LN(2)/2)*AQ101*AT101*VLOOKUP('Données projet'!$B$10,Paramètres!$A$1:$I$89,3,0)*0.475*44/12</f>
        <v>9.9243181950347243E-5</v>
      </c>
      <c r="AX101" s="21">
        <f t="shared" si="60"/>
        <v>43.856500194507802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273.00000000000023</v>
      </c>
      <c r="BE101" s="13">
        <f>BD101*VLOOKUP('Données projet'!$B$11,Paramètres!$A$1:$I$89,3,0)*VLOOKUP('Données projet'!$B$11,Paramètres!$A$1:$I$89,5,0)</f>
        <v>212.9400000000002</v>
      </c>
      <c r="BF101" s="13">
        <f t="shared" si="91"/>
        <v>52.577528895212915</v>
      </c>
      <c r="BG101" s="20">
        <f t="shared" si="61"/>
        <v>462.44302949249618</v>
      </c>
      <c r="BH101" s="59">
        <f t="shared" si="62"/>
        <v>755.77636282582944</v>
      </c>
      <c r="BI101" s="59">
        <f ca="1">AVERAGE(OFFSET($BH$3,0,0,'Données projet'!$E$11+1,1))-AVERAGE(OFFSET($H$3,0,0,'Données projet'!$E$11+1,1))</f>
        <v>219.5868031007679</v>
      </c>
      <c r="BJ101" s="59">
        <f t="shared" si="92"/>
        <v>263.3830219837742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15.378918697821348</v>
      </c>
      <c r="BQ101" s="21">
        <f>EXP(-LN(2)/25)*BQ100+(1-EXP(-LN(2)/25))/(LN(2)/25)*Calculateur!BL101*Calculateur!BN101*VLOOKUP('Données projet'!$B$11,Paramètres!$A$1:$I$89,3,0)*0.475*44/12</f>
        <v>2.0685879122586059</v>
      </c>
      <c r="BR101" s="21">
        <f>EXP(-LN(2)/2)*BR100+(1-EXP(-LN(2)/2))/(LN(2)/2)*BL101*BO101*VLOOKUP('Données projet'!$B$11,Paramètres!$A$1:$I$89,3,0)*0.475*44/12</f>
        <v>9.3733287190363998E-6</v>
      </c>
      <c r="BS101" s="22">
        <f t="shared" si="63"/>
        <v>17.447515983408675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243.99999999999989</v>
      </c>
      <c r="BZ101" s="13">
        <f>BY101*VLOOKUP('Données projet'!$B$12,Paramètres!$A$1:$I$89,3,0)*VLOOKUP('Données projet'!$B$12,Paramètres!$A$1:$I$89,5,0)</f>
        <v>262.64159999999987</v>
      </c>
      <c r="CA101" s="13">
        <f t="shared" si="93"/>
        <v>63.285128621471941</v>
      </c>
      <c r="CB101" s="20">
        <f t="shared" si="64"/>
        <v>567.65571901573003</v>
      </c>
      <c r="CC101" s="59">
        <f t="shared" si="65"/>
        <v>860.98905234906329</v>
      </c>
      <c r="CD101" s="59">
        <f ca="1">AVERAGE(OFFSET($CC$3,0,0,'Données projet'!$E$12+1,1))-AVERAGE(OFFSET($H$3,0,0,'Données projet'!$E$12+1,1))</f>
        <v>244.7364260963538</v>
      </c>
      <c r="CE101" s="59">
        <f t="shared" si="94"/>
        <v>270.32853612539299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16.852013055852296</v>
      </c>
      <c r="CL101" s="21">
        <f>EXP(-LN(2)/25)*CL100+(1-EXP(-LN(2)/25))/(LN(2)/25)*Calculateur!CG101*Calculateur!CI101*VLOOKUP('Données projet'!$B$12,Paramètres!$A$1:$I$89,3,0)*0.475*44/12</f>
        <v>2.2779463174742571</v>
      </c>
      <c r="CM101" s="21">
        <f>EXP(-LN(2)/2)*CM100+(1-EXP(-LN(2)/2))/(LN(2)/2)*CG101*CJ101*VLOOKUP('Données projet'!$B$12,Paramètres!$A$1:$I$89,3,0)*0.475*44/12</f>
        <v>9.7189425693416211E-6</v>
      </c>
      <c r="CN101" s="22">
        <f t="shared" si="66"/>
        <v>19.129969092269121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243.99999999999989</v>
      </c>
      <c r="CU101" s="17">
        <f>CT101*VLOOKUP('Données projet'!$B$13,Paramètres!$A$1:$I$89,3,0)*VLOOKUP('Données projet'!$B$13,Paramètres!$A$1:$I$89,5,0)</f>
        <v>235.99679999999987</v>
      </c>
      <c r="CV101" s="13">
        <f t="shared" si="95"/>
        <v>57.577381127598322</v>
      </c>
      <c r="CW101" s="20">
        <f t="shared" si="67"/>
        <v>511.30836546390015</v>
      </c>
      <c r="CX101" s="59">
        <f t="shared" si="68"/>
        <v>804.6416987972334</v>
      </c>
      <c r="CY101" s="59">
        <f ca="1">AVERAGE(OFFSET($CX$3,0,0,'Données projet'!$E$13+1,1))-AVERAGE(OFFSET($H$3,0,0,'Données projet'!$E$13+1,1))</f>
        <v>216.39536568500222</v>
      </c>
      <c r="CZ101" s="59">
        <f t="shared" si="96"/>
        <v>239.44686980897467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15.14238854293975</v>
      </c>
      <c r="DG101" s="21">
        <f>EXP(-LN(2)/25)*DG100+(1-EXP(-LN(2)/25))/(LN(2)/25)*Calculateur!DB101*Calculateur!DD101*VLOOKUP('Données projet'!$B$13,Paramètres!$A$1:$I$89,3,0)*0.475*44/12</f>
        <v>2.0468503142522301</v>
      </c>
      <c r="DH101" s="21">
        <f>EXP(-LN(2)/2)*DH100+(1-EXP(-LN(2)/2))/(LN(2)/2)*DB101*DE101*VLOOKUP('Données projet'!$B$13,Paramètres!$A$1:$I$89,3,0)*0.475*44/12</f>
        <v>8.732962888393912E-6</v>
      </c>
      <c r="DI101" s="22">
        <f t="shared" si="69"/>
        <v>17.189247590154871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58.687199999999876</v>
      </c>
      <c r="D102" s="11">
        <f t="shared" si="86"/>
        <v>16.835925833077511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582.98553274656228</v>
      </c>
      <c r="H102" s="67">
        <f t="shared" si="56"/>
        <v>424.86944415927644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5.6</v>
      </c>
      <c r="N102" s="13">
        <f>IF('Données projet'!$A$36&gt;35,N101+M102-V101,IF(A102&lt;'Données projet'!$A$36,$K$205^A102,IF(A102='Données projet'!$A$36,'Données projet'!$B$36,N101+M102-V101)))</f>
        <v>327.39999999999998</v>
      </c>
      <c r="O102" s="13">
        <f>N102*VLOOKUP('Données projet'!$B$9,Paramètres!$A$1:$I$89,3,0)*VLOOKUP('Données projet'!$B$9,Paramètres!$A$1:$I$89,5,0)</f>
        <v>296.23151999999993</v>
      </c>
      <c r="P102" s="13">
        <f t="shared" si="87"/>
        <v>70.385865030263986</v>
      </c>
      <c r="Q102" s="20">
        <f t="shared" si="107"/>
        <v>638.52527892770956</v>
      </c>
      <c r="R102" s="59">
        <f t="shared" si="55"/>
        <v>931.85861226104294</v>
      </c>
      <c r="S102" s="59">
        <f ca="1">AVERAGE(OFFSET($R$3,0,0,'Données projet'!$E$9+1,1))-AVERAGE(OFFSET($H$3,0,0,'Données projet'!$E$9+1,1))</f>
        <v>330.30341204367602</v>
      </c>
      <c r="T102" s="59">
        <f t="shared" si="88"/>
        <v>200.36653694091007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63.756562479160579</v>
      </c>
      <c r="AA102" s="21">
        <f>EXP(-LN(2)/25)*AA101+(1-EXP(-LN(2)/25))/(LN(2)/25)*Calculateur!V102*Calculateur!X102*VLOOKUP('Données projet'!$B$9,Paramètres!$A$1:$I$89,3,0)*0.475*44/12</f>
        <v>2.9451251580232642</v>
      </c>
      <c r="AB102" s="21">
        <f>EXP(-LN(2)/2)*AB101+(1-EXP(-LN(2)/2))/(LN(2)/2)*V102*Y102*VLOOKUP('Données projet'!$B$9,Paramètres!$A$1:$I$89,3,0)*0.475*44/12</f>
        <v>0.43555050458735062</v>
      </c>
      <c r="AC102" s="22">
        <f t="shared" si="57"/>
        <v>67.137238141771192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971.99999999999977</v>
      </c>
      <c r="AJ102" s="13">
        <f>AI102*VLOOKUP('Données projet'!$B$10,Paramètres!$A$1:$I$89,3,0)*VLOOKUP('Données projet'!$B$10,Paramètres!$A$1:$I$89,5,0)</f>
        <v>581.25599999999986</v>
      </c>
      <c r="AK102" s="13">
        <f t="shared" si="89"/>
        <v>127.68713506014205</v>
      </c>
      <c r="AL102" s="20">
        <f t="shared" si="58"/>
        <v>1234.7426268964139</v>
      </c>
      <c r="AM102" s="59">
        <f t="shared" si="59"/>
        <v>1528.0759602297471</v>
      </c>
      <c r="AN102" s="59">
        <f ca="1">AVERAGE(OFFSET($AM$3,0,0,'Données projet'!$E$10+1,1))-AVERAGE(OFFSET($H$3,0,0,'Données projet'!$E$10+1,1))</f>
        <v>465.77577582457678</v>
      </c>
      <c r="AO102" s="59">
        <f t="shared" si="90"/>
        <v>301.15495784503042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29.493798121585954</v>
      </c>
      <c r="AV102" s="21">
        <f>EXP(-LN(2)/25)*AV101+(1-EXP(-LN(2)/25))/(LN(2)/25)*Calculateur!AQ102*Calculateur!AS102*VLOOKUP('Données projet'!$B$10,Paramètres!$A$1:$I$89,3,0)*0.475*44/12</f>
        <v>13.396064756914891</v>
      </c>
      <c r="AW102" s="21">
        <f>EXP(-LN(2)/2)*AW101+(1-EXP(-LN(2)/2))/(LN(2)/2)*AQ102*AT102*VLOOKUP('Données projet'!$B$10,Paramètres!$A$1:$I$89,3,0)*0.475*44/12</f>
        <v>7.0175526943620911E-5</v>
      </c>
      <c r="AX102" s="21">
        <f t="shared" si="60"/>
        <v>42.889933054027786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273.00000000000023</v>
      </c>
      <c r="BE102" s="13">
        <f>BD102*VLOOKUP('Données projet'!$B$11,Paramètres!$A$1:$I$89,3,0)*VLOOKUP('Données projet'!$B$11,Paramètres!$A$1:$I$89,5,0)</f>
        <v>212.9400000000002</v>
      </c>
      <c r="BF102" s="13">
        <f t="shared" si="91"/>
        <v>52.577528895212915</v>
      </c>
      <c r="BG102" s="20">
        <f t="shared" si="61"/>
        <v>462.44302949249618</v>
      </c>
      <c r="BH102" s="59">
        <f t="shared" si="62"/>
        <v>755.77636282582944</v>
      </c>
      <c r="BI102" s="59">
        <f ca="1">AVERAGE(OFFSET($BH$3,0,0,'Données projet'!$E$11+1,1))-AVERAGE(OFFSET($H$3,0,0,'Données projet'!$E$11+1,1))</f>
        <v>219.5868031007679</v>
      </c>
      <c r="BJ102" s="59">
        <f t="shared" si="92"/>
        <v>263.3830219837742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15.077347482371257</v>
      </c>
      <c r="BQ102" s="21">
        <f>EXP(-LN(2)/25)*BQ101+(1-EXP(-LN(2)/25))/(LN(2)/25)*Calculateur!BL102*Calculateur!BN102*VLOOKUP('Données projet'!$B$11,Paramètres!$A$1:$I$89,3,0)*0.475*44/12</f>
        <v>2.0120222670155838</v>
      </c>
      <c r="BR102" s="21">
        <f>EXP(-LN(2)/2)*BR101+(1-EXP(-LN(2)/2))/(LN(2)/2)*BL102*BO102*VLOOKUP('Données projet'!$B$11,Paramètres!$A$1:$I$89,3,0)*0.475*44/12</f>
        <v>6.6279442995212535E-6</v>
      </c>
      <c r="BS102" s="22">
        <f t="shared" si="63"/>
        <v>17.089376377331138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243.99999999999989</v>
      </c>
      <c r="BZ102" s="13">
        <f>BY102*VLOOKUP('Données projet'!$B$12,Paramètres!$A$1:$I$89,3,0)*VLOOKUP('Données projet'!$B$12,Paramètres!$A$1:$I$89,5,0)</f>
        <v>262.64159999999987</v>
      </c>
      <c r="CA102" s="13">
        <f t="shared" si="93"/>
        <v>63.285128621471941</v>
      </c>
      <c r="CB102" s="20">
        <f t="shared" si="64"/>
        <v>567.65571901573003</v>
      </c>
      <c r="CC102" s="59">
        <f t="shared" si="65"/>
        <v>860.98905234906329</v>
      </c>
      <c r="CD102" s="59">
        <f ca="1">AVERAGE(OFFSET($CC$3,0,0,'Données projet'!$E$12+1,1))-AVERAGE(OFFSET($H$3,0,0,'Données projet'!$E$12+1,1))</f>
        <v>244.7364260963538</v>
      </c>
      <c r="CE102" s="59">
        <f t="shared" si="94"/>
        <v>270.32853612539299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16.521555358540059</v>
      </c>
      <c r="CL102" s="21">
        <f>EXP(-LN(2)/25)*CL101+(1-EXP(-LN(2)/25))/(LN(2)/25)*Calculateur!CG102*Calculateur!CI102*VLOOKUP('Données projet'!$B$12,Paramètres!$A$1:$I$89,3,0)*0.475*44/12</f>
        <v>2.2156557556309329</v>
      </c>
      <c r="CM102" s="21">
        <f>EXP(-LN(2)/2)*CM101+(1-EXP(-LN(2)/2))/(LN(2)/2)*CG102*CJ102*VLOOKUP('Données projet'!$B$12,Paramètres!$A$1:$I$89,3,0)*0.475*44/12</f>
        <v>6.8723301967440677E-6</v>
      </c>
      <c r="CN102" s="22">
        <f t="shared" si="66"/>
        <v>18.737217986501189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243.99999999999989</v>
      </c>
      <c r="CU102" s="17">
        <f>CT102*VLOOKUP('Données projet'!$B$13,Paramètres!$A$1:$I$89,3,0)*VLOOKUP('Données projet'!$B$13,Paramètres!$A$1:$I$89,5,0)</f>
        <v>235.99679999999987</v>
      </c>
      <c r="CV102" s="13">
        <f t="shared" si="95"/>
        <v>57.577381127598322</v>
      </c>
      <c r="CW102" s="20">
        <f t="shared" si="67"/>
        <v>511.30836546390015</v>
      </c>
      <c r="CX102" s="59">
        <f t="shared" si="68"/>
        <v>804.6416987972334</v>
      </c>
      <c r="CY102" s="59">
        <f ca="1">AVERAGE(OFFSET($CX$3,0,0,'Données projet'!$E$13+1,1))-AVERAGE(OFFSET($H$3,0,0,'Données projet'!$E$13+1,1))</f>
        <v>216.39536568500222</v>
      </c>
      <c r="CZ102" s="59">
        <f t="shared" si="96"/>
        <v>239.44686980897467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14.84545553955774</v>
      </c>
      <c r="DG102" s="21">
        <f>EXP(-LN(2)/25)*DG101+(1-EXP(-LN(2)/25))/(LN(2)/25)*Calculateur!DB102*Calculateur!DD102*VLOOKUP('Données projet'!$B$13,Paramètres!$A$1:$I$89,3,0)*0.475*44/12</f>
        <v>1.990879084769823</v>
      </c>
      <c r="DH102" s="21">
        <f>EXP(-LN(2)/2)*DH101+(1-EXP(-LN(2)/2))/(LN(2)/2)*DB102*DE102*VLOOKUP('Données projet'!$B$13,Paramètres!$A$1:$I$89,3,0)*0.475*44/12</f>
        <v>6.1751372782337941E-6</v>
      </c>
      <c r="DI102" s="22">
        <f t="shared" si="69"/>
        <v>16.836340799464843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59.279999999999873</v>
      </c>
      <c r="D103" s="11">
        <f t="shared" si="86"/>
        <v>16.986102715383439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588.72079289067824</v>
      </c>
      <c r="H103" s="67">
        <f t="shared" si="56"/>
        <v>426.16346222929258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333</v>
      </c>
      <c r="L103" s="12">
        <f>VLOOKUP(A103,'Données projet'!$A$35:$I$55,9,0)</f>
        <v>5.6</v>
      </c>
      <c r="M103" s="12">
        <f t="array" ref="M103">INDEX(L:L,MIN(IF(ISNUMBER(L103:L299),ROW(L103:L299),"")))</f>
        <v>5.6</v>
      </c>
      <c r="N103" s="13">
        <f>IF('Données projet'!$A$36&gt;35,N102+M103-V102,IF(A103&lt;'Données projet'!$A$36,$K$205^A103,IF(A103='Données projet'!$A$36,'Données projet'!$B$36,N102+M103-V102)))</f>
        <v>333</v>
      </c>
      <c r="O103" s="13">
        <f>N103*VLOOKUP('Données projet'!$B$9,Paramètres!$A$1:$I$89,3,0)*VLOOKUP('Données projet'!$B$9,Paramètres!$A$1:$I$89,5,0)</f>
        <v>301.29840000000002</v>
      </c>
      <c r="P103" s="13">
        <f t="shared" si="87"/>
        <v>71.448589534990518</v>
      </c>
      <c r="Q103" s="20">
        <f t="shared" si="107"/>
        <v>649.2010067734418</v>
      </c>
      <c r="R103" s="59">
        <f t="shared" si="55"/>
        <v>942.53434010677506</v>
      </c>
      <c r="S103" s="59">
        <f ca="1">AVERAGE(OFFSET($R$3,0,0,'Données projet'!$E$9+1,1))-AVERAGE(OFFSET($H$3,0,0,'Données projet'!$E$9+1,1))</f>
        <v>330.30341204367602</v>
      </c>
      <c r="T103" s="59">
        <f t="shared" si="88"/>
        <v>200.36653694091007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27</v>
      </c>
      <c r="W103" s="16">
        <f>IF(ISNA(VLOOKUP(A103,'Données projet'!$A$35:$I$55,5,0)),0%,VLOOKUP(A103,'Données projet'!$A$35:$I$55,5,0)*VLOOKUP('Données projet'!$B$9,Paramètres!$A$1:$I$89,7,0))</f>
        <v>0.34400000000000003</v>
      </c>
      <c r="X103" s="16">
        <f>IF(ISNA(VLOOKUP(A103,'Données projet'!$A$35:$I$55,6,0)),0%,VLOOKUP(A103,'Données projet'!$A$35:$I$55,6,0)*VLOOKUP('Données projet'!$B$9,Paramètres!$A$1:$I$89,7,0))</f>
        <v>1.72E-2</v>
      </c>
      <c r="Y103" s="16">
        <f>IF(ISNA(VLOOKUP(A103,'Données projet'!$A$35:$I$55,7,0)),0%,VLOOKUP(A103,'Données projet'!$A$35:$I$55,7,0))</f>
        <v>0.06</v>
      </c>
      <c r="Z103" s="21">
        <f>EXP(-LN(2)/35)*Z102+(1-EXP(-LN(2)/35))/(LN(2)/35)*V103*W103*VLOOKUP('Données projet'!$B$9,Paramètres!$A$1:$I$89,3,0)*0.475*44/12</f>
        <v>71.796467695847838</v>
      </c>
      <c r="AA103" s="21">
        <f>EXP(-LN(2)/25)*AA102+(1-EXP(-LN(2)/25))/(LN(2)/25)*Calculateur!V103*Calculateur!X103*VLOOKUP('Données projet'!$B$9,Paramètres!$A$1:$I$89,3,0)*0.475*44/12</f>
        <v>3.3272682420844206</v>
      </c>
      <c r="AB103" s="21">
        <f>EXP(-LN(2)/2)*AB102+(1-EXP(-LN(2)/2))/(LN(2)/2)*V103*Y103*VLOOKUP('Données projet'!$B$9,Paramètres!$A$1:$I$89,3,0)*0.475*44/12</f>
        <v>1.6909798221255659</v>
      </c>
      <c r="AC103" s="22">
        <f t="shared" si="57"/>
        <v>76.814715760057823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971.99999999999977</v>
      </c>
      <c r="AJ103" s="13">
        <f>AI103*VLOOKUP('Données projet'!$B$10,Paramètres!$A$1:$I$89,3,0)*VLOOKUP('Données projet'!$B$10,Paramètres!$A$1:$I$89,5,0)</f>
        <v>581.25599999999986</v>
      </c>
      <c r="AK103" s="13">
        <f t="shared" si="89"/>
        <v>127.68713506014205</v>
      </c>
      <c r="AL103" s="20">
        <f t="shared" si="58"/>
        <v>1234.7426268964139</v>
      </c>
      <c r="AM103" s="59">
        <f t="shared" si="59"/>
        <v>1528.0759602297471</v>
      </c>
      <c r="AN103" s="59">
        <f ca="1">AVERAGE(OFFSET($AM$3,0,0,'Données projet'!$E$10+1,1))-AVERAGE(OFFSET($H$3,0,0,'Données projet'!$E$10+1,1))</f>
        <v>465.77577582457678</v>
      </c>
      <c r="AO103" s="59">
        <f t="shared" si="90"/>
        <v>301.15495784503042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28.915442729862196</v>
      </c>
      <c r="AV103" s="21">
        <f>EXP(-LN(2)/25)*AV102+(1-EXP(-LN(2)/25))/(LN(2)/25)*Calculateur!AQ103*Calculateur!AS103*VLOOKUP('Données projet'!$B$10,Paramètres!$A$1:$I$89,3,0)*0.475*44/12</f>
        <v>13.029748661668625</v>
      </c>
      <c r="AW103" s="21">
        <f>EXP(-LN(2)/2)*AW102+(1-EXP(-LN(2)/2))/(LN(2)/2)*AQ103*AT103*VLOOKUP('Données projet'!$B$10,Paramètres!$A$1:$I$89,3,0)*0.475*44/12</f>
        <v>4.9621590975173622E-5</v>
      </c>
      <c r="AX103" s="21">
        <f t="shared" si="60"/>
        <v>41.945241013121795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273.00000000000023</v>
      </c>
      <c r="BE103" s="13">
        <f>BD103*VLOOKUP('Données projet'!$B$11,Paramètres!$A$1:$I$89,3,0)*VLOOKUP('Données projet'!$B$11,Paramètres!$A$1:$I$89,5,0)</f>
        <v>212.9400000000002</v>
      </c>
      <c r="BF103" s="13">
        <f t="shared" si="91"/>
        <v>52.577528895212915</v>
      </c>
      <c r="BG103" s="20">
        <f t="shared" si="61"/>
        <v>462.44302949249618</v>
      </c>
      <c r="BH103" s="59">
        <f t="shared" si="62"/>
        <v>755.77636282582944</v>
      </c>
      <c r="BI103" s="59">
        <f ca="1">AVERAGE(OFFSET($BH$3,0,0,'Données projet'!$E$11+1,1))-AVERAGE(OFFSET($H$3,0,0,'Données projet'!$E$11+1,1))</f>
        <v>219.5868031007679</v>
      </c>
      <c r="BJ103" s="59">
        <f t="shared" si="92"/>
        <v>263.3830219837742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14.781689894515864</v>
      </c>
      <c r="BQ103" s="21">
        <f>EXP(-LN(2)/25)*BQ102+(1-EXP(-LN(2)/25))/(LN(2)/25)*Calculateur!BL103*Calculateur!BN103*VLOOKUP('Données projet'!$B$11,Paramètres!$A$1:$I$89,3,0)*0.475*44/12</f>
        <v>1.9570034123163902</v>
      </c>
      <c r="BR103" s="21">
        <f>EXP(-LN(2)/2)*BR102+(1-EXP(-LN(2)/2))/(LN(2)/2)*BL103*BO103*VLOOKUP('Données projet'!$B$11,Paramètres!$A$1:$I$89,3,0)*0.475*44/12</f>
        <v>4.6866643595181999E-6</v>
      </c>
      <c r="BS103" s="22">
        <f t="shared" si="63"/>
        <v>16.738697993496611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243.99999999999989</v>
      </c>
      <c r="BZ103" s="13">
        <f>BY103*VLOOKUP('Données projet'!$B$12,Paramètres!$A$1:$I$89,3,0)*VLOOKUP('Données projet'!$B$12,Paramètres!$A$1:$I$89,5,0)</f>
        <v>262.64159999999987</v>
      </c>
      <c r="CA103" s="13">
        <f t="shared" si="93"/>
        <v>63.285128621471941</v>
      </c>
      <c r="CB103" s="20">
        <f t="shared" si="64"/>
        <v>567.65571901573003</v>
      </c>
      <c r="CC103" s="59">
        <f t="shared" si="65"/>
        <v>860.98905234906329</v>
      </c>
      <c r="CD103" s="59">
        <f ca="1">AVERAGE(OFFSET($CC$3,0,0,'Données projet'!$E$12+1,1))-AVERAGE(OFFSET($H$3,0,0,'Données projet'!$E$12+1,1))</f>
        <v>244.7364260963538</v>
      </c>
      <c r="CE103" s="59">
        <f t="shared" si="94"/>
        <v>270.32853612539299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16.197577735112819</v>
      </c>
      <c r="CL103" s="21">
        <f>EXP(-LN(2)/25)*CL102+(1-EXP(-LN(2)/25))/(LN(2)/25)*Calculateur!CG103*Calculateur!CI103*VLOOKUP('Données projet'!$B$12,Paramètres!$A$1:$I$89,3,0)*0.475*44/12</f>
        <v>2.1550685324769328</v>
      </c>
      <c r="CM103" s="21">
        <f>EXP(-LN(2)/2)*CM102+(1-EXP(-LN(2)/2))/(LN(2)/2)*CG103*CJ103*VLOOKUP('Données projet'!$B$12,Paramètres!$A$1:$I$89,3,0)*0.475*44/12</f>
        <v>4.8594712846708105E-6</v>
      </c>
      <c r="CN103" s="22">
        <f t="shared" si="66"/>
        <v>18.352651127061037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243.99999999999989</v>
      </c>
      <c r="CU103" s="17">
        <f>CT103*VLOOKUP('Données projet'!$B$13,Paramètres!$A$1:$I$89,3,0)*VLOOKUP('Données projet'!$B$13,Paramètres!$A$1:$I$89,5,0)</f>
        <v>235.99679999999987</v>
      </c>
      <c r="CV103" s="13">
        <f t="shared" si="95"/>
        <v>57.577381127598322</v>
      </c>
      <c r="CW103" s="20">
        <f t="shared" si="67"/>
        <v>511.30836546390015</v>
      </c>
      <c r="CX103" s="59">
        <f t="shared" si="68"/>
        <v>804.6416987972334</v>
      </c>
      <c r="CY103" s="59">
        <f ca="1">AVERAGE(OFFSET($CX$3,0,0,'Données projet'!$E$13+1,1))-AVERAGE(OFFSET($H$3,0,0,'Données projet'!$E$13+1,1))</f>
        <v>216.39536568500222</v>
      </c>
      <c r="CZ103" s="59">
        <f t="shared" si="96"/>
        <v>239.44686980897467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14.5543452112608</v>
      </c>
      <c r="DG103" s="21">
        <f>EXP(-LN(2)/25)*DG102+(1-EXP(-LN(2)/25))/(LN(2)/25)*Calculateur!DB103*Calculateur!DD103*VLOOKUP('Données projet'!$B$13,Paramètres!$A$1:$I$89,3,0)*0.475*44/12</f>
        <v>1.9364383915010113</v>
      </c>
      <c r="DH103" s="21">
        <f>EXP(-LN(2)/2)*DH102+(1-EXP(-LN(2)/2))/(LN(2)/2)*DB103*DE103*VLOOKUP('Données projet'!$B$13,Paramètres!$A$1:$I$89,3,0)*0.475*44/12</f>
        <v>4.366481444196956E-6</v>
      </c>
      <c r="DI103" s="22">
        <f t="shared" si="69"/>
        <v>16.490787969243257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59.87279999999987</v>
      </c>
      <c r="D104" s="11">
        <f t="shared" si="86"/>
        <v>17.136104890416402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594.45470441724854</v>
      </c>
      <c r="H104" s="67">
        <f t="shared" si="56"/>
        <v>427.45717601747504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5.4</v>
      </c>
      <c r="N104" s="13">
        <f>IF('Données projet'!$A$36&gt;35,N103+M104-V103,IF(A104&lt;'Données projet'!$A$36,$K$205^A104,IF(A104='Données projet'!$A$36,'Données projet'!$B$36,N103+M104-V103)))</f>
        <v>311.39999999999998</v>
      </c>
      <c r="O104" s="13">
        <f>N104*VLOOKUP('Données projet'!$B$9,Paramètres!$A$1:$I$89,3,0)*VLOOKUP('Données projet'!$B$9,Paramètres!$A$1:$I$89,5,0)</f>
        <v>281.75471999999996</v>
      </c>
      <c r="P104" s="13">
        <f t="shared" si="87"/>
        <v>67.337696723120317</v>
      </c>
      <c r="Q104" s="20">
        <f t="shared" si="107"/>
        <v>608.00262579276773</v>
      </c>
      <c r="R104" s="59">
        <f t="shared" si="55"/>
        <v>901.33595912610099</v>
      </c>
      <c r="S104" s="59">
        <f ca="1">AVERAGE(OFFSET($R$3,0,0,'Données projet'!$E$9+1,1))-AVERAGE(OFFSET($H$3,0,0,'Données projet'!$E$9+1,1))</f>
        <v>330.30341204367602</v>
      </c>
      <c r="T104" s="59">
        <f t="shared" si="88"/>
        <v>200.36653694091007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70.388582755853506</v>
      </c>
      <c r="AA104" s="21">
        <f>EXP(-LN(2)/25)*AA103+(1-EXP(-LN(2)/25))/(LN(2)/25)*Calculateur!V104*Calculateur!X104*VLOOKUP('Données projet'!$B$9,Paramètres!$A$1:$I$89,3,0)*0.475*44/12</f>
        <v>3.2362839170311899</v>
      </c>
      <c r="AB104" s="21">
        <f>EXP(-LN(2)/2)*AB103+(1-EXP(-LN(2)/2))/(LN(2)/2)*V104*Y104*VLOOKUP('Données projet'!$B$9,Paramètres!$A$1:$I$89,3,0)*0.475*44/12</f>
        <v>1.1957032990746097</v>
      </c>
      <c r="AC104" s="22">
        <f t="shared" si="57"/>
        <v>74.820569971959301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971.99999999999977</v>
      </c>
      <c r="AJ104" s="13">
        <f>AI104*VLOOKUP('Données projet'!$B$10,Paramètres!$A$1:$I$89,3,0)*VLOOKUP('Données projet'!$B$10,Paramètres!$A$1:$I$89,5,0)</f>
        <v>581.25599999999986</v>
      </c>
      <c r="AK104" s="13">
        <f t="shared" si="89"/>
        <v>127.68713506014205</v>
      </c>
      <c r="AL104" s="20">
        <f t="shared" si="58"/>
        <v>1234.7426268964139</v>
      </c>
      <c r="AM104" s="59">
        <f t="shared" si="59"/>
        <v>1528.0759602297471</v>
      </c>
      <c r="AN104" s="59">
        <f ca="1">AVERAGE(OFFSET($AM$3,0,0,'Données projet'!$E$10+1,1))-AVERAGE(OFFSET($H$3,0,0,'Données projet'!$E$10+1,1))</f>
        <v>465.77577582457678</v>
      </c>
      <c r="AO104" s="59">
        <f t="shared" si="90"/>
        <v>301.15495784503042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28.348428534608185</v>
      </c>
      <c r="AV104" s="21">
        <f>EXP(-LN(2)/25)*AV103+(1-EXP(-LN(2)/25))/(LN(2)/25)*Calculateur!AQ104*Calculateur!AS104*VLOOKUP('Données projet'!$B$10,Paramètres!$A$1:$I$89,3,0)*0.475*44/12</f>
        <v>12.673449499310594</v>
      </c>
      <c r="AW104" s="21">
        <f>EXP(-LN(2)/2)*AW103+(1-EXP(-LN(2)/2))/(LN(2)/2)*AQ104*AT104*VLOOKUP('Données projet'!$B$10,Paramètres!$A$1:$I$89,3,0)*0.475*44/12</f>
        <v>3.5087763471810455E-5</v>
      </c>
      <c r="AX104" s="21">
        <f t="shared" si="60"/>
        <v>41.021913121682253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273.00000000000023</v>
      </c>
      <c r="BE104" s="13">
        <f>BD104*VLOOKUP('Données projet'!$B$11,Paramètres!$A$1:$I$89,3,0)*VLOOKUP('Données projet'!$B$11,Paramètres!$A$1:$I$89,5,0)</f>
        <v>212.9400000000002</v>
      </c>
      <c r="BF104" s="13">
        <f t="shared" si="91"/>
        <v>52.577528895212915</v>
      </c>
      <c r="BG104" s="20">
        <f t="shared" si="61"/>
        <v>462.44302949249618</v>
      </c>
      <c r="BH104" s="59">
        <f t="shared" si="62"/>
        <v>755.77636282582944</v>
      </c>
      <c r="BI104" s="59">
        <f ca="1">AVERAGE(OFFSET($BH$3,0,0,'Données projet'!$E$11+1,1))-AVERAGE(OFFSET($H$3,0,0,'Données projet'!$E$11+1,1))</f>
        <v>219.5868031007679</v>
      </c>
      <c r="BJ104" s="59">
        <f t="shared" si="92"/>
        <v>263.3830219837742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14.491829971624993</v>
      </c>
      <c r="BQ104" s="21">
        <f>EXP(-LN(2)/25)*BQ103+(1-EXP(-LN(2)/25))/(LN(2)/25)*Calculateur!BL104*Calculateur!BN104*VLOOKUP('Données projet'!$B$11,Paramètres!$A$1:$I$89,3,0)*0.475*44/12</f>
        <v>1.9034890510922617</v>
      </c>
      <c r="BR104" s="21">
        <f>EXP(-LN(2)/2)*BR103+(1-EXP(-LN(2)/2))/(LN(2)/2)*BL104*BO104*VLOOKUP('Données projet'!$B$11,Paramètres!$A$1:$I$89,3,0)*0.475*44/12</f>
        <v>3.3139721497606267E-6</v>
      </c>
      <c r="BS104" s="22">
        <f t="shared" si="63"/>
        <v>16.395322336689407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243.99999999999989</v>
      </c>
      <c r="BZ104" s="13">
        <f>BY104*VLOOKUP('Données projet'!$B$12,Paramètres!$A$1:$I$89,3,0)*VLOOKUP('Données projet'!$B$12,Paramètres!$A$1:$I$89,5,0)</f>
        <v>262.64159999999987</v>
      </c>
      <c r="CA104" s="13">
        <f t="shared" si="93"/>
        <v>63.285128621471941</v>
      </c>
      <c r="CB104" s="20">
        <f t="shared" si="64"/>
        <v>567.65571901573003</v>
      </c>
      <c r="CC104" s="59">
        <f t="shared" si="65"/>
        <v>860.98905234906329</v>
      </c>
      <c r="CD104" s="59">
        <f ca="1">AVERAGE(OFFSET($CC$3,0,0,'Données projet'!$E$12+1,1))-AVERAGE(OFFSET($H$3,0,0,'Données projet'!$E$12+1,1))</f>
        <v>244.7364260963538</v>
      </c>
      <c r="CE104" s="59">
        <f t="shared" si="94"/>
        <v>270.32853612539299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15.879953115274152</v>
      </c>
      <c r="CL104" s="21">
        <f>EXP(-LN(2)/25)*CL103+(1-EXP(-LN(2)/25))/(LN(2)/25)*Calculateur!CG104*Calculateur!CI104*VLOOKUP('Données projet'!$B$12,Paramètres!$A$1:$I$89,3,0)*0.475*44/12</f>
        <v>2.0961380701262224</v>
      </c>
      <c r="CM104" s="21">
        <f>EXP(-LN(2)/2)*CM103+(1-EXP(-LN(2)/2))/(LN(2)/2)*CG104*CJ104*VLOOKUP('Données projet'!$B$12,Paramètres!$A$1:$I$89,3,0)*0.475*44/12</f>
        <v>3.4361650983720339E-6</v>
      </c>
      <c r="CN104" s="22">
        <f t="shared" si="66"/>
        <v>17.976094621565473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243.99999999999989</v>
      </c>
      <c r="CU104" s="17">
        <f>CT104*VLOOKUP('Données projet'!$B$13,Paramètres!$A$1:$I$89,3,0)*VLOOKUP('Données projet'!$B$13,Paramètres!$A$1:$I$89,5,0)</f>
        <v>235.99679999999987</v>
      </c>
      <c r="CV104" s="13">
        <f t="shared" si="95"/>
        <v>57.577381127598322</v>
      </c>
      <c r="CW104" s="20">
        <f t="shared" si="67"/>
        <v>511.30836546390015</v>
      </c>
      <c r="CX104" s="59">
        <f t="shared" si="68"/>
        <v>804.6416987972334</v>
      </c>
      <c r="CY104" s="59">
        <f ca="1">AVERAGE(OFFSET($CX$3,0,0,'Données projet'!$E$13+1,1))-AVERAGE(OFFSET($H$3,0,0,'Données projet'!$E$13+1,1))</f>
        <v>216.39536568500222</v>
      </c>
      <c r="CZ104" s="59">
        <f t="shared" si="96"/>
        <v>239.44686980897467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14.268943378941998</v>
      </c>
      <c r="DG104" s="21">
        <f>EXP(-LN(2)/25)*DG103+(1-EXP(-LN(2)/25))/(LN(2)/25)*Calculateur!DB104*Calculateur!DD104*VLOOKUP('Données projet'!$B$13,Paramètres!$A$1:$I$89,3,0)*0.475*44/12</f>
        <v>1.8834863818525469</v>
      </c>
      <c r="DH104" s="21">
        <f>EXP(-LN(2)/2)*DH103+(1-EXP(-LN(2)/2))/(LN(2)/2)*DB104*DE104*VLOOKUP('Données projet'!$B$13,Paramètres!$A$1:$I$89,3,0)*0.475*44/12</f>
        <v>3.0875686391168971E-6</v>
      </c>
      <c r="DI104" s="22">
        <f t="shared" si="69"/>
        <v>16.152432848363183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60.465599999999867</v>
      </c>
      <c r="D105" s="11">
        <f t="shared" si="86"/>
        <v>17.285934288248164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600.18728222507252</v>
      </c>
      <c r="H105" s="67">
        <f t="shared" si="56"/>
        <v>428.75058888536529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5.4</v>
      </c>
      <c r="N105" s="13">
        <f>IF('Données projet'!$A$36&gt;35,N104+M105-V104,IF(A105&lt;'Données projet'!$A$36,$K$205^A105,IF(A105='Données projet'!$A$36,'Données projet'!$B$36,N104+M105-V104)))</f>
        <v>316.79999999999995</v>
      </c>
      <c r="O105" s="13">
        <f>N105*VLOOKUP('Données projet'!$B$9,Paramètres!$A$1:$I$89,3,0)*VLOOKUP('Données projet'!$B$9,Paramètres!$A$1:$I$89,5,0)</f>
        <v>286.64063999999996</v>
      </c>
      <c r="P105" s="13">
        <f t="shared" si="87"/>
        <v>68.368446832003599</v>
      </c>
      <c r="Q105" s="20">
        <f t="shared" si="107"/>
        <v>618.30749289907283</v>
      </c>
      <c r="R105" s="59">
        <f t="shared" si="55"/>
        <v>911.6408262324062</v>
      </c>
      <c r="S105" s="59">
        <f ca="1">AVERAGE(OFFSET($R$3,0,0,'Données projet'!$E$9+1,1))-AVERAGE(OFFSET($H$3,0,0,'Données projet'!$E$9+1,1))</f>
        <v>330.30341204367602</v>
      </c>
      <c r="T105" s="59">
        <f t="shared" si="88"/>
        <v>200.36653694091007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69.008305580807445</v>
      </c>
      <c r="AA105" s="21">
        <f>EXP(-LN(2)/25)*AA104+(1-EXP(-LN(2)/25))/(LN(2)/25)*Calculateur!V105*Calculateur!X105*VLOOKUP('Données projet'!$B$9,Paramètres!$A$1:$I$89,3,0)*0.475*44/12</f>
        <v>3.1477875631311973</v>
      </c>
      <c r="AB105" s="21">
        <f>EXP(-LN(2)/2)*AB104+(1-EXP(-LN(2)/2))/(LN(2)/2)*V105*Y105*VLOOKUP('Données projet'!$B$9,Paramètres!$A$1:$I$89,3,0)*0.475*44/12</f>
        <v>0.84548991106278315</v>
      </c>
      <c r="AC105" s="22">
        <f t="shared" si="57"/>
        <v>73.001583055001433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971.99999999999977</v>
      </c>
      <c r="AJ105" s="13">
        <f>AI105*VLOOKUP('Données projet'!$B$10,Paramètres!$A$1:$I$89,3,0)*VLOOKUP('Données projet'!$B$10,Paramètres!$A$1:$I$89,5,0)</f>
        <v>581.25599999999986</v>
      </c>
      <c r="AK105" s="13">
        <f t="shared" si="89"/>
        <v>127.68713506014205</v>
      </c>
      <c r="AL105" s="20">
        <f t="shared" si="58"/>
        <v>1234.7426268964139</v>
      </c>
      <c r="AM105" s="59">
        <f t="shared" si="59"/>
        <v>1528.0759602297471</v>
      </c>
      <c r="AN105" s="59">
        <f ca="1">AVERAGE(OFFSET($AM$3,0,0,'Données projet'!$E$10+1,1))-AVERAGE(OFFSET($H$3,0,0,'Données projet'!$E$10+1,1))</f>
        <v>465.77577582457678</v>
      </c>
      <c r="AO105" s="59">
        <f t="shared" si="90"/>
        <v>301.15495784503042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27.792533141878597</v>
      </c>
      <c r="AV105" s="21">
        <f>EXP(-LN(2)/25)*AV104+(1-EXP(-LN(2)/25))/(LN(2)/25)*Calculateur!AQ105*Calculateur!AS105*VLOOKUP('Données projet'!$B$10,Paramètres!$A$1:$I$89,3,0)*0.475*44/12</f>
        <v>12.326893356284202</v>
      </c>
      <c r="AW105" s="21">
        <f>EXP(-LN(2)/2)*AW104+(1-EXP(-LN(2)/2))/(LN(2)/2)*AQ105*AT105*VLOOKUP('Données projet'!$B$10,Paramètres!$A$1:$I$89,3,0)*0.475*44/12</f>
        <v>2.4810795487586811E-5</v>
      </c>
      <c r="AX105" s="21">
        <f t="shared" si="60"/>
        <v>40.119451308958283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273.00000000000023</v>
      </c>
      <c r="BE105" s="13">
        <f>BD105*VLOOKUP('Données projet'!$B$11,Paramètres!$A$1:$I$89,3,0)*VLOOKUP('Données projet'!$B$11,Paramètres!$A$1:$I$89,5,0)</f>
        <v>212.9400000000002</v>
      </c>
      <c r="BF105" s="13">
        <f t="shared" si="91"/>
        <v>52.577528895212915</v>
      </c>
      <c r="BG105" s="20">
        <f t="shared" si="61"/>
        <v>462.44302949249618</v>
      </c>
      <c r="BH105" s="59">
        <f t="shared" si="62"/>
        <v>755.77636282582944</v>
      </c>
      <c r="BI105" s="59">
        <f ca="1">AVERAGE(OFFSET($BH$3,0,0,'Données projet'!$E$11+1,1))-AVERAGE(OFFSET($H$3,0,0,'Données projet'!$E$11+1,1))</f>
        <v>219.5868031007679</v>
      </c>
      <c r="BJ105" s="59">
        <f t="shared" si="92"/>
        <v>263.3830219837742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14.207654025024917</v>
      </c>
      <c r="BQ105" s="21">
        <f>EXP(-LN(2)/25)*BQ104+(1-EXP(-LN(2)/25))/(LN(2)/25)*Calculateur!BL105*Calculateur!BN105*VLOOKUP('Données projet'!$B$11,Paramètres!$A$1:$I$89,3,0)*0.475*44/12</f>
        <v>1.851438042890005</v>
      </c>
      <c r="BR105" s="21">
        <f>EXP(-LN(2)/2)*BR104+(1-EXP(-LN(2)/2))/(LN(2)/2)*BL105*BO105*VLOOKUP('Données projet'!$B$11,Paramètres!$A$1:$I$89,3,0)*0.475*44/12</f>
        <v>2.3433321797590999E-6</v>
      </c>
      <c r="BS105" s="22">
        <f t="shared" si="63"/>
        <v>16.059094411247102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243.99999999999989</v>
      </c>
      <c r="BZ105" s="13">
        <f>BY105*VLOOKUP('Données projet'!$B$12,Paramètres!$A$1:$I$89,3,0)*VLOOKUP('Données projet'!$B$12,Paramètres!$A$1:$I$89,5,0)</f>
        <v>262.64159999999987</v>
      </c>
      <c r="CA105" s="13">
        <f t="shared" si="93"/>
        <v>63.285128621471941</v>
      </c>
      <c r="CB105" s="20">
        <f t="shared" si="64"/>
        <v>567.65571901573003</v>
      </c>
      <c r="CC105" s="59">
        <f t="shared" si="65"/>
        <v>860.98905234906329</v>
      </c>
      <c r="CD105" s="59">
        <f ca="1">AVERAGE(OFFSET($CC$3,0,0,'Données projet'!$E$12+1,1))-AVERAGE(OFFSET($H$3,0,0,'Données projet'!$E$12+1,1))</f>
        <v>244.7364260963538</v>
      </c>
      <c r="CE105" s="59">
        <f t="shared" si="94"/>
        <v>270.32853612539299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15.568556920498631</v>
      </c>
      <c r="CL105" s="21">
        <f>EXP(-LN(2)/25)*CL104+(1-EXP(-LN(2)/25))/(LN(2)/25)*Calculateur!CG105*Calculateur!CI105*VLOOKUP('Données projet'!$B$12,Paramètres!$A$1:$I$89,3,0)*0.475*44/12</f>
        <v>2.0388190643675106</v>
      </c>
      <c r="CM105" s="21">
        <f>EXP(-LN(2)/2)*CM104+(1-EXP(-LN(2)/2))/(LN(2)/2)*CG105*CJ105*VLOOKUP('Données projet'!$B$12,Paramètres!$A$1:$I$89,3,0)*0.475*44/12</f>
        <v>2.4297356423354053E-6</v>
      </c>
      <c r="CN105" s="22">
        <f t="shared" si="66"/>
        <v>17.607378414601783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243.99999999999989</v>
      </c>
      <c r="CU105" s="17">
        <f>CT105*VLOOKUP('Données projet'!$B$13,Paramètres!$A$1:$I$89,3,0)*VLOOKUP('Données projet'!$B$13,Paramètres!$A$1:$I$89,5,0)</f>
        <v>235.99679999999987</v>
      </c>
      <c r="CV105" s="13">
        <f t="shared" si="95"/>
        <v>57.577381127598322</v>
      </c>
      <c r="CW105" s="20">
        <f t="shared" si="67"/>
        <v>511.30836546390015</v>
      </c>
      <c r="CX105" s="59">
        <f t="shared" si="68"/>
        <v>804.6416987972334</v>
      </c>
      <c r="CY105" s="59">
        <f ca="1">AVERAGE(OFFSET($CX$3,0,0,'Données projet'!$E$13+1,1))-AVERAGE(OFFSET($H$3,0,0,'Données projet'!$E$13+1,1))</f>
        <v>216.39536568500222</v>
      </c>
      <c r="CZ105" s="59">
        <f t="shared" si="96"/>
        <v>239.44686980897467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13.989138102477037</v>
      </c>
      <c r="DG105" s="21">
        <f>EXP(-LN(2)/25)*DG104+(1-EXP(-LN(2)/25))/(LN(2)/25)*Calculateur!DB105*Calculateur!DD105*VLOOKUP('Données projet'!$B$13,Paramètres!$A$1:$I$89,3,0)*0.475*44/12</f>
        <v>1.831982347692545</v>
      </c>
      <c r="DH105" s="21">
        <f>EXP(-LN(2)/2)*DH104+(1-EXP(-LN(2)/2))/(LN(2)/2)*DB105*DE105*VLOOKUP('Données projet'!$B$13,Paramètres!$A$1:$I$89,3,0)*0.475*44/12</f>
        <v>2.183240722098478E-6</v>
      </c>
      <c r="DI105" s="22">
        <f t="shared" si="69"/>
        <v>15.821122633410305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61.058399999999864</v>
      </c>
      <c r="D106" s="11">
        <f t="shared" si="86"/>
        <v>17.435592798924347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605.91854090397646</v>
      </c>
      <c r="H106" s="67">
        <f t="shared" si="56"/>
        <v>430.04370412479295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5.4</v>
      </c>
      <c r="N106" s="13">
        <f>IF('Données projet'!$A$36&gt;35,N105+M106-V105,IF(A106&lt;'Données projet'!$A$36,$K$205^A106,IF(A106='Données projet'!$A$36,'Données projet'!$B$36,N105+M106-V105)))</f>
        <v>322.19999999999993</v>
      </c>
      <c r="O106" s="13">
        <f>N106*VLOOKUP('Données projet'!$B$9,Paramètres!$A$1:$I$89,3,0)*VLOOKUP('Données projet'!$B$9,Paramètres!$A$1:$I$89,5,0)</f>
        <v>291.5265599999999</v>
      </c>
      <c r="P106" s="13">
        <f t="shared" si="87"/>
        <v>69.397153761857183</v>
      </c>
      <c r="Q106" s="20">
        <f t="shared" si="107"/>
        <v>628.60880146856778</v>
      </c>
      <c r="R106" s="59">
        <f t="shared" si="55"/>
        <v>921.94213480190115</v>
      </c>
      <c r="S106" s="59">
        <f ca="1">AVERAGE(OFFSET($R$3,0,0,'Données projet'!$E$9+1,1))-AVERAGE(OFFSET($H$3,0,0,'Données projet'!$E$9+1,1))</f>
        <v>330.30341204367602</v>
      </c>
      <c r="T106" s="59">
        <f t="shared" si="88"/>
        <v>200.36653694091007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67.655094799278089</v>
      </c>
      <c r="AA106" s="21">
        <f>EXP(-LN(2)/25)*AA105+(1-EXP(-LN(2)/25))/(LN(2)/25)*Calculateur!V106*Calculateur!X106*VLOOKUP('Données projet'!$B$9,Paramètres!$A$1:$I$89,3,0)*0.475*44/12</f>
        <v>3.0617111466824212</v>
      </c>
      <c r="AB106" s="21">
        <f>EXP(-LN(2)/2)*AB105+(1-EXP(-LN(2)/2))/(LN(2)/2)*V106*Y106*VLOOKUP('Données projet'!$B$9,Paramètres!$A$1:$I$89,3,0)*0.475*44/12</f>
        <v>0.59785164953730496</v>
      </c>
      <c r="AC106" s="22">
        <f t="shared" si="57"/>
        <v>71.31465759549782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971.99999999999977</v>
      </c>
      <c r="AJ106" s="13">
        <f>AI106*VLOOKUP('Données projet'!$B$10,Paramètres!$A$1:$I$89,3,0)*VLOOKUP('Données projet'!$B$10,Paramètres!$A$1:$I$89,5,0)</f>
        <v>581.25599999999986</v>
      </c>
      <c r="AK106" s="13">
        <f t="shared" si="89"/>
        <v>127.68713506014205</v>
      </c>
      <c r="AL106" s="20">
        <f t="shared" si="58"/>
        <v>1234.7426268964139</v>
      </c>
      <c r="AM106" s="59">
        <f t="shared" si="59"/>
        <v>1528.0759602297471</v>
      </c>
      <c r="AN106" s="59">
        <f ca="1">AVERAGE(OFFSET($AM$3,0,0,'Données projet'!$E$10+1,1))-AVERAGE(OFFSET($H$3,0,0,'Données projet'!$E$10+1,1))</f>
        <v>465.77577582457678</v>
      </c>
      <c r="AO106" s="59">
        <f t="shared" si="90"/>
        <v>301.15495784503042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27.247538518737727</v>
      </c>
      <c r="AV106" s="21">
        <f>EXP(-LN(2)/25)*AV105+(1-EXP(-LN(2)/25))/(LN(2)/25)*Calculateur!AQ106*Calculateur!AS106*VLOOKUP('Données projet'!$B$10,Paramètres!$A$1:$I$89,3,0)*0.475*44/12</f>
        <v>11.989813809213462</v>
      </c>
      <c r="AW106" s="21">
        <f>EXP(-LN(2)/2)*AW105+(1-EXP(-LN(2)/2))/(LN(2)/2)*AQ106*AT106*VLOOKUP('Données projet'!$B$10,Paramètres!$A$1:$I$89,3,0)*0.475*44/12</f>
        <v>1.7543881735905228E-5</v>
      </c>
      <c r="AX106" s="21">
        <f t="shared" si="60"/>
        <v>39.237369871832925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273.00000000000023</v>
      </c>
      <c r="BE106" s="13">
        <f>BD106*VLOOKUP('Données projet'!$B$11,Paramètres!$A$1:$I$89,3,0)*VLOOKUP('Données projet'!$B$11,Paramètres!$A$1:$I$89,5,0)</f>
        <v>212.9400000000002</v>
      </c>
      <c r="BF106" s="13">
        <f t="shared" si="91"/>
        <v>52.577528895212915</v>
      </c>
      <c r="BG106" s="20">
        <f t="shared" si="61"/>
        <v>462.44302949249618</v>
      </c>
      <c r="BH106" s="59">
        <f t="shared" si="62"/>
        <v>755.77636282582944</v>
      </c>
      <c r="BI106" s="59">
        <f ca="1">AVERAGE(OFFSET($BH$3,0,0,'Données projet'!$E$11+1,1))-AVERAGE(OFFSET($H$3,0,0,'Données projet'!$E$11+1,1))</f>
        <v>219.5868031007679</v>
      </c>
      <c r="BJ106" s="59">
        <f t="shared" si="92"/>
        <v>263.3830219837742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13.929050595407455</v>
      </c>
      <c r="BQ106" s="21">
        <f>EXP(-LN(2)/25)*BQ105+(1-EXP(-LN(2)/25))/(LN(2)/25)*Calculateur!BL106*Calculateur!BN106*VLOOKUP('Données projet'!$B$11,Paramètres!$A$1:$I$89,3,0)*0.475*44/12</f>
        <v>1.8008103722442828</v>
      </c>
      <c r="BR106" s="21">
        <f>EXP(-LN(2)/2)*BR105+(1-EXP(-LN(2)/2))/(LN(2)/2)*BL106*BO106*VLOOKUP('Données projet'!$B$11,Paramètres!$A$1:$I$89,3,0)*0.475*44/12</f>
        <v>1.6569860748803134E-6</v>
      </c>
      <c r="BS106" s="22">
        <f t="shared" si="63"/>
        <v>15.729862624637814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243.99999999999989</v>
      </c>
      <c r="BZ106" s="13">
        <f>BY106*VLOOKUP('Données projet'!$B$12,Paramètres!$A$1:$I$89,3,0)*VLOOKUP('Données projet'!$B$12,Paramètres!$A$1:$I$89,5,0)</f>
        <v>262.64159999999987</v>
      </c>
      <c r="CA106" s="13">
        <f t="shared" si="93"/>
        <v>63.285128621471941</v>
      </c>
      <c r="CB106" s="20">
        <f t="shared" si="64"/>
        <v>567.65571901573003</v>
      </c>
      <c r="CC106" s="59">
        <f t="shared" si="65"/>
        <v>860.98905234906329</v>
      </c>
      <c r="CD106" s="59">
        <f ca="1">AVERAGE(OFFSET($CC$3,0,0,'Données projet'!$E$12+1,1))-AVERAGE(OFFSET($H$3,0,0,'Données projet'!$E$12+1,1))</f>
        <v>244.7364260963538</v>
      </c>
      <c r="CE106" s="59">
        <f t="shared" si="94"/>
        <v>270.32853612539299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15.263267015169735</v>
      </c>
      <c r="CL106" s="21">
        <f>EXP(-LN(2)/25)*CL105+(1-EXP(-LN(2)/25))/(LN(2)/25)*Calculateur!CG106*Calculateur!CI106*VLOOKUP('Données projet'!$B$12,Paramètres!$A$1:$I$89,3,0)*0.475*44/12</f>
        <v>1.9830674498355463</v>
      </c>
      <c r="CM106" s="21">
        <f>EXP(-LN(2)/2)*CM105+(1-EXP(-LN(2)/2))/(LN(2)/2)*CG106*CJ106*VLOOKUP('Données projet'!$B$12,Paramètres!$A$1:$I$89,3,0)*0.475*44/12</f>
        <v>1.7180825491860169E-6</v>
      </c>
      <c r="CN106" s="22">
        <f t="shared" si="66"/>
        <v>17.246336183087831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243.99999999999989</v>
      </c>
      <c r="CU106" s="17">
        <f>CT106*VLOOKUP('Données projet'!$B$13,Paramètres!$A$1:$I$89,3,0)*VLOOKUP('Données projet'!$B$13,Paramètres!$A$1:$I$89,5,0)</f>
        <v>235.99679999999987</v>
      </c>
      <c r="CV106" s="13">
        <f t="shared" si="95"/>
        <v>57.577381127598322</v>
      </c>
      <c r="CW106" s="20">
        <f t="shared" si="67"/>
        <v>511.30836546390015</v>
      </c>
      <c r="CX106" s="59">
        <f t="shared" si="68"/>
        <v>804.6416987972334</v>
      </c>
      <c r="CY106" s="59">
        <f ca="1">AVERAGE(OFFSET($CX$3,0,0,'Données projet'!$E$13+1,1))-AVERAGE(OFFSET($H$3,0,0,'Données projet'!$E$13+1,1))</f>
        <v>216.39536568500222</v>
      </c>
      <c r="CZ106" s="59">
        <f t="shared" si="96"/>
        <v>239.44686980897467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13.714819636819188</v>
      </c>
      <c r="DG106" s="21">
        <f>EXP(-LN(2)/25)*DG105+(1-EXP(-LN(2)/25))/(LN(2)/25)*Calculateur!DB106*Calculateur!DD106*VLOOKUP('Données projet'!$B$13,Paramètres!$A$1:$I$89,3,0)*0.475*44/12</f>
        <v>1.7818866940551277</v>
      </c>
      <c r="DH106" s="21">
        <f>EXP(-LN(2)/2)*DH105+(1-EXP(-LN(2)/2))/(LN(2)/2)*DB106*DE106*VLOOKUP('Données projet'!$B$13,Paramètres!$A$1:$I$89,3,0)*0.475*44/12</f>
        <v>1.5437843195584485E-6</v>
      </c>
      <c r="DI106" s="22">
        <f t="shared" si="69"/>
        <v>15.496707874658636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61.651199999999861</v>
      </c>
      <c r="D107" s="11">
        <f t="shared" si="86"/>
        <v>17.585082273674864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611.64849474415587</v>
      </c>
      <c r="H107" s="67">
        <f t="shared" si="56"/>
        <v>431.33652495998342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5.4</v>
      </c>
      <c r="N107" s="13">
        <f>IF('Données projet'!$A$36&gt;35,N106+M107-V106,IF(A107&lt;'Données projet'!$A$36,$K$205^A107,IF(A107='Données projet'!$A$36,'Données projet'!$B$36,N106+M107-V106)))</f>
        <v>327.59999999999991</v>
      </c>
      <c r="O107" s="13">
        <f>N107*VLOOKUP('Données projet'!$B$9,Paramètres!$A$1:$I$89,3,0)*VLOOKUP('Données projet'!$B$9,Paramètres!$A$1:$I$89,5,0)</f>
        <v>296.4124799999999</v>
      </c>
      <c r="P107" s="13">
        <f t="shared" si="87"/>
        <v>70.423855708154704</v>
      </c>
      <c r="Q107" s="20">
        <f t="shared" si="107"/>
        <v>638.90661802503598</v>
      </c>
      <c r="R107" s="59">
        <f t="shared" si="55"/>
        <v>932.23995135836935</v>
      </c>
      <c r="S107" s="59">
        <f ca="1">AVERAGE(OFFSET($R$3,0,0,'Données projet'!$E$9+1,1))-AVERAGE(OFFSET($H$3,0,0,'Données projet'!$E$9+1,1))</f>
        <v>330.30341204367602</v>
      </c>
      <c r="T107" s="59">
        <f t="shared" si="88"/>
        <v>200.36653694091007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66.328419655797447</v>
      </c>
      <c r="AA107" s="21">
        <f>EXP(-LN(2)/25)*AA106+(1-EXP(-LN(2)/25))/(LN(2)/25)*Calculateur!V107*Calculateur!X107*VLOOKUP('Données projet'!$B$9,Paramètres!$A$1:$I$89,3,0)*0.475*44/12</f>
        <v>2.9779884943679988</v>
      </c>
      <c r="AB107" s="21">
        <f>EXP(-LN(2)/2)*AB106+(1-EXP(-LN(2)/2))/(LN(2)/2)*V107*Y107*VLOOKUP('Données projet'!$B$9,Paramètres!$A$1:$I$89,3,0)*0.475*44/12</f>
        <v>0.42274495553139163</v>
      </c>
      <c r="AC107" s="22">
        <f t="shared" si="57"/>
        <v>69.729153105696838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971.99999999999977</v>
      </c>
      <c r="AJ107" s="13">
        <f>AI107*VLOOKUP('Données projet'!$B$10,Paramètres!$A$1:$I$89,3,0)*VLOOKUP('Données projet'!$B$10,Paramètres!$A$1:$I$89,5,0)</f>
        <v>581.25599999999986</v>
      </c>
      <c r="AK107" s="13">
        <f t="shared" si="89"/>
        <v>127.68713506014205</v>
      </c>
      <c r="AL107" s="20">
        <f t="shared" si="58"/>
        <v>1234.7426268964139</v>
      </c>
      <c r="AM107" s="59">
        <f t="shared" si="59"/>
        <v>1528.0759602297471</v>
      </c>
      <c r="AN107" s="59">
        <f ca="1">AVERAGE(OFFSET($AM$3,0,0,'Données projet'!$E$10+1,1))-AVERAGE(OFFSET($H$3,0,0,'Données projet'!$E$10+1,1))</f>
        <v>465.77577582457678</v>
      </c>
      <c r="AO107" s="59">
        <f t="shared" si="90"/>
        <v>301.15495784503042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26.713230907742751</v>
      </c>
      <c r="AV107" s="21">
        <f>EXP(-LN(2)/25)*AV106+(1-EXP(-LN(2)/25))/(LN(2)/25)*Calculateur!AQ107*Calculateur!AS107*VLOOKUP('Données projet'!$B$10,Paramètres!$A$1:$I$89,3,0)*0.475*44/12</f>
        <v>11.661951720083614</v>
      </c>
      <c r="AW107" s="21">
        <f>EXP(-LN(2)/2)*AW106+(1-EXP(-LN(2)/2))/(LN(2)/2)*AQ107*AT107*VLOOKUP('Données projet'!$B$10,Paramètres!$A$1:$I$89,3,0)*0.475*44/12</f>
        <v>1.2405397743793405E-5</v>
      </c>
      <c r="AX107" s="21">
        <f t="shared" si="60"/>
        <v>38.375195033224109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273.00000000000023</v>
      </c>
      <c r="BE107" s="13">
        <f>BD107*VLOOKUP('Données projet'!$B$11,Paramètres!$A$1:$I$89,3,0)*VLOOKUP('Données projet'!$B$11,Paramètres!$A$1:$I$89,5,0)</f>
        <v>212.9400000000002</v>
      </c>
      <c r="BF107" s="13">
        <f t="shared" si="91"/>
        <v>52.577528895212915</v>
      </c>
      <c r="BG107" s="20">
        <f t="shared" si="61"/>
        <v>462.44302949249618</v>
      </c>
      <c r="BH107" s="59">
        <f t="shared" si="62"/>
        <v>755.77636282582944</v>
      </c>
      <c r="BI107" s="59">
        <f ca="1">AVERAGE(OFFSET($BH$3,0,0,'Données projet'!$E$11+1,1))-AVERAGE(OFFSET($H$3,0,0,'Données projet'!$E$11+1,1))</f>
        <v>219.5868031007679</v>
      </c>
      <c r="BJ107" s="59">
        <f t="shared" si="92"/>
        <v>263.3830219837742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13.65591040911348</v>
      </c>
      <c r="BQ107" s="21">
        <f>EXP(-LN(2)/25)*BQ106+(1-EXP(-LN(2)/25))/(LN(2)/25)*Calculateur!BL107*Calculateur!BN107*VLOOKUP('Données projet'!$B$11,Paramètres!$A$1:$I$89,3,0)*0.475*44/12</f>
        <v>1.7515671179147612</v>
      </c>
      <c r="BR107" s="21">
        <f>EXP(-LN(2)/2)*BR106+(1-EXP(-LN(2)/2))/(LN(2)/2)*BL107*BO107*VLOOKUP('Données projet'!$B$11,Paramètres!$A$1:$I$89,3,0)*0.475*44/12</f>
        <v>1.17166608987955E-6</v>
      </c>
      <c r="BS107" s="22">
        <f t="shared" si="63"/>
        <v>15.407478698694332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243.99999999999989</v>
      </c>
      <c r="BZ107" s="13">
        <f>BY107*VLOOKUP('Données projet'!$B$12,Paramètres!$A$1:$I$89,3,0)*VLOOKUP('Données projet'!$B$12,Paramètres!$A$1:$I$89,5,0)</f>
        <v>262.64159999999987</v>
      </c>
      <c r="CA107" s="13">
        <f t="shared" si="93"/>
        <v>63.285128621471941</v>
      </c>
      <c r="CB107" s="20">
        <f t="shared" si="64"/>
        <v>567.65571901573003</v>
      </c>
      <c r="CC107" s="59">
        <f t="shared" si="65"/>
        <v>860.98905234906329</v>
      </c>
      <c r="CD107" s="59">
        <f ca="1">AVERAGE(OFFSET($CC$3,0,0,'Données projet'!$E$12+1,1))-AVERAGE(OFFSET($H$3,0,0,'Données projet'!$E$12+1,1))</f>
        <v>244.7364260963538</v>
      </c>
      <c r="CE107" s="59">
        <f t="shared" si="94"/>
        <v>270.32853612539299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14.963963658675882</v>
      </c>
      <c r="CL107" s="21">
        <f>EXP(-LN(2)/25)*CL106+(1-EXP(-LN(2)/25))/(LN(2)/25)*Calculateur!CG107*Calculateur!CI107*VLOOKUP('Données projet'!$B$12,Paramètres!$A$1:$I$89,3,0)*0.475*44/12</f>
        <v>1.9288403661348084</v>
      </c>
      <c r="CM107" s="21">
        <f>EXP(-LN(2)/2)*CM106+(1-EXP(-LN(2)/2))/(LN(2)/2)*CG107*CJ107*VLOOKUP('Données projet'!$B$12,Paramètres!$A$1:$I$89,3,0)*0.475*44/12</f>
        <v>1.2148678211677026E-6</v>
      </c>
      <c r="CN107" s="22">
        <f t="shared" si="66"/>
        <v>16.892805239678513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243.99999999999989</v>
      </c>
      <c r="CU107" s="17">
        <f>CT107*VLOOKUP('Données projet'!$B$13,Paramètres!$A$1:$I$89,3,0)*VLOOKUP('Données projet'!$B$13,Paramètres!$A$1:$I$89,5,0)</f>
        <v>235.99679999999987</v>
      </c>
      <c r="CV107" s="13">
        <f t="shared" si="95"/>
        <v>57.577381127598322</v>
      </c>
      <c r="CW107" s="20">
        <f t="shared" si="67"/>
        <v>511.30836546390015</v>
      </c>
      <c r="CX107" s="59">
        <f t="shared" si="68"/>
        <v>804.6416987972334</v>
      </c>
      <c r="CY107" s="59">
        <f ca="1">AVERAGE(OFFSET($CX$3,0,0,'Données projet'!$E$13+1,1))-AVERAGE(OFFSET($H$3,0,0,'Données projet'!$E$13+1,1))</f>
        <v>216.39536568500222</v>
      </c>
      <c r="CZ107" s="59">
        <f t="shared" si="96"/>
        <v>239.44686980897467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13.445880388955146</v>
      </c>
      <c r="DG107" s="21">
        <f>EXP(-LN(2)/25)*DG106+(1-EXP(-LN(2)/25))/(LN(2)/25)*Calculateur!DB107*Calculateur!DD107*VLOOKUP('Données projet'!$B$13,Paramètres!$A$1:$I$89,3,0)*0.475*44/12</f>
        <v>1.7331609087008415</v>
      </c>
      <c r="DH107" s="21">
        <f>EXP(-LN(2)/2)*DH106+(1-EXP(-LN(2)/2))/(LN(2)/2)*DB107*DE107*VLOOKUP('Données projet'!$B$13,Paramètres!$A$1:$I$89,3,0)*0.475*44/12</f>
        <v>1.091620361049239E-6</v>
      </c>
      <c r="DI107" s="22">
        <f t="shared" si="69"/>
        <v>15.179042389276349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62.243999999999858</v>
      </c>
      <c r="D108" s="11">
        <f t="shared" si="86"/>
        <v>17.734404526076407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617.37715774515016</v>
      </c>
      <c r="H108" s="67">
        <f t="shared" si="56"/>
        <v>432.6290545495828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333</v>
      </c>
      <c r="L108" s="12">
        <f>VLOOKUP(A108,'Données projet'!$A$35:$I$55,9,0)</f>
        <v>5.4</v>
      </c>
      <c r="M108" s="12">
        <f t="array" ref="M108">INDEX(L:L,MIN(IF(ISNUMBER(L108:L304),ROW(L108:L304),"")))</f>
        <v>5.4</v>
      </c>
      <c r="N108" s="13">
        <f>IF('Données projet'!$A$36&gt;35,N107+M108-V107,IF(A108&lt;'Données projet'!$A$36,$K$205^A108,IF(A108='Données projet'!$A$36,'Données projet'!$B$36,N107+M108-V107)))</f>
        <v>332.99999999999989</v>
      </c>
      <c r="O108" s="13">
        <f>N108*VLOOKUP('Données projet'!$B$9,Paramètres!$A$1:$I$89,3,0)*VLOOKUP('Données projet'!$B$9,Paramètres!$A$1:$I$89,5,0)</f>
        <v>301.2983999999999</v>
      </c>
      <c r="P108" s="13">
        <f t="shared" si="87"/>
        <v>71.448589534990518</v>
      </c>
      <c r="Q108" s="20">
        <f t="shared" si="107"/>
        <v>649.20100677344158</v>
      </c>
      <c r="R108" s="59">
        <f t="shared" si="55"/>
        <v>942.53434010677483</v>
      </c>
      <c r="S108" s="59">
        <f ca="1">AVERAGE(OFFSET($R$3,0,0,'Données projet'!$E$9+1,1))-AVERAGE(OFFSET($H$3,0,0,'Données projet'!$E$9+1,1))</f>
        <v>330.30341204367602</v>
      </c>
      <c r="T108" s="59">
        <f t="shared" si="88"/>
        <v>200.36653694091007</v>
      </c>
      <c r="U108" s="15">
        <f>IF(ISNA(VLOOKUP(A108,'Données projet'!$A$35:$I$55,3,0)),0,VLOOKUP(A108,'Données projet'!$A$35:$I$55,3,0))</f>
        <v>18</v>
      </c>
      <c r="V108" s="15">
        <f>IF(ISNA(VLOOKUP(A108,'Données projet'!$A$35:$I$55,4,0)),0,VLOOKUP(A108,'Données projet'!$A$35:$I$55,4,0))</f>
        <v>26</v>
      </c>
      <c r="W108" s="16">
        <f>IF(ISNA(VLOOKUP(A108,'Données projet'!$A$35:$I$55,5,0)),0%,VLOOKUP(A108,'Données projet'!$A$35:$I$55,5,0)*VLOOKUP('Données projet'!$B$9,Paramètres!$A$1:$I$89,7,0))</f>
        <v>0.34400000000000003</v>
      </c>
      <c r="X108" s="16">
        <f>IF(ISNA(VLOOKUP(A108,'Données projet'!$A$35:$I$55,6,0)),0%,VLOOKUP(A108,'Données projet'!$A$35:$I$55,6,0)*VLOOKUP('Données projet'!$B$9,Paramètres!$A$1:$I$89,7,0))</f>
        <v>1.72E-2</v>
      </c>
      <c r="Y108" s="16">
        <f>IF(ISNA(VLOOKUP(A108,'Données projet'!$A$35:$I$55,7,0)),0%,VLOOKUP(A108,'Données projet'!$A$35:$I$55,7,0))</f>
        <v>0.06</v>
      </c>
      <c r="Z108" s="21">
        <f>EXP(-LN(2)/35)*Z107+(1-EXP(-LN(2)/35))/(LN(2)/35)*V108*W108*VLOOKUP('Données projet'!$B$9,Paramètres!$A$1:$I$89,3,0)*0.475*44/12</f>
        <v>73.973813339734761</v>
      </c>
      <c r="AA108" s="21">
        <f>EXP(-LN(2)/25)*AA107+(1-EXP(-LN(2)/25))/(LN(2)/25)*Calculateur!V108*Calculateur!X108*VLOOKUP('Données projet'!$B$9,Paramètres!$A$1:$I$89,3,0)*0.475*44/12</f>
        <v>3.34209671816176</v>
      </c>
      <c r="AB108" s="21">
        <f>EXP(-LN(2)/2)*AB107+(1-EXP(-LN(2)/2))/(LN(2)/2)*V108*Y108*VLOOKUP('Données projet'!$B$9,Paramètres!$A$1:$I$89,3,0)*0.475*44/12</f>
        <v>1.6307027424111826</v>
      </c>
      <c r="AC108" s="22">
        <f t="shared" si="57"/>
        <v>78.946612800307705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971.99999999999977</v>
      </c>
      <c r="AJ108" s="13">
        <f>AI108*VLOOKUP('Données projet'!$B$10,Paramètres!$A$1:$I$89,3,0)*VLOOKUP('Données projet'!$B$10,Paramètres!$A$1:$I$89,5,0)</f>
        <v>581.25599999999986</v>
      </c>
      <c r="AK108" s="13">
        <f t="shared" si="89"/>
        <v>127.68713506014205</v>
      </c>
      <c r="AL108" s="20">
        <f t="shared" si="58"/>
        <v>1234.7426268964139</v>
      </c>
      <c r="AM108" s="59">
        <f t="shared" si="59"/>
        <v>1528.0759602297471</v>
      </c>
      <c r="AN108" s="59">
        <f ca="1">AVERAGE(OFFSET($AM$3,0,0,'Données projet'!$E$10+1,1))-AVERAGE(OFFSET($H$3,0,0,'Données projet'!$E$10+1,1))</f>
        <v>465.77577582457678</v>
      </c>
      <c r="AO108" s="59">
        <f t="shared" si="90"/>
        <v>301.15495784503042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26.189400743103924</v>
      </c>
      <c r="AV108" s="21">
        <f>EXP(-LN(2)/25)*AV107+(1-EXP(-LN(2)/25))/(LN(2)/25)*Calculateur!AQ108*Calculateur!AS108*VLOOKUP('Données projet'!$B$10,Paramètres!$A$1:$I$89,3,0)*0.475*44/12</f>
        <v>11.343055037022541</v>
      </c>
      <c r="AW108" s="21">
        <f>EXP(-LN(2)/2)*AW107+(1-EXP(-LN(2)/2))/(LN(2)/2)*AQ108*AT108*VLOOKUP('Données projet'!$B$10,Paramètres!$A$1:$I$89,3,0)*0.475*44/12</f>
        <v>8.7719408679526138E-6</v>
      </c>
      <c r="AX108" s="21">
        <f t="shared" si="60"/>
        <v>37.532464552067339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273.00000000000023</v>
      </c>
      <c r="BE108" s="13">
        <f>BD108*VLOOKUP('Données projet'!$B$11,Paramètres!$A$1:$I$89,3,0)*VLOOKUP('Données projet'!$B$11,Paramètres!$A$1:$I$89,5,0)</f>
        <v>212.9400000000002</v>
      </c>
      <c r="BF108" s="13">
        <f t="shared" si="91"/>
        <v>52.577528895212915</v>
      </c>
      <c r="BG108" s="20">
        <f t="shared" si="61"/>
        <v>462.44302949249618</v>
      </c>
      <c r="BH108" s="59">
        <f t="shared" si="62"/>
        <v>755.77636282582944</v>
      </c>
      <c r="BI108" s="59">
        <f ca="1">AVERAGE(OFFSET($BH$3,0,0,'Données projet'!$E$11+1,1))-AVERAGE(OFFSET($H$3,0,0,'Données projet'!$E$11+1,1))</f>
        <v>219.5868031007679</v>
      </c>
      <c r="BJ108" s="59">
        <f t="shared" si="92"/>
        <v>263.3830219837742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13.388126335273665</v>
      </c>
      <c r="BQ108" s="21">
        <f>EXP(-LN(2)/25)*BQ107+(1-EXP(-LN(2)/25))/(LN(2)/25)*Calculateur!BL108*Calculateur!BN108*VLOOKUP('Données projet'!$B$11,Paramètres!$A$1:$I$89,3,0)*0.475*44/12</f>
        <v>1.7036704229644706</v>
      </c>
      <c r="BR108" s="21">
        <f>EXP(-LN(2)/2)*BR107+(1-EXP(-LN(2)/2))/(LN(2)/2)*BL108*BO108*VLOOKUP('Données projet'!$B$11,Paramètres!$A$1:$I$89,3,0)*0.475*44/12</f>
        <v>8.2849303744015668E-7</v>
      </c>
      <c r="BS108" s="22">
        <f t="shared" si="63"/>
        <v>15.091797586731174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243.99999999999989</v>
      </c>
      <c r="BZ108" s="13">
        <f>BY108*VLOOKUP('Données projet'!$B$12,Paramètres!$A$1:$I$89,3,0)*VLOOKUP('Données projet'!$B$12,Paramètres!$A$1:$I$89,5,0)</f>
        <v>262.64159999999987</v>
      </c>
      <c r="CA108" s="13">
        <f t="shared" si="93"/>
        <v>63.285128621471941</v>
      </c>
      <c r="CB108" s="20">
        <f t="shared" si="64"/>
        <v>567.65571901573003</v>
      </c>
      <c r="CC108" s="59">
        <f t="shared" si="65"/>
        <v>860.98905234906329</v>
      </c>
      <c r="CD108" s="59">
        <f ca="1">AVERAGE(OFFSET($CC$3,0,0,'Données projet'!$E$12+1,1))-AVERAGE(OFFSET($H$3,0,0,'Données projet'!$E$12+1,1))</f>
        <v>244.7364260963538</v>
      </c>
      <c r="CE108" s="59">
        <f t="shared" si="94"/>
        <v>270.32853612539299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14.670529458445852</v>
      </c>
      <c r="CL108" s="21">
        <f>EXP(-LN(2)/25)*CL107+(1-EXP(-LN(2)/25))/(LN(2)/25)*Calculateur!CG108*Calculateur!CI108*VLOOKUP('Données projet'!$B$12,Paramètres!$A$1:$I$89,3,0)*0.475*44/12</f>
        <v>1.8760961248895456</v>
      </c>
      <c r="CM108" s="21">
        <f>EXP(-LN(2)/2)*CM107+(1-EXP(-LN(2)/2))/(LN(2)/2)*CG108*CJ108*VLOOKUP('Données projet'!$B$12,Paramètres!$A$1:$I$89,3,0)*0.475*44/12</f>
        <v>8.5904127459300847E-7</v>
      </c>
      <c r="CN108" s="22">
        <f t="shared" si="66"/>
        <v>16.546626442376674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243.99999999999989</v>
      </c>
      <c r="CU108" s="17">
        <f>CT108*VLOOKUP('Données projet'!$B$13,Paramètres!$A$1:$I$89,3,0)*VLOOKUP('Données projet'!$B$13,Paramètres!$A$1:$I$89,5,0)</f>
        <v>235.99679999999987</v>
      </c>
      <c r="CV108" s="13">
        <f t="shared" si="95"/>
        <v>57.577381127598322</v>
      </c>
      <c r="CW108" s="20">
        <f t="shared" si="67"/>
        <v>511.30836546390015</v>
      </c>
      <c r="CX108" s="59">
        <f t="shared" si="68"/>
        <v>804.6416987972334</v>
      </c>
      <c r="CY108" s="59">
        <f ca="1">AVERAGE(OFFSET($CX$3,0,0,'Données projet'!$E$13+1,1))-AVERAGE(OFFSET($H$3,0,0,'Données projet'!$E$13+1,1))</f>
        <v>216.39536568500222</v>
      </c>
      <c r="CZ108" s="59">
        <f t="shared" si="96"/>
        <v>239.44686980897467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13.182214875704974</v>
      </c>
      <c r="DG108" s="21">
        <f>EXP(-LN(2)/25)*DG107+(1-EXP(-LN(2)/25))/(LN(2)/25)*Calculateur!DB108*Calculateur!DD108*VLOOKUP('Données projet'!$B$13,Paramètres!$A$1:$I$89,3,0)*0.475*44/12</f>
        <v>1.6857675325094459</v>
      </c>
      <c r="DH108" s="21">
        <f>EXP(-LN(2)/2)*DH107+(1-EXP(-LN(2)/2))/(LN(2)/2)*DB108*DE108*VLOOKUP('Données projet'!$B$13,Paramètres!$A$1:$I$89,3,0)*0.475*44/12</f>
        <v>7.7189215977922426E-7</v>
      </c>
      <c r="DI108" s="22">
        <f t="shared" si="69"/>
        <v>14.867983180106579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62.836799999999855</v>
      </c>
      <c r="D109" s="11">
        <f t="shared" si="86"/>
        <v>17.883561333169517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623.10454362446524</v>
      </c>
      <c r="H109" s="67">
        <f t="shared" si="56"/>
        <v>433.92129598860328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</v>
      </c>
      <c r="N109" s="13">
        <f>IF('Données projet'!$A$36&gt;35,N108+M109-V108,IF(A109&lt;'Données projet'!$A$36,$K$205^A109,IF(A109='Données projet'!$A$36,'Données projet'!$B$36,N108+M109-V108)))</f>
        <v>311.99999999999989</v>
      </c>
      <c r="O109" s="13">
        <f>N109*VLOOKUP('Données projet'!$B$9,Paramètres!$A$1:$I$89,3,0)*VLOOKUP('Données projet'!$B$9,Paramètres!$A$1:$I$89,5,0)</f>
        <v>282.29759999999987</v>
      </c>
      <c r="P109" s="13">
        <f t="shared" si="87"/>
        <v>67.452326629470178</v>
      </c>
      <c r="Q109" s="20">
        <f t="shared" si="107"/>
        <v>609.14778887966042</v>
      </c>
      <c r="R109" s="59">
        <f t="shared" si="55"/>
        <v>902.4811222129938</v>
      </c>
      <c r="S109" s="59">
        <f ca="1">AVERAGE(OFFSET($R$3,0,0,'Données projet'!$E$9+1,1))-AVERAGE(OFFSET($H$3,0,0,'Données projet'!$E$9+1,1))</f>
        <v>330.30341204367602</v>
      </c>
      <c r="T109" s="59">
        <f t="shared" si="88"/>
        <v>200.36653694091007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72.523231979713515</v>
      </c>
      <c r="AA109" s="21">
        <f>EXP(-LN(2)/25)*AA108+(1-EXP(-LN(2)/25))/(LN(2)/25)*Calculateur!V109*Calculateur!X109*VLOOKUP('Données projet'!$B$9,Paramètres!$A$1:$I$89,3,0)*0.475*44/12</f>
        <v>3.2507069076503989</v>
      </c>
      <c r="AB109" s="21">
        <f>EXP(-LN(2)/2)*AB108+(1-EXP(-LN(2)/2))/(LN(2)/2)*V109*Y109*VLOOKUP('Données projet'!$B$9,Paramètres!$A$1:$I$89,3,0)*0.475*44/12</f>
        <v>1.1530809672584472</v>
      </c>
      <c r="AC109" s="22">
        <f t="shared" si="57"/>
        <v>76.927019854622358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971.99999999999977</v>
      </c>
      <c r="AJ109" s="13">
        <f>AI109*VLOOKUP('Données projet'!$B$10,Paramètres!$A$1:$I$89,3,0)*VLOOKUP('Données projet'!$B$10,Paramètres!$A$1:$I$89,5,0)</f>
        <v>581.25599999999986</v>
      </c>
      <c r="AK109" s="13">
        <f t="shared" si="89"/>
        <v>127.68713506014205</v>
      </c>
      <c r="AL109" s="20">
        <f t="shared" si="58"/>
        <v>1234.7426268964139</v>
      </c>
      <c r="AM109" s="59">
        <f t="shared" si="59"/>
        <v>1528.0759602297471</v>
      </c>
      <c r="AN109" s="59">
        <f ca="1">AVERAGE(OFFSET($AM$3,0,0,'Données projet'!$E$10+1,1))-AVERAGE(OFFSET($H$3,0,0,'Données projet'!$E$10+1,1))</f>
        <v>465.77577582457678</v>
      </c>
      <c r="AO109" s="59">
        <f t="shared" si="90"/>
        <v>301.15495784503042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25.675842568488811</v>
      </c>
      <c r="AV109" s="21">
        <f>EXP(-LN(2)/25)*AV108+(1-EXP(-LN(2)/25))/(LN(2)/25)*Calculateur!AQ109*Calculateur!AS109*VLOOKUP('Données projet'!$B$10,Paramètres!$A$1:$I$89,3,0)*0.475*44/12</f>
        <v>11.03287860052982</v>
      </c>
      <c r="AW109" s="21">
        <f>EXP(-LN(2)/2)*AW108+(1-EXP(-LN(2)/2))/(LN(2)/2)*AQ109*AT109*VLOOKUP('Données projet'!$B$10,Paramètres!$A$1:$I$89,3,0)*0.475*44/12</f>
        <v>6.2026988718967027E-6</v>
      </c>
      <c r="AX109" s="21">
        <f t="shared" si="60"/>
        <v>36.708727371717501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273.00000000000023</v>
      </c>
      <c r="BE109" s="13">
        <f>BD109*VLOOKUP('Données projet'!$B$11,Paramètres!$A$1:$I$89,3,0)*VLOOKUP('Données projet'!$B$11,Paramètres!$A$1:$I$89,5,0)</f>
        <v>212.9400000000002</v>
      </c>
      <c r="BF109" s="13">
        <f t="shared" si="91"/>
        <v>52.577528895212915</v>
      </c>
      <c r="BG109" s="20">
        <f t="shared" si="61"/>
        <v>462.44302949249618</v>
      </c>
      <c r="BH109" s="59">
        <f t="shared" si="62"/>
        <v>755.77636282582944</v>
      </c>
      <c r="BI109" s="59">
        <f ca="1">AVERAGE(OFFSET($BH$3,0,0,'Données projet'!$E$11+1,1))-AVERAGE(OFFSET($H$3,0,0,'Données projet'!$E$11+1,1))</f>
        <v>219.5868031007679</v>
      </c>
      <c r="BJ109" s="59">
        <f t="shared" si="92"/>
        <v>263.3830219837742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13.125593343789692</v>
      </c>
      <c r="BQ109" s="21">
        <f>EXP(-LN(2)/25)*BQ108+(1-EXP(-LN(2)/25))/(LN(2)/25)*Calculateur!BL109*Calculateur!BN109*VLOOKUP('Données projet'!$B$11,Paramètres!$A$1:$I$89,3,0)*0.475*44/12</f>
        <v>1.6570834656563733</v>
      </c>
      <c r="BR109" s="21">
        <f>EXP(-LN(2)/2)*BR108+(1-EXP(-LN(2)/2))/(LN(2)/2)*BL109*BO109*VLOOKUP('Données projet'!$B$11,Paramètres!$A$1:$I$89,3,0)*0.475*44/12</f>
        <v>5.8583304493977498E-7</v>
      </c>
      <c r="BS109" s="22">
        <f t="shared" si="63"/>
        <v>14.78267739527911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243.99999999999989</v>
      </c>
      <c r="BZ109" s="13">
        <f>BY109*VLOOKUP('Données projet'!$B$12,Paramètres!$A$1:$I$89,3,0)*VLOOKUP('Données projet'!$B$12,Paramètres!$A$1:$I$89,5,0)</f>
        <v>262.64159999999987</v>
      </c>
      <c r="CA109" s="13">
        <f t="shared" si="93"/>
        <v>63.285128621471941</v>
      </c>
      <c r="CB109" s="20">
        <f t="shared" si="64"/>
        <v>567.65571901573003</v>
      </c>
      <c r="CC109" s="59">
        <f t="shared" si="65"/>
        <v>860.98905234906329</v>
      </c>
      <c r="CD109" s="59">
        <f ca="1">AVERAGE(OFFSET($CC$3,0,0,'Données projet'!$E$12+1,1))-AVERAGE(OFFSET($H$3,0,0,'Données projet'!$E$12+1,1))</f>
        <v>244.7364260963538</v>
      </c>
      <c r="CE109" s="59">
        <f t="shared" si="94"/>
        <v>270.32853612539299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14.382849323905143</v>
      </c>
      <c r="CL109" s="21">
        <f>EXP(-LN(2)/25)*CL108+(1-EXP(-LN(2)/25))/(LN(2)/25)*Calculateur!CG109*Calculateur!CI109*VLOOKUP('Données projet'!$B$12,Paramètres!$A$1:$I$89,3,0)*0.475*44/12</f>
        <v>1.8247941776948335</v>
      </c>
      <c r="CM109" s="21">
        <f>EXP(-LN(2)/2)*CM108+(1-EXP(-LN(2)/2))/(LN(2)/2)*CG109*CJ109*VLOOKUP('Données projet'!$B$12,Paramètres!$A$1:$I$89,3,0)*0.475*44/12</f>
        <v>6.0743391058385132E-7</v>
      </c>
      <c r="CN109" s="22">
        <f t="shared" si="66"/>
        <v>16.207644109033886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243.99999999999989</v>
      </c>
      <c r="CU109" s="17">
        <f>CT109*VLOOKUP('Données projet'!$B$13,Paramètres!$A$1:$I$89,3,0)*VLOOKUP('Données projet'!$B$13,Paramètres!$A$1:$I$89,5,0)</f>
        <v>235.99679999999987</v>
      </c>
      <c r="CV109" s="13">
        <f t="shared" si="95"/>
        <v>57.577381127598322</v>
      </c>
      <c r="CW109" s="20">
        <f t="shared" si="67"/>
        <v>511.30836546390015</v>
      </c>
      <c r="CX109" s="59">
        <f t="shared" si="68"/>
        <v>804.6416987972334</v>
      </c>
      <c r="CY109" s="59">
        <f ca="1">AVERAGE(OFFSET($CX$3,0,0,'Données projet'!$E$13+1,1))-AVERAGE(OFFSET($H$3,0,0,'Données projet'!$E$13+1,1))</f>
        <v>216.39536568500222</v>
      </c>
      <c r="CZ109" s="59">
        <f t="shared" si="96"/>
        <v>239.44686980897467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12.923719682349553</v>
      </c>
      <c r="DG109" s="21">
        <f>EXP(-LN(2)/25)*DG108+(1-EXP(-LN(2)/25))/(LN(2)/25)*Calculateur!DB109*Calculateur!DD109*VLOOKUP('Données projet'!$B$13,Paramètres!$A$1:$I$89,3,0)*0.475*44/12</f>
        <v>1.6396701306823134</v>
      </c>
      <c r="DH109" s="21">
        <f>EXP(-LN(2)/2)*DH108+(1-EXP(-LN(2)/2))/(LN(2)/2)*DB109*DE109*VLOOKUP('Données projet'!$B$13,Paramètres!$A$1:$I$89,3,0)*0.475*44/12</f>
        <v>5.458101805246195E-7</v>
      </c>
      <c r="DI109" s="22">
        <f t="shared" si="69"/>
        <v>14.563390358842048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63.429599999999851</v>
      </c>
      <c r="D110" s="11">
        <f t="shared" si="86"/>
        <v>18.032554436532184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628.83066582586127</v>
      </c>
      <c r="H110" s="67">
        <f t="shared" si="56"/>
        <v>435.21325231029323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</v>
      </c>
      <c r="N110" s="13">
        <f>IF('Données projet'!$A$36&gt;35,N109+M110-V109,IF(A110&lt;'Données projet'!$A$36,$K$205^A110,IF(A110='Données projet'!$A$36,'Données projet'!$B$36,N109+M110-V109)))</f>
        <v>316.99999999999989</v>
      </c>
      <c r="O110" s="13">
        <f>N110*VLOOKUP('Données projet'!$B$9,Paramètres!$A$1:$I$89,3,0)*VLOOKUP('Données projet'!$B$9,Paramètres!$A$1:$I$89,5,0)</f>
        <v>286.82159999999988</v>
      </c>
      <c r="P110" s="13">
        <f t="shared" si="87"/>
        <v>68.406583284351413</v>
      </c>
      <c r="Q110" s="20">
        <f t="shared" si="107"/>
        <v>618.68908588691181</v>
      </c>
      <c r="R110" s="59">
        <f t="shared" si="55"/>
        <v>912.02241922024518</v>
      </c>
      <c r="S110" s="59">
        <f ca="1">AVERAGE(OFFSET($R$3,0,0,'Données projet'!$E$9+1,1))-AVERAGE(OFFSET($H$3,0,0,'Données projet'!$E$9+1,1))</f>
        <v>330.30341204367602</v>
      </c>
      <c r="T110" s="59">
        <f t="shared" si="88"/>
        <v>200.36653694091007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71.101095635395012</v>
      </c>
      <c r="AA110" s="21">
        <f>EXP(-LN(2)/25)*AA109+(1-EXP(-LN(2)/25))/(LN(2)/25)*Calculateur!V110*Calculateur!X110*VLOOKUP('Données projet'!$B$9,Paramètres!$A$1:$I$89,3,0)*0.475*44/12</f>
        <v>3.1618161563134519</v>
      </c>
      <c r="AB110" s="21">
        <f>EXP(-LN(2)/2)*AB109+(1-EXP(-LN(2)/2))/(LN(2)/2)*V110*Y110*VLOOKUP('Données projet'!$B$9,Paramètres!$A$1:$I$89,3,0)*0.475*44/12</f>
        <v>0.81535137120559142</v>
      </c>
      <c r="AC110" s="22">
        <f t="shared" si="57"/>
        <v>75.078263162914055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971.99999999999977</v>
      </c>
      <c r="AJ110" s="13">
        <f>AI110*VLOOKUP('Données projet'!$B$10,Paramètres!$A$1:$I$89,3,0)*VLOOKUP('Données projet'!$B$10,Paramètres!$A$1:$I$89,5,0)</f>
        <v>581.25599999999986</v>
      </c>
      <c r="AK110" s="13">
        <f t="shared" si="89"/>
        <v>127.68713506014205</v>
      </c>
      <c r="AL110" s="20">
        <f t="shared" si="58"/>
        <v>1234.7426268964139</v>
      </c>
      <c r="AM110" s="59">
        <f t="shared" si="59"/>
        <v>1528.0759602297471</v>
      </c>
      <c r="AN110" s="59">
        <f ca="1">AVERAGE(OFFSET($AM$3,0,0,'Données projet'!$E$10+1,1))-AVERAGE(OFFSET($H$3,0,0,'Données projet'!$E$10+1,1))</f>
        <v>465.77577582457678</v>
      </c>
      <c r="AO110" s="59">
        <f t="shared" si="90"/>
        <v>301.15495784503042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25.172354956438344</v>
      </c>
      <c r="AV110" s="21">
        <f>EXP(-LN(2)/25)*AV109+(1-EXP(-LN(2)/25))/(LN(2)/25)*Calculateur!AQ110*Calculateur!AS110*VLOOKUP('Données projet'!$B$10,Paramètres!$A$1:$I$89,3,0)*0.475*44/12</f>
        <v>10.731183955004463</v>
      </c>
      <c r="AW110" s="21">
        <f>EXP(-LN(2)/2)*AW109+(1-EXP(-LN(2)/2))/(LN(2)/2)*AQ110*AT110*VLOOKUP('Données projet'!$B$10,Paramètres!$A$1:$I$89,3,0)*0.475*44/12</f>
        <v>4.3859704339763069E-6</v>
      </c>
      <c r="AX110" s="21">
        <f t="shared" si="60"/>
        <v>35.903543297413243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273.00000000000023</v>
      </c>
      <c r="BE110" s="13">
        <f>BD110*VLOOKUP('Données projet'!$B$11,Paramètres!$A$1:$I$89,3,0)*VLOOKUP('Données projet'!$B$11,Paramètres!$A$1:$I$89,5,0)</f>
        <v>212.9400000000002</v>
      </c>
      <c r="BF110" s="13">
        <f t="shared" si="91"/>
        <v>52.577528895212915</v>
      </c>
      <c r="BG110" s="20">
        <f t="shared" si="61"/>
        <v>462.44302949249618</v>
      </c>
      <c r="BH110" s="59">
        <f t="shared" si="62"/>
        <v>755.77636282582944</v>
      </c>
      <c r="BI110" s="59">
        <f ca="1">AVERAGE(OFFSET($BH$3,0,0,'Données projet'!$E$11+1,1))-AVERAGE(OFFSET($H$3,0,0,'Données projet'!$E$11+1,1))</f>
        <v>219.5868031007679</v>
      </c>
      <c r="BJ110" s="59">
        <f t="shared" si="92"/>
        <v>263.3830219837742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12.868208464139407</v>
      </c>
      <c r="BQ110" s="21">
        <f>EXP(-LN(2)/25)*BQ109+(1-EXP(-LN(2)/25))/(LN(2)/25)*Calculateur!BL110*Calculateur!BN110*VLOOKUP('Données projet'!$B$11,Paramètres!$A$1:$I$89,3,0)*0.475*44/12</f>
        <v>1.6117704311457677</v>
      </c>
      <c r="BR110" s="21">
        <f>EXP(-LN(2)/2)*BR109+(1-EXP(-LN(2)/2))/(LN(2)/2)*BL110*BO110*VLOOKUP('Données projet'!$B$11,Paramètres!$A$1:$I$89,3,0)*0.475*44/12</f>
        <v>4.1424651872007834E-7</v>
      </c>
      <c r="BS110" s="22">
        <f t="shared" si="63"/>
        <v>14.479979309531693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243.99999999999989</v>
      </c>
      <c r="BZ110" s="13">
        <f>BY110*VLOOKUP('Données projet'!$B$12,Paramètres!$A$1:$I$89,3,0)*VLOOKUP('Données projet'!$B$12,Paramètres!$A$1:$I$89,5,0)</f>
        <v>262.64159999999987</v>
      </c>
      <c r="CA110" s="13">
        <f t="shared" si="93"/>
        <v>63.285128621471941</v>
      </c>
      <c r="CB110" s="20">
        <f t="shared" si="64"/>
        <v>567.65571901573003</v>
      </c>
      <c r="CC110" s="59">
        <f t="shared" si="65"/>
        <v>860.98905234906329</v>
      </c>
      <c r="CD110" s="59">
        <f ca="1">AVERAGE(OFFSET($CC$3,0,0,'Données projet'!$E$12+1,1))-AVERAGE(OFFSET($H$3,0,0,'Données projet'!$E$12+1,1))</f>
        <v>244.7364260963538</v>
      </c>
      <c r="CE110" s="59">
        <f t="shared" si="94"/>
        <v>270.32853612539299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14.100810421335222</v>
      </c>
      <c r="CL110" s="21">
        <f>EXP(-LN(2)/25)*CL109+(1-EXP(-LN(2)/25))/(LN(2)/25)*Calculateur!CG110*Calculateur!CI110*VLOOKUP('Données projet'!$B$12,Paramètres!$A$1:$I$89,3,0)*0.475*44/12</f>
        <v>1.774895084944013</v>
      </c>
      <c r="CM110" s="21">
        <f>EXP(-LN(2)/2)*CM109+(1-EXP(-LN(2)/2))/(LN(2)/2)*CG110*CJ110*VLOOKUP('Données projet'!$B$12,Paramètres!$A$1:$I$89,3,0)*0.475*44/12</f>
        <v>4.2952063729650423E-7</v>
      </c>
      <c r="CN110" s="22">
        <f t="shared" si="66"/>
        <v>15.875705935799873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243.99999999999989</v>
      </c>
      <c r="CU110" s="17">
        <f>CT110*VLOOKUP('Données projet'!$B$13,Paramètres!$A$1:$I$89,3,0)*VLOOKUP('Données projet'!$B$13,Paramètres!$A$1:$I$89,5,0)</f>
        <v>235.99679999999987</v>
      </c>
      <c r="CV110" s="13">
        <f t="shared" si="95"/>
        <v>57.577381127598322</v>
      </c>
      <c r="CW110" s="20">
        <f t="shared" si="67"/>
        <v>511.30836546390015</v>
      </c>
      <c r="CX110" s="59">
        <f t="shared" si="68"/>
        <v>804.6416987972334</v>
      </c>
      <c r="CY110" s="59">
        <f ca="1">AVERAGE(OFFSET($CX$3,0,0,'Données projet'!$E$13+1,1))-AVERAGE(OFFSET($H$3,0,0,'Données projet'!$E$13+1,1))</f>
        <v>216.39536568500222</v>
      </c>
      <c r="CZ110" s="59">
        <f t="shared" si="96"/>
        <v>239.44686980897467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12.670293422069333</v>
      </c>
      <c r="DG110" s="21">
        <f>EXP(-LN(2)/25)*DG109+(1-EXP(-LN(2)/25))/(LN(2)/25)*Calculateur!DB110*Calculateur!DD110*VLOOKUP('Données projet'!$B$13,Paramètres!$A$1:$I$89,3,0)*0.475*44/12</f>
        <v>1.5948332647323009</v>
      </c>
      <c r="DH110" s="21">
        <f>EXP(-LN(2)/2)*DH109+(1-EXP(-LN(2)/2))/(LN(2)/2)*DB110*DE110*VLOOKUP('Données projet'!$B$13,Paramètres!$A$1:$I$89,3,0)*0.475*44/12</f>
        <v>3.8594607988961213E-7</v>
      </c>
      <c r="DI110" s="22">
        <f t="shared" si="69"/>
        <v>14.265127072747715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64.022399999999848</v>
      </c>
      <c r="D111" s="11">
        <f t="shared" si="86"/>
        <v>18.181385543312199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634.55553752732123</v>
      </c>
      <c r="H111" s="67">
        <f t="shared" si="56"/>
        <v>436.50492648793511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</v>
      </c>
      <c r="N111" s="13">
        <f>IF('Données projet'!$A$36&gt;35,N110+M111-V110,IF(A111&lt;'Données projet'!$A$36,$K$205^A111,IF(A111='Données projet'!$A$36,'Données projet'!$B$36,N110+M111-V110)))</f>
        <v>321.99999999999989</v>
      </c>
      <c r="O111" s="13">
        <f>N111*VLOOKUP('Données projet'!$B$9,Paramètres!$A$1:$I$89,3,0)*VLOOKUP('Données projet'!$B$9,Paramètres!$A$1:$I$89,5,0)</f>
        <v>291.34559999999993</v>
      </c>
      <c r="P111" s="13">
        <f t="shared" si="87"/>
        <v>69.359089490698707</v>
      </c>
      <c r="Q111" s="20">
        <f t="shared" si="107"/>
        <v>628.22733419630015</v>
      </c>
      <c r="R111" s="59">
        <f t="shared" si="55"/>
        <v>921.56066752963352</v>
      </c>
      <c r="S111" s="59">
        <f ca="1">AVERAGE(OFFSET($R$3,0,0,'Données projet'!$E$9+1,1))-AVERAGE(OFFSET($H$3,0,0,'Données projet'!$E$9+1,1))</f>
        <v>330.30341204367602</v>
      </c>
      <c r="T111" s="59">
        <f t="shared" si="88"/>
        <v>200.36653694091007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69.706846517371076</v>
      </c>
      <c r="AA111" s="21">
        <f>EXP(-LN(2)/25)*AA110+(1-EXP(-LN(2)/25))/(LN(2)/25)*Calculateur!V111*Calculateur!X111*VLOOKUP('Données projet'!$B$9,Paramètres!$A$1:$I$89,3,0)*0.475*44/12</f>
        <v>3.0753561272463754</v>
      </c>
      <c r="AB111" s="21">
        <f>EXP(-LN(2)/2)*AB110+(1-EXP(-LN(2)/2))/(LN(2)/2)*V111*Y111*VLOOKUP('Données projet'!$B$9,Paramètres!$A$1:$I$89,3,0)*0.475*44/12</f>
        <v>0.57654048362922361</v>
      </c>
      <c r="AC111" s="22">
        <f t="shared" si="57"/>
        <v>73.358743128246687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971.99999999999977</v>
      </c>
      <c r="AJ111" s="13">
        <f>AI111*VLOOKUP('Données projet'!$B$10,Paramètres!$A$1:$I$89,3,0)*VLOOKUP('Données projet'!$B$10,Paramètres!$A$1:$I$89,5,0)</f>
        <v>581.25599999999986</v>
      </c>
      <c r="AK111" s="13">
        <f t="shared" si="89"/>
        <v>127.68713506014205</v>
      </c>
      <c r="AL111" s="20">
        <f t="shared" si="58"/>
        <v>1234.7426268964139</v>
      </c>
      <c r="AM111" s="59">
        <f t="shared" si="59"/>
        <v>1528.0759602297471</v>
      </c>
      <c r="AN111" s="59">
        <f ca="1">AVERAGE(OFFSET($AM$3,0,0,'Données projet'!$E$10+1,1))-AVERAGE(OFFSET($H$3,0,0,'Données projet'!$E$10+1,1))</f>
        <v>465.77577582457678</v>
      </c>
      <c r="AO111" s="59">
        <f t="shared" si="90"/>
        <v>301.15495784503042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24.678740429363067</v>
      </c>
      <c r="AV111" s="21">
        <f>EXP(-LN(2)/25)*AV110+(1-EXP(-LN(2)/25))/(LN(2)/25)*Calculateur!AQ111*Calculateur!AS111*VLOOKUP('Données projet'!$B$10,Paramètres!$A$1:$I$89,3,0)*0.475*44/12</f>
        <v>10.437739165426429</v>
      </c>
      <c r="AW111" s="21">
        <f>EXP(-LN(2)/2)*AW110+(1-EXP(-LN(2)/2))/(LN(2)/2)*AQ111*AT111*VLOOKUP('Données projet'!$B$10,Paramètres!$A$1:$I$89,3,0)*0.475*44/12</f>
        <v>3.1013494359483514E-6</v>
      </c>
      <c r="AX111" s="21">
        <f t="shared" si="60"/>
        <v>35.116482696138931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273.00000000000023</v>
      </c>
      <c r="BE111" s="13">
        <f>BD111*VLOOKUP('Données projet'!$B$11,Paramètres!$A$1:$I$89,3,0)*VLOOKUP('Données projet'!$B$11,Paramètres!$A$1:$I$89,5,0)</f>
        <v>212.9400000000002</v>
      </c>
      <c r="BF111" s="13">
        <f t="shared" si="91"/>
        <v>52.577528895212915</v>
      </c>
      <c r="BG111" s="20">
        <f t="shared" si="61"/>
        <v>462.44302949249618</v>
      </c>
      <c r="BH111" s="59">
        <f t="shared" si="62"/>
        <v>755.77636282582944</v>
      </c>
      <c r="BI111" s="59">
        <f ca="1">AVERAGE(OFFSET($BH$3,0,0,'Données projet'!$E$11+1,1))-AVERAGE(OFFSET($H$3,0,0,'Données projet'!$E$11+1,1))</f>
        <v>219.5868031007679</v>
      </c>
      <c r="BJ111" s="59">
        <f t="shared" si="92"/>
        <v>263.3830219837742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12.615870744989788</v>
      </c>
      <c r="BQ111" s="21">
        <f>EXP(-LN(2)/25)*BQ110+(1-EXP(-LN(2)/25))/(LN(2)/25)*Calculateur!BL111*Calculateur!BN111*VLOOKUP('Données projet'!$B$11,Paramètres!$A$1:$I$89,3,0)*0.475*44/12</f>
        <v>1.5676964839467635</v>
      </c>
      <c r="BR111" s="21">
        <f>EXP(-LN(2)/2)*BR110+(1-EXP(-LN(2)/2))/(LN(2)/2)*BL111*BO111*VLOOKUP('Données projet'!$B$11,Paramètres!$A$1:$I$89,3,0)*0.475*44/12</f>
        <v>2.9291652246988749E-7</v>
      </c>
      <c r="BS111" s="22">
        <f t="shared" si="63"/>
        <v>14.183567521853075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243.99999999999989</v>
      </c>
      <c r="BZ111" s="13">
        <f>BY111*VLOOKUP('Données projet'!$B$12,Paramètres!$A$1:$I$89,3,0)*VLOOKUP('Données projet'!$B$12,Paramètres!$A$1:$I$89,5,0)</f>
        <v>262.64159999999987</v>
      </c>
      <c r="CA111" s="13">
        <f t="shared" si="93"/>
        <v>63.285128621471941</v>
      </c>
      <c r="CB111" s="20">
        <f t="shared" si="64"/>
        <v>567.65571901573003</v>
      </c>
      <c r="CC111" s="59">
        <f t="shared" si="65"/>
        <v>860.98905234906329</v>
      </c>
      <c r="CD111" s="59">
        <f ca="1">AVERAGE(OFFSET($CC$3,0,0,'Données projet'!$E$12+1,1))-AVERAGE(OFFSET($H$3,0,0,'Données projet'!$E$12+1,1))</f>
        <v>244.7364260963538</v>
      </c>
      <c r="CE111" s="59">
        <f t="shared" si="94"/>
        <v>270.32853612539299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13.824302129617951</v>
      </c>
      <c r="CL111" s="21">
        <f>EXP(-LN(2)/25)*CL110+(1-EXP(-LN(2)/25))/(LN(2)/25)*Calculateur!CG111*Calculateur!CI111*VLOOKUP('Données projet'!$B$12,Paramètres!$A$1:$I$89,3,0)*0.475*44/12</f>
        <v>1.726360485508543</v>
      </c>
      <c r="CM111" s="21">
        <f>EXP(-LN(2)/2)*CM110+(1-EXP(-LN(2)/2))/(LN(2)/2)*CG111*CJ111*VLOOKUP('Données projet'!$B$12,Paramètres!$A$1:$I$89,3,0)*0.475*44/12</f>
        <v>3.0371695529192566E-7</v>
      </c>
      <c r="CN111" s="22">
        <f t="shared" si="66"/>
        <v>15.55066291884345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243.99999999999989</v>
      </c>
      <c r="CU111" s="17">
        <f>CT111*VLOOKUP('Données projet'!$B$13,Paramètres!$A$1:$I$89,3,0)*VLOOKUP('Données projet'!$B$13,Paramètres!$A$1:$I$89,5,0)</f>
        <v>235.99679999999987</v>
      </c>
      <c r="CV111" s="13">
        <f t="shared" si="95"/>
        <v>57.577381127598322</v>
      </c>
      <c r="CW111" s="20">
        <f t="shared" si="67"/>
        <v>511.30836546390015</v>
      </c>
      <c r="CX111" s="59">
        <f t="shared" si="68"/>
        <v>804.6416987972334</v>
      </c>
      <c r="CY111" s="59">
        <f ca="1">AVERAGE(OFFSET($CX$3,0,0,'Données projet'!$E$13+1,1))-AVERAGE(OFFSET($H$3,0,0,'Données projet'!$E$13+1,1))</f>
        <v>216.39536568500222</v>
      </c>
      <c r="CZ111" s="59">
        <f t="shared" si="96"/>
        <v>239.44686980897467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12.421836696178453</v>
      </c>
      <c r="DG111" s="21">
        <f>EXP(-LN(2)/25)*DG110+(1-EXP(-LN(2)/25))/(LN(2)/25)*Calculateur!DB111*Calculateur!DD111*VLOOKUP('Données projet'!$B$13,Paramètres!$A$1:$I$89,3,0)*0.475*44/12</f>
        <v>1.5512224652395599</v>
      </c>
      <c r="DH111" s="21">
        <f>EXP(-LN(2)/2)*DH110+(1-EXP(-LN(2)/2))/(LN(2)/2)*DB111*DE111*VLOOKUP('Données projet'!$B$13,Paramètres!$A$1:$I$89,3,0)*0.475*44/12</f>
        <v>2.7290509026230975E-7</v>
      </c>
      <c r="DI111" s="22">
        <f t="shared" si="69"/>
        <v>13.973059434323103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64.615199999999845</v>
      </c>
      <c r="D112" s="11">
        <f t="shared" si="86"/>
        <v>18.330056327220198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640.27917164871621</v>
      </c>
      <c r="H112" s="67">
        <f t="shared" si="56"/>
        <v>437.79632143657489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</v>
      </c>
      <c r="N112" s="13">
        <f>IF('Données projet'!$A$36&gt;35,N111+M112-V111,IF(A112&lt;'Données projet'!$A$36,$K$205^A112,IF(A112='Données projet'!$A$36,'Données projet'!$B$36,N111+M112-V111)))</f>
        <v>326.99999999999989</v>
      </c>
      <c r="O112" s="13">
        <f>N112*VLOOKUP('Données projet'!$B$9,Paramètres!$A$1:$I$89,3,0)*VLOOKUP('Données projet'!$B$9,Paramètres!$A$1:$I$89,5,0)</f>
        <v>295.86959999999988</v>
      </c>
      <c r="P112" s="13">
        <f t="shared" si="87"/>
        <v>70.309875568291218</v>
      </c>
      <c r="Q112" s="20">
        <f t="shared" si="107"/>
        <v>637.76258661477357</v>
      </c>
      <c r="R112" s="59">
        <f t="shared" si="55"/>
        <v>931.09591994810694</v>
      </c>
      <c r="S112" s="59">
        <f ca="1">AVERAGE(OFFSET($R$3,0,0,'Données projet'!$E$9+1,1))-AVERAGE(OFFSET($H$3,0,0,'Données projet'!$E$9+1,1))</f>
        <v>330.30341204367602</v>
      </c>
      <c r="T112" s="59">
        <f t="shared" si="88"/>
        <v>200.36653694091007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68.339937774143607</v>
      </c>
      <c r="AA112" s="21">
        <f>EXP(-LN(2)/25)*AA111+(1-EXP(-LN(2)/25))/(LN(2)/25)*Calculateur!V112*Calculateur!X112*VLOOKUP('Données projet'!$B$9,Paramètres!$A$1:$I$89,3,0)*0.475*44/12</f>
        <v>2.9912603522208734</v>
      </c>
      <c r="AB112" s="21">
        <f>EXP(-LN(2)/2)*AB111+(1-EXP(-LN(2)/2))/(LN(2)/2)*V112*Y112*VLOOKUP('Données projet'!$B$9,Paramètres!$A$1:$I$89,3,0)*0.475*44/12</f>
        <v>0.40767568560279571</v>
      </c>
      <c r="AC112" s="22">
        <f t="shared" si="57"/>
        <v>71.738873811967281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971.99999999999977</v>
      </c>
      <c r="AJ112" s="13">
        <f>AI112*VLOOKUP('Données projet'!$B$10,Paramètres!$A$1:$I$89,3,0)*VLOOKUP('Données projet'!$B$10,Paramètres!$A$1:$I$89,5,0)</f>
        <v>581.25599999999986</v>
      </c>
      <c r="AK112" s="13">
        <f t="shared" si="89"/>
        <v>127.68713506014205</v>
      </c>
      <c r="AL112" s="20">
        <f t="shared" si="58"/>
        <v>1234.7426268964139</v>
      </c>
      <c r="AM112" s="59">
        <f t="shared" si="59"/>
        <v>1528.0759602297471</v>
      </c>
      <c r="AN112" s="59">
        <f ca="1">AVERAGE(OFFSET($AM$3,0,0,'Données projet'!$E$10+1,1))-AVERAGE(OFFSET($H$3,0,0,'Données projet'!$E$10+1,1))</f>
        <v>465.77577582457678</v>
      </c>
      <c r="AO112" s="59">
        <f t="shared" si="90"/>
        <v>301.15495784503042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24.194805382088603</v>
      </c>
      <c r="AV112" s="21">
        <f>EXP(-LN(2)/25)*AV111+(1-EXP(-LN(2)/25))/(LN(2)/25)*Calculateur!AQ112*Calculateur!AS112*VLOOKUP('Données projet'!$B$10,Paramètres!$A$1:$I$89,3,0)*0.475*44/12</f>
        <v>10.152318639050996</v>
      </c>
      <c r="AW112" s="21">
        <f>EXP(-LN(2)/2)*AW111+(1-EXP(-LN(2)/2))/(LN(2)/2)*AQ112*AT112*VLOOKUP('Données projet'!$B$10,Paramètres!$A$1:$I$89,3,0)*0.475*44/12</f>
        <v>2.1929852169881535E-6</v>
      </c>
      <c r="AX112" s="21">
        <f t="shared" si="60"/>
        <v>34.347126214124813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273.00000000000023</v>
      </c>
      <c r="BE112" s="13">
        <f>BD112*VLOOKUP('Données projet'!$B$11,Paramètres!$A$1:$I$89,3,0)*VLOOKUP('Données projet'!$B$11,Paramètres!$A$1:$I$89,5,0)</f>
        <v>212.9400000000002</v>
      </c>
      <c r="BF112" s="13">
        <f t="shared" si="91"/>
        <v>52.577528895212915</v>
      </c>
      <c r="BG112" s="20">
        <f t="shared" si="61"/>
        <v>462.44302949249618</v>
      </c>
      <c r="BH112" s="59">
        <f t="shared" si="62"/>
        <v>755.77636282582944</v>
      </c>
      <c r="BI112" s="59">
        <f ca="1">AVERAGE(OFFSET($BH$3,0,0,'Données projet'!$E$11+1,1))-AVERAGE(OFFSET($H$3,0,0,'Données projet'!$E$11+1,1))</f>
        <v>219.5868031007679</v>
      </c>
      <c r="BJ112" s="59">
        <f t="shared" si="92"/>
        <v>263.3830219837742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12.368481214601882</v>
      </c>
      <c r="BQ112" s="21">
        <f>EXP(-LN(2)/25)*BQ111+(1-EXP(-LN(2)/25))/(LN(2)/25)*Calculateur!BL112*Calculateur!BN112*VLOOKUP('Données projet'!$B$11,Paramètres!$A$1:$I$89,3,0)*0.475*44/12</f>
        <v>1.5248277411516642</v>
      </c>
      <c r="BR112" s="21">
        <f>EXP(-LN(2)/2)*BR111+(1-EXP(-LN(2)/2))/(LN(2)/2)*BL112*BO112*VLOOKUP('Données projet'!$B$11,Paramètres!$A$1:$I$89,3,0)*0.475*44/12</f>
        <v>2.0712325936003917E-7</v>
      </c>
      <c r="BS112" s="22">
        <f t="shared" si="63"/>
        <v>13.893309162876806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243.99999999999989</v>
      </c>
      <c r="BZ112" s="13">
        <f>BY112*VLOOKUP('Données projet'!$B$12,Paramètres!$A$1:$I$89,3,0)*VLOOKUP('Données projet'!$B$12,Paramètres!$A$1:$I$89,5,0)</f>
        <v>262.64159999999987</v>
      </c>
      <c r="CA112" s="13">
        <f t="shared" si="93"/>
        <v>63.285128621471941</v>
      </c>
      <c r="CB112" s="20">
        <f t="shared" si="64"/>
        <v>567.65571901573003</v>
      </c>
      <c r="CC112" s="59">
        <f t="shared" si="65"/>
        <v>860.98905234906329</v>
      </c>
      <c r="CD112" s="59">
        <f ca="1">AVERAGE(OFFSET($CC$3,0,0,'Données projet'!$E$12+1,1))-AVERAGE(OFFSET($H$3,0,0,'Données projet'!$E$12+1,1))</f>
        <v>244.7364260963538</v>
      </c>
      <c r="CE112" s="59">
        <f t="shared" si="94"/>
        <v>270.32853612539299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13.553215996847852</v>
      </c>
      <c r="CL112" s="21">
        <f>EXP(-LN(2)/25)*CL111+(1-EXP(-LN(2)/25))/(LN(2)/25)*Calculateur!CG112*Calculateur!CI112*VLOOKUP('Données projet'!$B$12,Paramètres!$A$1:$I$89,3,0)*0.475*44/12</f>
        <v>1.6791530672469597</v>
      </c>
      <c r="CM112" s="21">
        <f>EXP(-LN(2)/2)*CM111+(1-EXP(-LN(2)/2))/(LN(2)/2)*CG112*CJ112*VLOOKUP('Données projet'!$B$12,Paramètres!$A$1:$I$89,3,0)*0.475*44/12</f>
        <v>2.1476031864825212E-7</v>
      </c>
      <c r="CN112" s="22">
        <f t="shared" si="66"/>
        <v>15.232369278855129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243.99999999999989</v>
      </c>
      <c r="CU112" s="17">
        <f>CT112*VLOOKUP('Données projet'!$B$13,Paramètres!$A$1:$I$89,3,0)*VLOOKUP('Données projet'!$B$13,Paramètres!$A$1:$I$89,5,0)</f>
        <v>235.99679999999987</v>
      </c>
      <c r="CV112" s="13">
        <f t="shared" si="95"/>
        <v>57.577381127598322</v>
      </c>
      <c r="CW112" s="20">
        <f t="shared" si="67"/>
        <v>511.30836546390015</v>
      </c>
      <c r="CX112" s="59">
        <f t="shared" si="68"/>
        <v>804.6416987972334</v>
      </c>
      <c r="CY112" s="59">
        <f ca="1">AVERAGE(OFFSET($CX$3,0,0,'Données projet'!$E$13+1,1))-AVERAGE(OFFSET($H$3,0,0,'Données projet'!$E$13+1,1))</f>
        <v>216.39536568500222</v>
      </c>
      <c r="CZ112" s="59">
        <f t="shared" si="96"/>
        <v>239.44686980897467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12.178252055138653</v>
      </c>
      <c r="DG112" s="21">
        <f>EXP(-LN(2)/25)*DG111+(1-EXP(-LN(2)/25))/(LN(2)/25)*Calculateur!DB112*Calculateur!DD112*VLOOKUP('Données projet'!$B$13,Paramètres!$A$1:$I$89,3,0)*0.475*44/12</f>
        <v>1.5088042053523401</v>
      </c>
      <c r="DH112" s="21">
        <f>EXP(-LN(2)/2)*DH111+(1-EXP(-LN(2)/2))/(LN(2)/2)*DB112*DE112*VLOOKUP('Données projet'!$B$13,Paramètres!$A$1:$I$89,3,0)*0.475*44/12</f>
        <v>1.9297303994480607E-7</v>
      </c>
      <c r="DI112" s="22">
        <f t="shared" si="69"/>
        <v>13.687056453464034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65.207999999999842</v>
      </c>
      <c r="D113" s="11">
        <f t="shared" si="86"/>
        <v>18.478568429485165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646.00158085918258</v>
      </c>
      <c r="H113" s="67">
        <f t="shared" si="56"/>
        <v>439.08744001468636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332</v>
      </c>
      <c r="L113" s="12">
        <f>VLOOKUP(A113,'Données projet'!$A$35:$I$55,9,0)</f>
        <v>5</v>
      </c>
      <c r="M113" s="12">
        <f t="array" ref="M113">INDEX(L:L,MIN(IF(ISNUMBER(L113:L309),ROW(L113:L309),"")))</f>
        <v>5</v>
      </c>
      <c r="N113" s="13">
        <f>IF('Données projet'!$A$36&gt;35,N112+M113-V112,IF(A113&lt;'Données projet'!$A$36,$K$205^A113,IF(A113='Données projet'!$A$36,'Données projet'!$B$36,N112+M113-V112)))</f>
        <v>331.99999999999989</v>
      </c>
      <c r="O113" s="13">
        <f>N113*VLOOKUP('Données projet'!$B$9,Paramètres!$A$1:$I$89,3,0)*VLOOKUP('Données projet'!$B$9,Paramètres!$A$1:$I$89,5,0)</f>
        <v>300.39359999999988</v>
      </c>
      <c r="P113" s="13">
        <f t="shared" si="87"/>
        <v>71.258970856492667</v>
      </c>
      <c r="Q113" s="20">
        <f t="shared" si="107"/>
        <v>647.29489424172459</v>
      </c>
      <c r="R113" s="59">
        <f t="shared" si="55"/>
        <v>940.62822757505796</v>
      </c>
      <c r="S113" s="59">
        <f ca="1">AVERAGE(OFFSET($R$3,0,0,'Données projet'!$E$9+1,1))-AVERAGE(OFFSET($H$3,0,0,'Données projet'!$E$9+1,1))</f>
        <v>330.30341204367602</v>
      </c>
      <c r="T113" s="59">
        <f t="shared" si="88"/>
        <v>200.36653694091007</v>
      </c>
      <c r="U113" s="15">
        <f>IF(ISNA(VLOOKUP(A113,'Données projet'!$A$35:$I$55,3,0)),0,VLOOKUP(A113,'Données projet'!$A$35:$I$55,3,0))</f>
        <v>19</v>
      </c>
      <c r="V113" s="15">
        <f>IF(ISNA(VLOOKUP(A113,'Données projet'!$A$35:$I$55,4,0)),0,VLOOKUP(A113,'Données projet'!$A$35:$I$55,4,0))</f>
        <v>25</v>
      </c>
      <c r="W113" s="16">
        <f>IF(ISNA(VLOOKUP(A113,'Données projet'!$A$35:$I$55,5,0)),0%,VLOOKUP(A113,'Données projet'!$A$35:$I$55,5,0)*VLOOKUP('Données projet'!$B$9,Paramètres!$A$1:$I$89,7,0))</f>
        <v>0.34400000000000003</v>
      </c>
      <c r="X113" s="16">
        <f>IF(ISNA(VLOOKUP(A113,'Données projet'!$A$35:$I$55,6,0)),0%,VLOOKUP(A113,'Données projet'!$A$35:$I$55,6,0)*VLOOKUP('Données projet'!$B$9,Paramètres!$A$1:$I$89,7,0))</f>
        <v>1.72E-2</v>
      </c>
      <c r="Y113" s="16">
        <f>IF(ISNA(VLOOKUP(A113,'Données projet'!$A$35:$I$55,7,0)),0%,VLOOKUP(A113,'Données projet'!$A$35:$I$55,7,0))</f>
        <v>0.06</v>
      </c>
      <c r="Z113" s="21">
        <f>EXP(-LN(2)/35)*Z112+(1-EXP(-LN(2)/35))/(LN(2)/35)*V113*W113*VLOOKUP('Données projet'!$B$9,Paramètres!$A$1:$I$89,3,0)*0.475*44/12</f>
        <v>75.601807832490962</v>
      </c>
      <c r="AA113" s="21">
        <f>EXP(-LN(2)/25)*AA112+(1-EXP(-LN(2)/25))/(LN(2)/25)*Calculateur!V113*Calculateur!X113*VLOOKUP('Données projet'!$B$9,Paramètres!$A$1:$I$89,3,0)*0.475*44/12</f>
        <v>3.3378694457568701</v>
      </c>
      <c r="AB113" s="21">
        <f>EXP(-LN(2)/2)*AB112+(1-EXP(-LN(2)/2))/(LN(2)/2)*V113*Y113*VLOOKUP('Données projet'!$B$9,Paramètres!$A$1:$I$89,3,0)*0.475*44/12</f>
        <v>1.5688249703170447</v>
      </c>
      <c r="AC113" s="22">
        <f t="shared" si="57"/>
        <v>80.508502248564866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971.99999999999977</v>
      </c>
      <c r="AJ113" s="13">
        <f>AI113*VLOOKUP('Données projet'!$B$10,Paramètres!$A$1:$I$89,3,0)*VLOOKUP('Données projet'!$B$10,Paramètres!$A$1:$I$89,5,0)</f>
        <v>581.25599999999986</v>
      </c>
      <c r="AK113" s="13">
        <f t="shared" si="89"/>
        <v>127.68713506014205</v>
      </c>
      <c r="AL113" s="20">
        <f t="shared" si="58"/>
        <v>1234.7426268964139</v>
      </c>
      <c r="AM113" s="59">
        <f t="shared" si="59"/>
        <v>1528.0759602297471</v>
      </c>
      <c r="AN113" s="59">
        <f ca="1">AVERAGE(OFFSET($AM$3,0,0,'Données projet'!$E$10+1,1))-AVERAGE(OFFSET($H$3,0,0,'Données projet'!$E$10+1,1))</f>
        <v>465.77577582457678</v>
      </c>
      <c r="AO113" s="59">
        <f t="shared" si="90"/>
        <v>301.15495784503042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23.720360005919957</v>
      </c>
      <c r="AV113" s="21">
        <f>EXP(-LN(2)/25)*AV112+(1-EXP(-LN(2)/25))/(LN(2)/25)*Calculateur!AQ113*Calculateur!AS113*VLOOKUP('Données projet'!$B$10,Paramètres!$A$1:$I$89,3,0)*0.475*44/12</f>
        <v>9.8747029519789127</v>
      </c>
      <c r="AW113" s="21">
        <f>EXP(-LN(2)/2)*AW112+(1-EXP(-LN(2)/2))/(LN(2)/2)*AQ113*AT113*VLOOKUP('Données projet'!$B$10,Paramètres!$A$1:$I$89,3,0)*0.475*44/12</f>
        <v>1.5506747179741757E-6</v>
      </c>
      <c r="AX113" s="21">
        <f t="shared" si="60"/>
        <v>33.595064508573586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273.00000000000023</v>
      </c>
      <c r="BE113" s="13">
        <f>BD113*VLOOKUP('Données projet'!$B$11,Paramètres!$A$1:$I$89,3,0)*VLOOKUP('Données projet'!$B$11,Paramètres!$A$1:$I$89,5,0)</f>
        <v>212.9400000000002</v>
      </c>
      <c r="BF113" s="13">
        <f t="shared" si="91"/>
        <v>52.577528895212915</v>
      </c>
      <c r="BG113" s="20">
        <f t="shared" si="61"/>
        <v>462.44302949249618</v>
      </c>
      <c r="BH113" s="59">
        <f t="shared" si="62"/>
        <v>755.77636282582944</v>
      </c>
      <c r="BI113" s="59">
        <f ca="1">AVERAGE(OFFSET($BH$3,0,0,'Données projet'!$E$11+1,1))-AVERAGE(OFFSET($H$3,0,0,'Données projet'!$E$11+1,1))</f>
        <v>219.5868031007679</v>
      </c>
      <c r="BJ113" s="59">
        <f t="shared" si="92"/>
        <v>263.3830219837742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12.125942842012169</v>
      </c>
      <c r="BQ113" s="21">
        <f>EXP(-LN(2)/25)*BQ112+(1-EXP(-LN(2)/25))/(LN(2)/25)*Calculateur!BL113*Calculateur!BN113*VLOOKUP('Données projet'!$B$11,Paramètres!$A$1:$I$89,3,0)*0.475*44/12</f>
        <v>1.483131246382666</v>
      </c>
      <c r="BR113" s="21">
        <f>EXP(-LN(2)/2)*BR112+(1-EXP(-LN(2)/2))/(LN(2)/2)*BL113*BO113*VLOOKUP('Données projet'!$B$11,Paramètres!$A$1:$I$89,3,0)*0.475*44/12</f>
        <v>1.4645826123494375E-7</v>
      </c>
      <c r="BS113" s="22">
        <f t="shared" si="63"/>
        <v>13.609074234853095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243.99999999999989</v>
      </c>
      <c r="BZ113" s="13">
        <f>BY113*VLOOKUP('Données projet'!$B$12,Paramètres!$A$1:$I$89,3,0)*VLOOKUP('Données projet'!$B$12,Paramètres!$A$1:$I$89,5,0)</f>
        <v>262.64159999999987</v>
      </c>
      <c r="CA113" s="13">
        <f t="shared" si="93"/>
        <v>63.285128621471941</v>
      </c>
      <c r="CB113" s="20">
        <f t="shared" si="64"/>
        <v>567.65571901573003</v>
      </c>
      <c r="CC113" s="59">
        <f t="shared" si="65"/>
        <v>860.98905234906329</v>
      </c>
      <c r="CD113" s="59">
        <f ca="1">AVERAGE(OFFSET($CC$3,0,0,'Données projet'!$E$12+1,1))-AVERAGE(OFFSET($H$3,0,0,'Données projet'!$E$12+1,1))</f>
        <v>244.7364260963538</v>
      </c>
      <c r="CE113" s="59">
        <f t="shared" si="94"/>
        <v>270.32853612539299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13.28744569779516</v>
      </c>
      <c r="CL113" s="21">
        <f>EXP(-LN(2)/25)*CL112+(1-EXP(-LN(2)/25))/(LN(2)/25)*Calculateur!CG113*Calculateur!CI113*VLOOKUP('Données projet'!$B$12,Paramètres!$A$1:$I$89,3,0)*0.475*44/12</f>
        <v>1.6332365383202696</v>
      </c>
      <c r="CM113" s="21">
        <f>EXP(-LN(2)/2)*CM112+(1-EXP(-LN(2)/2))/(LN(2)/2)*CG113*CJ113*VLOOKUP('Données projet'!$B$12,Paramètres!$A$1:$I$89,3,0)*0.475*44/12</f>
        <v>1.5185847764596283E-7</v>
      </c>
      <c r="CN113" s="22">
        <f t="shared" si="66"/>
        <v>14.920682387973908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243.99999999999989</v>
      </c>
      <c r="CU113" s="17">
        <f>CT113*VLOOKUP('Données projet'!$B$13,Paramètres!$A$1:$I$89,3,0)*VLOOKUP('Données projet'!$B$13,Paramètres!$A$1:$I$89,5,0)</f>
        <v>235.99679999999987</v>
      </c>
      <c r="CV113" s="13">
        <f t="shared" si="95"/>
        <v>57.577381127598322</v>
      </c>
      <c r="CW113" s="20">
        <f t="shared" si="67"/>
        <v>511.30836546390015</v>
      </c>
      <c r="CX113" s="59">
        <f t="shared" si="68"/>
        <v>804.6416987972334</v>
      </c>
      <c r="CY113" s="59">
        <f ca="1">AVERAGE(OFFSET($CX$3,0,0,'Données projet'!$E$13+1,1))-AVERAGE(OFFSET($H$3,0,0,'Données projet'!$E$13+1,1))</f>
        <v>216.39536568500222</v>
      </c>
      <c r="CZ113" s="59">
        <f t="shared" si="96"/>
        <v>239.44686980897467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11.939443960337684</v>
      </c>
      <c r="DG113" s="21">
        <f>EXP(-LN(2)/25)*DG112+(1-EXP(-LN(2)/25))/(LN(2)/25)*Calculateur!DB113*Calculateur!DD113*VLOOKUP('Données projet'!$B$13,Paramètres!$A$1:$I$89,3,0)*0.475*44/12</f>
        <v>1.4675458750124155</v>
      </c>
      <c r="DH113" s="21">
        <f>EXP(-LN(2)/2)*DH112+(1-EXP(-LN(2)/2))/(LN(2)/2)*DB113*DE113*VLOOKUP('Données projet'!$B$13,Paramètres!$A$1:$I$89,3,0)*0.475*44/12</f>
        <v>1.3645254513115487E-7</v>
      </c>
      <c r="DI113" s="22">
        <f t="shared" si="69"/>
        <v>13.406989971802645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65.800799999999839</v>
      </c>
      <c r="D114" s="11">
        <f t="shared" si="86"/>
        <v>18.626923459774257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651.72277758422115</v>
      </c>
      <c r="H114" s="67">
        <f t="shared" si="56"/>
        <v>440.37828502577315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4.8</v>
      </c>
      <c r="N114" s="13">
        <f>IF('Données projet'!$A$36&gt;35,N113+M114-V113,IF(A114&lt;'Données projet'!$A$36,$K$205^A114,IF(A114='Données projet'!$A$36,'Données projet'!$B$36,N113+M114-V113)))</f>
        <v>311.7999999999999</v>
      </c>
      <c r="O114" s="13">
        <f>N114*VLOOKUP('Données projet'!$B$9,Paramètres!$A$1:$I$89,3,0)*VLOOKUP('Données projet'!$B$9,Paramètres!$A$1:$I$89,5,0)</f>
        <v>282.1166399999999</v>
      </c>
      <c r="P114" s="13">
        <f t="shared" si="87"/>
        <v>67.414119514142243</v>
      </c>
      <c r="Q114" s="20">
        <f t="shared" si="107"/>
        <v>608.76607282046416</v>
      </c>
      <c r="R114" s="59">
        <f t="shared" si="55"/>
        <v>902.09940615379742</v>
      </c>
      <c r="S114" s="59">
        <f ca="1">AVERAGE(OFFSET($R$3,0,0,'Données projet'!$E$9+1,1))-AVERAGE(OFFSET($H$3,0,0,'Données projet'!$E$9+1,1))</f>
        <v>330.30341204367602</v>
      </c>
      <c r="T114" s="59">
        <f t="shared" si="88"/>
        <v>200.36653694091007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74.11930249344536</v>
      </c>
      <c r="AA114" s="21">
        <f>EXP(-LN(2)/25)*AA113+(1-EXP(-LN(2)/25))/(LN(2)/25)*Calculateur!V114*Calculateur!X114*VLOOKUP('Données projet'!$B$9,Paramètres!$A$1:$I$89,3,0)*0.475*44/12</f>
        <v>3.2465952302317231</v>
      </c>
      <c r="AB114" s="21">
        <f>EXP(-LN(2)/2)*AB113+(1-EXP(-LN(2)/2))/(LN(2)/2)*V114*Y114*VLOOKUP('Données projet'!$B$9,Paramètres!$A$1:$I$89,3,0)*0.475*44/12</f>
        <v>1.1093267750059665</v>
      </c>
      <c r="AC114" s="22">
        <f t="shared" si="57"/>
        <v>78.475224498683048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971.99999999999977</v>
      </c>
      <c r="AJ114" s="13">
        <f>AI114*VLOOKUP('Données projet'!$B$10,Paramètres!$A$1:$I$89,3,0)*VLOOKUP('Données projet'!$B$10,Paramètres!$A$1:$I$89,5,0)</f>
        <v>581.25599999999986</v>
      </c>
      <c r="AK114" s="13">
        <f t="shared" si="89"/>
        <v>127.68713506014205</v>
      </c>
      <c r="AL114" s="20">
        <f t="shared" si="58"/>
        <v>1234.7426268964139</v>
      </c>
      <c r="AM114" s="59">
        <f t="shared" si="59"/>
        <v>1528.0759602297471</v>
      </c>
      <c r="AN114" s="59">
        <f ca="1">AVERAGE(OFFSET($AM$3,0,0,'Données projet'!$E$10+1,1))-AVERAGE(OFFSET($H$3,0,0,'Données projet'!$E$10+1,1))</f>
        <v>465.77577582457678</v>
      </c>
      <c r="AO114" s="59">
        <f t="shared" si="90"/>
        <v>301.15495784503042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23.255218214194876</v>
      </c>
      <c r="AV114" s="21">
        <f>EXP(-LN(2)/25)*AV113+(1-EXP(-LN(2)/25))/(LN(2)/25)*Calculateur!AQ114*Calculateur!AS114*VLOOKUP('Données projet'!$B$10,Paramètres!$A$1:$I$89,3,0)*0.475*44/12</f>
        <v>9.6046786804689894</v>
      </c>
      <c r="AW114" s="21">
        <f>EXP(-LN(2)/2)*AW113+(1-EXP(-LN(2)/2))/(LN(2)/2)*AQ114*AT114*VLOOKUP('Données projet'!$B$10,Paramètres!$A$1:$I$89,3,0)*0.475*44/12</f>
        <v>1.0964926084940767E-6</v>
      </c>
      <c r="AX114" s="21">
        <f t="shared" si="60"/>
        <v>32.859897991156473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273.00000000000023</v>
      </c>
      <c r="BE114" s="13">
        <f>BD114*VLOOKUP('Données projet'!$B$11,Paramètres!$A$1:$I$89,3,0)*VLOOKUP('Données projet'!$B$11,Paramètres!$A$1:$I$89,5,0)</f>
        <v>212.9400000000002</v>
      </c>
      <c r="BF114" s="13">
        <f t="shared" si="91"/>
        <v>52.577528895212915</v>
      </c>
      <c r="BG114" s="20">
        <f t="shared" si="61"/>
        <v>462.44302949249618</v>
      </c>
      <c r="BH114" s="59">
        <f t="shared" si="62"/>
        <v>755.77636282582944</v>
      </c>
      <c r="BI114" s="59">
        <f ca="1">AVERAGE(OFFSET($BH$3,0,0,'Données projet'!$E$11+1,1))-AVERAGE(OFFSET($H$3,0,0,'Données projet'!$E$11+1,1))</f>
        <v>219.5868031007679</v>
      </c>
      <c r="BJ114" s="59">
        <f t="shared" si="92"/>
        <v>263.3830219837742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11.888160498975139</v>
      </c>
      <c r="BQ114" s="21">
        <f>EXP(-LN(2)/25)*BQ113+(1-EXP(-LN(2)/25))/(LN(2)/25)*Calculateur!BL114*Calculateur!BN114*VLOOKUP('Données projet'!$B$11,Paramètres!$A$1:$I$89,3,0)*0.475*44/12</f>
        <v>1.4425749444558496</v>
      </c>
      <c r="BR114" s="21">
        <f>EXP(-LN(2)/2)*BR113+(1-EXP(-LN(2)/2))/(LN(2)/2)*BL114*BO114*VLOOKUP('Données projet'!$B$11,Paramètres!$A$1:$I$89,3,0)*0.475*44/12</f>
        <v>1.0356162968001959E-7</v>
      </c>
      <c r="BS114" s="22">
        <f t="shared" si="63"/>
        <v>13.330735546992619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243.99999999999989</v>
      </c>
      <c r="BZ114" s="13">
        <f>BY114*VLOOKUP('Données projet'!$B$12,Paramètres!$A$1:$I$89,3,0)*VLOOKUP('Données projet'!$B$12,Paramètres!$A$1:$I$89,5,0)</f>
        <v>262.64159999999987</v>
      </c>
      <c r="CA114" s="13">
        <f t="shared" si="93"/>
        <v>63.285128621471941</v>
      </c>
      <c r="CB114" s="20">
        <f t="shared" si="64"/>
        <v>567.65571901573003</v>
      </c>
      <c r="CC114" s="59">
        <f t="shared" si="65"/>
        <v>860.98905234906329</v>
      </c>
      <c r="CD114" s="59">
        <f ca="1">AVERAGE(OFFSET($CC$3,0,0,'Données projet'!$E$12+1,1))-AVERAGE(OFFSET($H$3,0,0,'Données projet'!$E$12+1,1))</f>
        <v>244.7364260963538</v>
      </c>
      <c r="CE114" s="59">
        <f t="shared" si="94"/>
        <v>270.32853612539299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13.026886992203016</v>
      </c>
      <c r="CL114" s="21">
        <f>EXP(-LN(2)/25)*CL113+(1-EXP(-LN(2)/25))/(LN(2)/25)*Calculateur!CG114*Calculateur!CI114*VLOOKUP('Données projet'!$B$12,Paramètres!$A$1:$I$89,3,0)*0.475*44/12</f>
        <v>1.5885755992917252</v>
      </c>
      <c r="CM114" s="21">
        <f>EXP(-LN(2)/2)*CM113+(1-EXP(-LN(2)/2))/(LN(2)/2)*CG114*CJ114*VLOOKUP('Données projet'!$B$12,Paramètres!$A$1:$I$89,3,0)*0.475*44/12</f>
        <v>1.0738015932412606E-7</v>
      </c>
      <c r="CN114" s="22">
        <f t="shared" si="66"/>
        <v>14.6154626988749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243.99999999999989</v>
      </c>
      <c r="CU114" s="17">
        <f>CT114*VLOOKUP('Données projet'!$B$13,Paramètres!$A$1:$I$89,3,0)*VLOOKUP('Données projet'!$B$13,Paramètres!$A$1:$I$89,5,0)</f>
        <v>235.99679999999987</v>
      </c>
      <c r="CV114" s="13">
        <f t="shared" si="95"/>
        <v>57.577381127598322</v>
      </c>
      <c r="CW114" s="20">
        <f t="shared" si="67"/>
        <v>511.30836546390015</v>
      </c>
      <c r="CX114" s="59">
        <f t="shared" si="68"/>
        <v>804.6416987972334</v>
      </c>
      <c r="CY114" s="59">
        <f ca="1">AVERAGE(OFFSET($CX$3,0,0,'Données projet'!$E$13+1,1))-AVERAGE(OFFSET($H$3,0,0,'Données projet'!$E$13+1,1))</f>
        <v>216.39536568500222</v>
      </c>
      <c r="CZ114" s="59">
        <f t="shared" si="96"/>
        <v>239.44686980897467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11.705318746617206</v>
      </c>
      <c r="DG114" s="21">
        <f>EXP(-LN(2)/25)*DG113+(1-EXP(-LN(2)/25))/(LN(2)/25)*Calculateur!DB114*Calculateur!DD114*VLOOKUP('Données projet'!$B$13,Paramètres!$A$1:$I$89,3,0)*0.475*44/12</f>
        <v>1.4274157558853175</v>
      </c>
      <c r="DH114" s="21">
        <f>EXP(-LN(2)/2)*DH113+(1-EXP(-LN(2)/2))/(LN(2)/2)*DB114*DE114*VLOOKUP('Données projet'!$B$13,Paramètres!$A$1:$I$89,3,0)*0.475*44/12</f>
        <v>9.6486519972403033E-8</v>
      </c>
      <c r="DI114" s="22">
        <f t="shared" si="69"/>
        <v>13.132734598989042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66.393599999999836</v>
      </c>
      <c r="D115" s="11">
        <f t="shared" si="86"/>
        <v>18.775122997078494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657.44277401253464</v>
      </c>
      <c r="H115" s="67">
        <f t="shared" si="56"/>
        <v>441.66885921991138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4.8</v>
      </c>
      <c r="N115" s="13">
        <f>IF('Données projet'!$A$36&gt;35,N114+M115-V114,IF(A115&lt;'Données projet'!$A$36,$K$205^A115,IF(A115='Données projet'!$A$36,'Données projet'!$B$36,N114+M115-V114)))</f>
        <v>316.59999999999991</v>
      </c>
      <c r="O115" s="13">
        <f>N115*VLOOKUP('Données projet'!$B$9,Paramètres!$A$1:$I$89,3,0)*VLOOKUP('Données projet'!$B$9,Paramètres!$A$1:$I$89,5,0)</f>
        <v>286.45967999999988</v>
      </c>
      <c r="P115" s="13">
        <f t="shared" si="87"/>
        <v>68.330307577101138</v>
      </c>
      <c r="Q115" s="20">
        <f t="shared" si="107"/>
        <v>617.92589503011754</v>
      </c>
      <c r="R115" s="59">
        <f t="shared" si="55"/>
        <v>911.2592283634508</v>
      </c>
      <c r="S115" s="59">
        <f ca="1">AVERAGE(OFFSET($R$3,0,0,'Données projet'!$E$9+1,1))-AVERAGE(OFFSET($H$3,0,0,'Données projet'!$E$9+1,1))</f>
        <v>330.30341204367602</v>
      </c>
      <c r="T115" s="59">
        <f t="shared" si="88"/>
        <v>200.36653694091007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72.665868179859473</v>
      </c>
      <c r="AA115" s="21">
        <f>EXP(-LN(2)/25)*AA114+(1-EXP(-LN(2)/25))/(LN(2)/25)*Calculateur!V115*Calculateur!X115*VLOOKUP('Données projet'!$B$9,Paramètres!$A$1:$I$89,3,0)*0.475*44/12</f>
        <v>3.1578169129300138</v>
      </c>
      <c r="AB115" s="21">
        <f>EXP(-LN(2)/2)*AB114+(1-EXP(-LN(2)/2))/(LN(2)/2)*V115*Y115*VLOOKUP('Données projet'!$B$9,Paramètres!$A$1:$I$89,3,0)*0.475*44/12</f>
        <v>0.78441248515852247</v>
      </c>
      <c r="AC115" s="22">
        <f t="shared" si="57"/>
        <v>76.608097577948016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971.99999999999977</v>
      </c>
      <c r="AJ115" s="13">
        <f>AI115*VLOOKUP('Données projet'!$B$10,Paramètres!$A$1:$I$89,3,0)*VLOOKUP('Données projet'!$B$10,Paramètres!$A$1:$I$89,5,0)</f>
        <v>581.25599999999986</v>
      </c>
      <c r="AK115" s="13">
        <f t="shared" si="89"/>
        <v>127.68713506014205</v>
      </c>
      <c r="AL115" s="20">
        <f t="shared" si="58"/>
        <v>1234.7426268964139</v>
      </c>
      <c r="AM115" s="59">
        <f t="shared" si="59"/>
        <v>1528.0759602297471</v>
      </c>
      <c r="AN115" s="59">
        <f ca="1">AVERAGE(OFFSET($AM$3,0,0,'Données projet'!$E$10+1,1))-AVERAGE(OFFSET($H$3,0,0,'Données projet'!$E$10+1,1))</f>
        <v>465.77577582457678</v>
      </c>
      <c r="AO115" s="59">
        <f t="shared" si="90"/>
        <v>301.15495784503042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22.799197569297043</v>
      </c>
      <c r="AV115" s="21">
        <f>EXP(-LN(2)/25)*AV114+(1-EXP(-LN(2)/25))/(LN(2)/25)*Calculateur!AQ115*Calculateur!AS115*VLOOKUP('Données projet'!$B$10,Paramètres!$A$1:$I$89,3,0)*0.475*44/12</f>
        <v>9.3420382368634645</v>
      </c>
      <c r="AW115" s="21">
        <f>EXP(-LN(2)/2)*AW114+(1-EXP(-LN(2)/2))/(LN(2)/2)*AQ115*AT115*VLOOKUP('Données projet'!$B$10,Paramètres!$A$1:$I$89,3,0)*0.475*44/12</f>
        <v>7.7533735898708784E-7</v>
      </c>
      <c r="AX115" s="21">
        <f t="shared" si="60"/>
        <v>32.141236581497871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273.00000000000023</v>
      </c>
      <c r="BE115" s="13">
        <f>BD115*VLOOKUP('Données projet'!$B$11,Paramètres!$A$1:$I$89,3,0)*VLOOKUP('Données projet'!$B$11,Paramètres!$A$1:$I$89,5,0)</f>
        <v>212.9400000000002</v>
      </c>
      <c r="BF115" s="13">
        <f t="shared" si="91"/>
        <v>52.577528895212915</v>
      </c>
      <c r="BG115" s="20">
        <f t="shared" si="61"/>
        <v>462.44302949249618</v>
      </c>
      <c r="BH115" s="59">
        <f t="shared" si="62"/>
        <v>755.77636282582944</v>
      </c>
      <c r="BI115" s="59">
        <f ca="1">AVERAGE(OFFSET($BH$3,0,0,'Données projet'!$E$11+1,1))-AVERAGE(OFFSET($H$3,0,0,'Données projet'!$E$11+1,1))</f>
        <v>219.5868031007679</v>
      </c>
      <c r="BJ115" s="59">
        <f t="shared" si="92"/>
        <v>263.3830219837742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11.655040922652159</v>
      </c>
      <c r="BQ115" s="21">
        <f>EXP(-LN(2)/25)*BQ114+(1-EXP(-LN(2)/25))/(LN(2)/25)*Calculateur!BL115*Calculateur!BN115*VLOOKUP('Données projet'!$B$11,Paramètres!$A$1:$I$89,3,0)*0.475*44/12</f>
        <v>1.4031276567379851</v>
      </c>
      <c r="BR115" s="21">
        <f>EXP(-LN(2)/2)*BR114+(1-EXP(-LN(2)/2))/(LN(2)/2)*BL115*BO115*VLOOKUP('Données projet'!$B$11,Paramètres!$A$1:$I$89,3,0)*0.475*44/12</f>
        <v>7.3229130617471873E-8</v>
      </c>
      <c r="BS115" s="22">
        <f t="shared" si="63"/>
        <v>13.058168652619274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243.99999999999989</v>
      </c>
      <c r="BZ115" s="13">
        <f>BY115*VLOOKUP('Données projet'!$B$12,Paramètres!$A$1:$I$89,3,0)*VLOOKUP('Données projet'!$B$12,Paramètres!$A$1:$I$89,5,0)</f>
        <v>262.64159999999987</v>
      </c>
      <c r="CA115" s="13">
        <f t="shared" si="93"/>
        <v>63.285128621471941</v>
      </c>
      <c r="CB115" s="20">
        <f t="shared" si="64"/>
        <v>567.65571901573003</v>
      </c>
      <c r="CC115" s="59">
        <f t="shared" si="65"/>
        <v>860.98905234906329</v>
      </c>
      <c r="CD115" s="59">
        <f ca="1">AVERAGE(OFFSET($CC$3,0,0,'Données projet'!$E$12+1,1))-AVERAGE(OFFSET($H$3,0,0,'Données projet'!$E$12+1,1))</f>
        <v>244.7364260963538</v>
      </c>
      <c r="CE115" s="59">
        <f t="shared" si="94"/>
        <v>270.32853612539299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12.771437683902416</v>
      </c>
      <c r="CL115" s="21">
        <f>EXP(-LN(2)/25)*CL114+(1-EXP(-LN(2)/25))/(LN(2)/25)*Calculateur!CG115*Calculateur!CI115*VLOOKUP('Données projet'!$B$12,Paramètres!$A$1:$I$89,3,0)*0.475*44/12</f>
        <v>1.545135915989533</v>
      </c>
      <c r="CM115" s="21">
        <f>EXP(-LN(2)/2)*CM114+(1-EXP(-LN(2)/2))/(LN(2)/2)*CG115*CJ115*VLOOKUP('Données projet'!$B$12,Paramètres!$A$1:$I$89,3,0)*0.475*44/12</f>
        <v>7.5929238822981415E-8</v>
      </c>
      <c r="CN115" s="22">
        <f t="shared" si="66"/>
        <v>14.316573675821187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243.99999999999989</v>
      </c>
      <c r="CU115" s="17">
        <f>CT115*VLOOKUP('Données projet'!$B$13,Paramètres!$A$1:$I$89,3,0)*VLOOKUP('Données projet'!$B$13,Paramètres!$A$1:$I$89,5,0)</f>
        <v>235.99679999999987</v>
      </c>
      <c r="CV115" s="13">
        <f t="shared" si="95"/>
        <v>57.577381127598322</v>
      </c>
      <c r="CW115" s="20">
        <f t="shared" si="67"/>
        <v>511.30836546390015</v>
      </c>
      <c r="CX115" s="59">
        <f t="shared" si="68"/>
        <v>804.6416987972334</v>
      </c>
      <c r="CY115" s="59">
        <f ca="1">AVERAGE(OFFSET($CX$3,0,0,'Données projet'!$E$13+1,1))-AVERAGE(OFFSET($H$3,0,0,'Données projet'!$E$13+1,1))</f>
        <v>216.39536568500222</v>
      </c>
      <c r="CZ115" s="59">
        <f t="shared" si="96"/>
        <v>239.44686980897467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11.475784585535507</v>
      </c>
      <c r="DG115" s="21">
        <f>EXP(-LN(2)/25)*DG114+(1-EXP(-LN(2)/25))/(LN(2)/25)*Calculateur!DB115*Calculateur!DD115*VLOOKUP('Données projet'!$B$13,Paramètres!$A$1:$I$89,3,0)*0.475*44/12</f>
        <v>1.3883829969761012</v>
      </c>
      <c r="DH115" s="21">
        <f>EXP(-LN(2)/2)*DH114+(1-EXP(-LN(2)/2))/(LN(2)/2)*DB115*DE115*VLOOKUP('Données projet'!$B$13,Paramètres!$A$1:$I$89,3,0)*0.475*44/12</f>
        <v>6.8226272565577437E-8</v>
      </c>
      <c r="DI115" s="22">
        <f t="shared" si="69"/>
        <v>12.864167650737881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66.986399999999833</v>
      </c>
      <c r="D116" s="11">
        <f t="shared" si="86"/>
        <v>18.923168590565947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663.16158210261312</v>
      </c>
      <c r="H116" s="67">
        <f t="shared" si="56"/>
        <v>442.95916529523538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4.8</v>
      </c>
      <c r="N116" s="13">
        <f>IF('Données projet'!$A$36&gt;35,N115+M116-V115,IF(A116&lt;'Données projet'!$A$36,$K$205^A116,IF(A116='Données projet'!$A$36,'Données projet'!$B$36,N115+M116-V115)))</f>
        <v>321.39999999999992</v>
      </c>
      <c r="O116" s="13">
        <f>N116*VLOOKUP('Données projet'!$B$9,Paramètres!$A$1:$I$89,3,0)*VLOOKUP('Données projet'!$B$9,Paramètres!$A$1:$I$89,5,0)</f>
        <v>290.80271999999991</v>
      </c>
      <c r="P116" s="13">
        <f t="shared" si="87"/>
        <v>69.244880157128961</v>
      </c>
      <c r="Q116" s="20">
        <f t="shared" si="107"/>
        <v>627.08290360699937</v>
      </c>
      <c r="R116" s="59">
        <f t="shared" si="55"/>
        <v>920.41623694033274</v>
      </c>
      <c r="S116" s="59">
        <f ca="1">AVERAGE(OFFSET($R$3,0,0,'Données projet'!$E$9+1,1))-AVERAGE(OFFSET($H$3,0,0,'Données projet'!$E$9+1,1))</f>
        <v>330.30341204367602</v>
      </c>
      <c r="T116" s="59">
        <f t="shared" si="88"/>
        <v>200.36653694091007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71.240934826655604</v>
      </c>
      <c r="AA116" s="21">
        <f>EXP(-LN(2)/25)*AA115+(1-EXP(-LN(2)/25))/(LN(2)/25)*Calculateur!V116*Calculateur!X116*VLOOKUP('Données projet'!$B$9,Paramètres!$A$1:$I$89,3,0)*0.475*44/12</f>
        <v>3.0714662433835684</v>
      </c>
      <c r="AB116" s="21">
        <f>EXP(-LN(2)/2)*AB115+(1-EXP(-LN(2)/2))/(LN(2)/2)*V116*Y116*VLOOKUP('Données projet'!$B$9,Paramètres!$A$1:$I$89,3,0)*0.475*44/12</f>
        <v>0.55466338750298338</v>
      </c>
      <c r="AC116" s="22">
        <f t="shared" si="57"/>
        <v>74.867064457542156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971.99999999999977</v>
      </c>
      <c r="AJ116" s="13">
        <f>AI116*VLOOKUP('Données projet'!$B$10,Paramètres!$A$1:$I$89,3,0)*VLOOKUP('Données projet'!$B$10,Paramètres!$A$1:$I$89,5,0)</f>
        <v>581.25599999999986</v>
      </c>
      <c r="AK116" s="13">
        <f t="shared" si="89"/>
        <v>127.68713506014205</v>
      </c>
      <c r="AL116" s="20">
        <f t="shared" si="58"/>
        <v>1234.7426268964139</v>
      </c>
      <c r="AM116" s="59">
        <f t="shared" si="59"/>
        <v>1528.0759602297471</v>
      </c>
      <c r="AN116" s="59">
        <f ca="1">AVERAGE(OFFSET($AM$3,0,0,'Données projet'!$E$10+1,1))-AVERAGE(OFFSET($H$3,0,0,'Données projet'!$E$10+1,1))</f>
        <v>465.77577582457678</v>
      </c>
      <c r="AO116" s="59">
        <f t="shared" si="90"/>
        <v>301.15495784503042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22.352119211100529</v>
      </c>
      <c r="AV116" s="21">
        <f>EXP(-LN(2)/25)*AV115+(1-EXP(-LN(2)/25))/(LN(2)/25)*Calculateur!AQ116*Calculateur!AS116*VLOOKUP('Données projet'!$B$10,Paramètres!$A$1:$I$89,3,0)*0.475*44/12</f>
        <v>9.0865797099999934</v>
      </c>
      <c r="AW116" s="21">
        <f>EXP(-LN(2)/2)*AW115+(1-EXP(-LN(2)/2))/(LN(2)/2)*AQ116*AT116*VLOOKUP('Données projet'!$B$10,Paramètres!$A$1:$I$89,3,0)*0.475*44/12</f>
        <v>5.4824630424703837E-7</v>
      </c>
      <c r="AX116" s="21">
        <f t="shared" si="60"/>
        <v>31.43869946934683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273.00000000000023</v>
      </c>
      <c r="BE116" s="13">
        <f>BD116*VLOOKUP('Données projet'!$B$11,Paramètres!$A$1:$I$89,3,0)*VLOOKUP('Données projet'!$B$11,Paramètres!$A$1:$I$89,5,0)</f>
        <v>212.9400000000002</v>
      </c>
      <c r="BF116" s="13">
        <f t="shared" si="91"/>
        <v>52.577528895212915</v>
      </c>
      <c r="BG116" s="20">
        <f t="shared" si="61"/>
        <v>462.44302949249618</v>
      </c>
      <c r="BH116" s="59">
        <f t="shared" si="62"/>
        <v>755.77636282582944</v>
      </c>
      <c r="BI116" s="59">
        <f ca="1">AVERAGE(OFFSET($BH$3,0,0,'Données projet'!$E$11+1,1))-AVERAGE(OFFSET($H$3,0,0,'Données projet'!$E$11+1,1))</f>
        <v>219.5868031007679</v>
      </c>
      <c r="BJ116" s="59">
        <f t="shared" si="92"/>
        <v>263.3830219837742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11.42649267903197</v>
      </c>
      <c r="BQ116" s="21">
        <f>EXP(-LN(2)/25)*BQ115+(1-EXP(-LN(2)/25))/(LN(2)/25)*Calculateur!BL116*Calculateur!BN116*VLOOKUP('Données projet'!$B$11,Paramètres!$A$1:$I$89,3,0)*0.475*44/12</f>
        <v>1.3647590571772084</v>
      </c>
      <c r="BR116" s="21">
        <f>EXP(-LN(2)/2)*BR115+(1-EXP(-LN(2)/2))/(LN(2)/2)*BL116*BO116*VLOOKUP('Données projet'!$B$11,Paramètres!$A$1:$I$89,3,0)*0.475*44/12</f>
        <v>5.1780814840009793E-8</v>
      </c>
      <c r="BS116" s="22">
        <f t="shared" si="63"/>
        <v>12.791251787989992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243.99999999999989</v>
      </c>
      <c r="BZ116" s="13">
        <f>BY116*VLOOKUP('Données projet'!$B$12,Paramètres!$A$1:$I$89,3,0)*VLOOKUP('Données projet'!$B$12,Paramètres!$A$1:$I$89,5,0)</f>
        <v>262.64159999999987</v>
      </c>
      <c r="CA116" s="13">
        <f t="shared" si="93"/>
        <v>63.285128621471941</v>
      </c>
      <c r="CB116" s="20">
        <f t="shared" si="64"/>
        <v>567.65571901573003</v>
      </c>
      <c r="CC116" s="59">
        <f t="shared" si="65"/>
        <v>860.98905234906329</v>
      </c>
      <c r="CD116" s="59">
        <f ca="1">AVERAGE(OFFSET($CC$3,0,0,'Données projet'!$E$12+1,1))-AVERAGE(OFFSET($H$3,0,0,'Données projet'!$E$12+1,1))</f>
        <v>244.7364260963538</v>
      </c>
      <c r="CE116" s="59">
        <f t="shared" si="94"/>
        <v>270.32853612539299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12.520997580728897</v>
      </c>
      <c r="CL116" s="21">
        <f>EXP(-LN(2)/25)*CL115+(1-EXP(-LN(2)/25))/(LN(2)/25)*Calculateur!CG116*Calculateur!CI116*VLOOKUP('Données projet'!$B$12,Paramètres!$A$1:$I$89,3,0)*0.475*44/12</f>
        <v>1.502884093111633</v>
      </c>
      <c r="CM116" s="21">
        <f>EXP(-LN(2)/2)*CM115+(1-EXP(-LN(2)/2))/(LN(2)/2)*CG116*CJ116*VLOOKUP('Données projet'!$B$12,Paramètres!$A$1:$I$89,3,0)*0.475*44/12</f>
        <v>5.3690079662063029E-8</v>
      </c>
      <c r="CN116" s="22">
        <f t="shared" si="66"/>
        <v>14.023881727530611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243.99999999999989</v>
      </c>
      <c r="CU116" s="17">
        <f>CT116*VLOOKUP('Données projet'!$B$13,Paramètres!$A$1:$I$89,3,0)*VLOOKUP('Données projet'!$B$13,Paramètres!$A$1:$I$89,5,0)</f>
        <v>235.99679999999987</v>
      </c>
      <c r="CV116" s="13">
        <f t="shared" si="95"/>
        <v>57.577381127598322</v>
      </c>
      <c r="CW116" s="20">
        <f t="shared" si="67"/>
        <v>511.30836546390015</v>
      </c>
      <c r="CX116" s="59">
        <f t="shared" si="68"/>
        <v>804.6416987972334</v>
      </c>
      <c r="CY116" s="59">
        <f ca="1">AVERAGE(OFFSET($CX$3,0,0,'Données projet'!$E$13+1,1))-AVERAGE(OFFSET($H$3,0,0,'Données projet'!$E$13+1,1))</f>
        <v>216.39536568500222</v>
      </c>
      <c r="CZ116" s="59">
        <f t="shared" si="96"/>
        <v>239.44686980897467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11.250751449350606</v>
      </c>
      <c r="DG116" s="21">
        <f>EXP(-LN(2)/25)*DG115+(1-EXP(-LN(2)/25))/(LN(2)/25)*Calculateur!DB116*Calculateur!DD116*VLOOKUP('Données projet'!$B$13,Paramètres!$A$1:$I$89,3,0)*0.475*44/12</f>
        <v>1.3504175909119012</v>
      </c>
      <c r="DH116" s="21">
        <f>EXP(-LN(2)/2)*DH115+(1-EXP(-LN(2)/2))/(LN(2)/2)*DB116*DE116*VLOOKUP('Données projet'!$B$13,Paramètres!$A$1:$I$89,3,0)*0.475*44/12</f>
        <v>4.8243259986201516E-8</v>
      </c>
      <c r="DI116" s="22">
        <f t="shared" si="69"/>
        <v>12.601169088505767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67.57919999999983</v>
      </c>
      <c r="D117" s="11">
        <f t="shared" si="86"/>
        <v>19.071061760403797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668.87921358908068</v>
      </c>
      <c r="H117" s="67">
        <f t="shared" si="56"/>
        <v>444.2492058993696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4.8</v>
      </c>
      <c r="N117" s="13">
        <f>IF('Données projet'!$A$36&gt;35,N116+M117-V116,IF(A117&lt;'Données projet'!$A$36,$K$205^A117,IF(A117='Données projet'!$A$36,'Données projet'!$B$36,N116+M117-V116)))</f>
        <v>326.19999999999993</v>
      </c>
      <c r="O117" s="13">
        <f>N117*VLOOKUP('Données projet'!$B$9,Paramètres!$A$1:$I$89,3,0)*VLOOKUP('Données projet'!$B$9,Paramètres!$A$1:$I$89,5,0)</f>
        <v>295.14575999999994</v>
      </c>
      <c r="P117" s="13">
        <f t="shared" si="87"/>
        <v>70.157864167878188</v>
      </c>
      <c r="Q117" s="20">
        <f t="shared" si="107"/>
        <v>636.237145425721</v>
      </c>
      <c r="R117" s="59">
        <f t="shared" si="55"/>
        <v>929.57047875905437</v>
      </c>
      <c r="S117" s="59">
        <f ca="1">AVERAGE(OFFSET($R$3,0,0,'Données projet'!$E$9+1,1))-AVERAGE(OFFSET($H$3,0,0,'Données projet'!$E$9+1,1))</f>
        <v>330.30341204367602</v>
      </c>
      <c r="T117" s="59">
        <f t="shared" si="88"/>
        <v>200.36653694091007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69.843943547384541</v>
      </c>
      <c r="AA117" s="21">
        <f>EXP(-LN(2)/25)*AA116+(1-EXP(-LN(2)/25))/(LN(2)/25)*Calculateur!V117*Calculateur!X117*VLOOKUP('Données projet'!$B$9,Paramètres!$A$1:$I$89,3,0)*0.475*44/12</f>
        <v>2.987476837436855</v>
      </c>
      <c r="AB117" s="21">
        <f>EXP(-LN(2)/2)*AB116+(1-EXP(-LN(2)/2))/(LN(2)/2)*V117*Y117*VLOOKUP('Données projet'!$B$9,Paramètres!$A$1:$I$89,3,0)*0.475*44/12</f>
        <v>0.39220624257926134</v>
      </c>
      <c r="AC117" s="22">
        <f t="shared" si="57"/>
        <v>73.223626627400662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971.99999999999977</v>
      </c>
      <c r="AJ117" s="13">
        <f>AI117*VLOOKUP('Données projet'!$B$10,Paramètres!$A$1:$I$89,3,0)*VLOOKUP('Données projet'!$B$10,Paramètres!$A$1:$I$89,5,0)</f>
        <v>581.25599999999986</v>
      </c>
      <c r="AK117" s="13">
        <f t="shared" si="89"/>
        <v>127.68713506014205</v>
      </c>
      <c r="AL117" s="20">
        <f t="shared" si="58"/>
        <v>1234.7426268964139</v>
      </c>
      <c r="AM117" s="59">
        <f t="shared" si="59"/>
        <v>1528.0759602297471</v>
      </c>
      <c r="AN117" s="59">
        <f ca="1">AVERAGE(OFFSET($AM$3,0,0,'Données projet'!$E$10+1,1))-AVERAGE(OFFSET($H$3,0,0,'Données projet'!$E$10+1,1))</f>
        <v>465.77577582457678</v>
      </c>
      <c r="AO117" s="59">
        <f t="shared" si="90"/>
        <v>301.15495784503042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21.913807786817376</v>
      </c>
      <c r="AV117" s="21">
        <f>EXP(-LN(2)/25)*AV116+(1-EXP(-LN(2)/25))/(LN(2)/25)*Calculateur!AQ117*Calculateur!AS117*VLOOKUP('Données projet'!$B$10,Paramètres!$A$1:$I$89,3,0)*0.475*44/12</f>
        <v>8.838106709987585</v>
      </c>
      <c r="AW117" s="21">
        <f>EXP(-LN(2)/2)*AW116+(1-EXP(-LN(2)/2))/(LN(2)/2)*AQ117*AT117*VLOOKUP('Données projet'!$B$10,Paramètres!$A$1:$I$89,3,0)*0.475*44/12</f>
        <v>3.8766867949354392E-7</v>
      </c>
      <c r="AX117" s="21">
        <f t="shared" si="60"/>
        <v>30.751914884473642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273.00000000000023</v>
      </c>
      <c r="BE117" s="13">
        <f>BD117*VLOOKUP('Données projet'!$B$11,Paramètres!$A$1:$I$89,3,0)*VLOOKUP('Données projet'!$B$11,Paramètres!$A$1:$I$89,5,0)</f>
        <v>212.9400000000002</v>
      </c>
      <c r="BF117" s="13">
        <f t="shared" si="91"/>
        <v>52.577528895212915</v>
      </c>
      <c r="BG117" s="20">
        <f t="shared" si="61"/>
        <v>462.44302949249618</v>
      </c>
      <c r="BH117" s="59">
        <f t="shared" si="62"/>
        <v>755.77636282582944</v>
      </c>
      <c r="BI117" s="59">
        <f ca="1">AVERAGE(OFFSET($BH$3,0,0,'Données projet'!$E$11+1,1))-AVERAGE(OFFSET($H$3,0,0,'Données projet'!$E$11+1,1))</f>
        <v>219.5868031007679</v>
      </c>
      <c r="BJ117" s="59">
        <f t="shared" si="92"/>
        <v>263.3830219837742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11.202426127068509</v>
      </c>
      <c r="BQ117" s="21">
        <f>EXP(-LN(2)/25)*BQ116+(1-EXP(-LN(2)/25))/(LN(2)/25)*Calculateur!BL117*Calculateur!BN117*VLOOKUP('Données projet'!$B$11,Paramètres!$A$1:$I$89,3,0)*0.475*44/12</f>
        <v>1.327439648989138</v>
      </c>
      <c r="BR117" s="21">
        <f>EXP(-LN(2)/2)*BR116+(1-EXP(-LN(2)/2))/(LN(2)/2)*BL117*BO117*VLOOKUP('Données projet'!$B$11,Paramètres!$A$1:$I$89,3,0)*0.475*44/12</f>
        <v>3.6614565308735937E-8</v>
      </c>
      <c r="BS117" s="22">
        <f t="shared" si="63"/>
        <v>12.529865812672213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243.99999999999989</v>
      </c>
      <c r="BZ117" s="13">
        <f>BY117*VLOOKUP('Données projet'!$B$12,Paramètres!$A$1:$I$89,3,0)*VLOOKUP('Données projet'!$B$12,Paramètres!$A$1:$I$89,5,0)</f>
        <v>262.64159999999987</v>
      </c>
      <c r="CA117" s="13">
        <f t="shared" si="93"/>
        <v>63.285128621471941</v>
      </c>
      <c r="CB117" s="20">
        <f t="shared" si="64"/>
        <v>567.65571901573003</v>
      </c>
      <c r="CC117" s="59">
        <f t="shared" si="65"/>
        <v>860.98905234906329</v>
      </c>
      <c r="CD117" s="59">
        <f ca="1">AVERAGE(OFFSET($CC$3,0,0,'Données projet'!$E$12+1,1))-AVERAGE(OFFSET($H$3,0,0,'Données projet'!$E$12+1,1))</f>
        <v>244.7364260963538</v>
      </c>
      <c r="CE117" s="59">
        <f t="shared" si="94"/>
        <v>270.32853612539299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12.275468455225232</v>
      </c>
      <c r="CL117" s="21">
        <f>EXP(-LN(2)/25)*CL116+(1-EXP(-LN(2)/25))/(LN(2)/25)*Calculateur!CG117*Calculateur!CI117*VLOOKUP('Données projet'!$B$12,Paramètres!$A$1:$I$89,3,0)*0.475*44/12</f>
        <v>1.4617876485522558</v>
      </c>
      <c r="CM117" s="21">
        <f>EXP(-LN(2)/2)*CM116+(1-EXP(-LN(2)/2))/(LN(2)/2)*CG117*CJ117*VLOOKUP('Données projet'!$B$12,Paramètres!$A$1:$I$89,3,0)*0.475*44/12</f>
        <v>3.7964619411490707E-8</v>
      </c>
      <c r="CN117" s="22">
        <f t="shared" si="66"/>
        <v>13.737256141742108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243.99999999999989</v>
      </c>
      <c r="CU117" s="17">
        <f>CT117*VLOOKUP('Données projet'!$B$13,Paramètres!$A$1:$I$89,3,0)*VLOOKUP('Données projet'!$B$13,Paramètres!$A$1:$I$89,5,0)</f>
        <v>235.99679999999987</v>
      </c>
      <c r="CV117" s="13">
        <f t="shared" si="95"/>
        <v>57.577381127598322</v>
      </c>
      <c r="CW117" s="20">
        <f t="shared" si="67"/>
        <v>511.30836546390015</v>
      </c>
      <c r="CX117" s="59">
        <f t="shared" si="68"/>
        <v>804.6416987972334</v>
      </c>
      <c r="CY117" s="59">
        <f ca="1">AVERAGE(OFFSET($CX$3,0,0,'Données projet'!$E$13+1,1))-AVERAGE(OFFSET($H$3,0,0,'Données projet'!$E$13+1,1))</f>
        <v>216.39536568500222</v>
      </c>
      <c r="CZ117" s="59">
        <f t="shared" si="96"/>
        <v>239.44686980897467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11.030131075709631</v>
      </c>
      <c r="DG117" s="21">
        <f>EXP(-LN(2)/25)*DG116+(1-EXP(-LN(2)/25))/(LN(2)/25)*Calculateur!DB117*Calculateur!DD117*VLOOKUP('Données projet'!$B$13,Paramètres!$A$1:$I$89,3,0)*0.475*44/12</f>
        <v>1.3134903508730404</v>
      </c>
      <c r="DH117" s="21">
        <f>EXP(-LN(2)/2)*DH116+(1-EXP(-LN(2)/2))/(LN(2)/2)*DB117*DE117*VLOOKUP('Données projet'!$B$13,Paramètres!$A$1:$I$89,3,0)*0.475*44/12</f>
        <v>3.4113136282788719E-8</v>
      </c>
      <c r="DI117" s="22">
        <f t="shared" si="69"/>
        <v>12.343621460695807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68.171999999999827</v>
      </c>
      <c r="D118" s="11">
        <f t="shared" si="86"/>
        <v>19.218803998550797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674.59567998881187</v>
      </c>
      <c r="H118" s="67">
        <f t="shared" si="56"/>
        <v>445.53898363080896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331</v>
      </c>
      <c r="L118" s="12">
        <f>VLOOKUP(A118,'Données projet'!$A$35:$I$55,9,0)</f>
        <v>4.8</v>
      </c>
      <c r="M118" s="12">
        <f t="array" ref="M118">INDEX(L:L,MIN(IF(ISNUMBER(L118:L314),ROW(L118:L314),"")))</f>
        <v>4.8</v>
      </c>
      <c r="N118" s="13">
        <f>IF('Données projet'!$A$36&gt;35,N117+M118-V117,IF(A118&lt;'Données projet'!$A$36,$K$205^A118,IF(A118='Données projet'!$A$36,'Données projet'!$B$36,N117+M118-V117)))</f>
        <v>330.99999999999994</v>
      </c>
      <c r="O118" s="13">
        <f>N118*VLOOKUP('Données projet'!$B$9,Paramètres!$A$1:$I$89,3,0)*VLOOKUP('Données projet'!$B$9,Paramètres!$A$1:$I$89,5,0)</f>
        <v>299.48879999999997</v>
      </c>
      <c r="P118" s="13">
        <f t="shared" si="87"/>
        <v>71.069285685467293</v>
      </c>
      <c r="Q118" s="20">
        <f t="shared" si="107"/>
        <v>645.38866590218879</v>
      </c>
      <c r="R118" s="59">
        <f t="shared" si="55"/>
        <v>938.72199923552216</v>
      </c>
      <c r="S118" s="59">
        <f ca="1">AVERAGE(OFFSET($R$3,0,0,'Données projet'!$E$9+1,1))-AVERAGE(OFFSET($H$3,0,0,'Données projet'!$E$9+1,1))</f>
        <v>330.30341204367602</v>
      </c>
      <c r="T118" s="59">
        <f t="shared" si="88"/>
        <v>200.36653694091007</v>
      </c>
      <c r="U118" s="15">
        <f>IF(ISNA(VLOOKUP(A118,'Données projet'!$A$35:$I$55,3,0)),0,VLOOKUP(A118,'Données projet'!$A$35:$I$55,3,0))</f>
        <v>20</v>
      </c>
      <c r="V118" s="15">
        <f>IF(ISNA(VLOOKUP(A118,'Données projet'!$A$35:$I$55,4,0)),0,VLOOKUP(A118,'Données projet'!$A$35:$I$55,4,0))</f>
        <v>24</v>
      </c>
      <c r="W118" s="16">
        <f>IF(ISNA(VLOOKUP(A118,'Données projet'!$A$35:$I$55,5,0)),0%,VLOOKUP(A118,'Données projet'!$A$35:$I$55,5,0)*VLOOKUP('Données projet'!$B$9,Paramètres!$A$1:$I$89,7,0))</f>
        <v>0.34400000000000003</v>
      </c>
      <c r="X118" s="16">
        <f>IF(ISNA(VLOOKUP(A118,'Données projet'!$A$35:$I$55,6,0)),0%,VLOOKUP(A118,'Données projet'!$A$35:$I$55,6,0)*VLOOKUP('Données projet'!$B$9,Paramètres!$A$1:$I$89,7,0))</f>
        <v>1.72E-2</v>
      </c>
      <c r="Y118" s="16">
        <f>IF(ISNA(VLOOKUP(A118,'Données projet'!$A$35:$I$55,7,0)),0%,VLOOKUP(A118,'Données projet'!$A$35:$I$55,7,0))</f>
        <v>0.06</v>
      </c>
      <c r="Z118" s="21">
        <f>EXP(-LN(2)/35)*Z117+(1-EXP(-LN(2)/35))/(LN(2)/35)*V118*W118*VLOOKUP('Données projet'!$B$9,Paramètres!$A$1:$I$89,3,0)*0.475*44/12</f>
        <v>76.732241987677511</v>
      </c>
      <c r="AA118" s="21">
        <f>EXP(-LN(2)/25)*AA117+(1-EXP(-LN(2)/25))/(LN(2)/25)*Calculateur!V118*Calculateur!X118*VLOOKUP('Données projet'!$B$9,Paramètres!$A$1:$I$89,3,0)*0.475*44/12</f>
        <v>3.3170531807767465</v>
      </c>
      <c r="AB118" s="21">
        <f>EXP(-LN(2)/2)*AB117+(1-EXP(-LN(2)/2))/(LN(2)/2)*V118*Y118*VLOOKUP('Données projet'!$B$9,Paramètres!$A$1:$I$89,3,0)*0.475*44/12</f>
        <v>1.5066642331138271</v>
      </c>
      <c r="AC118" s="22">
        <f t="shared" si="57"/>
        <v>81.555959401568089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971.99999999999977</v>
      </c>
      <c r="AJ118" s="13">
        <f>AI118*VLOOKUP('Données projet'!$B$10,Paramètres!$A$1:$I$89,3,0)*VLOOKUP('Données projet'!$B$10,Paramètres!$A$1:$I$89,5,0)</f>
        <v>581.25599999999986</v>
      </c>
      <c r="AK118" s="13">
        <f t="shared" si="89"/>
        <v>127.68713506014205</v>
      </c>
      <c r="AL118" s="20">
        <f t="shared" si="58"/>
        <v>1234.7426268964139</v>
      </c>
      <c r="AM118" s="59">
        <f t="shared" si="59"/>
        <v>1528.0759602297471</v>
      </c>
      <c r="AN118" s="59">
        <f ca="1">AVERAGE(OFFSET($AM$3,0,0,'Données projet'!$E$10+1,1))-AVERAGE(OFFSET($H$3,0,0,'Données projet'!$E$10+1,1))</f>
        <v>465.77577582457678</v>
      </c>
      <c r="AO118" s="59">
        <f t="shared" si="90"/>
        <v>301.15495784503042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21.484091382220843</v>
      </c>
      <c r="AV118" s="21">
        <f>EXP(-LN(2)/25)*AV117+(1-EXP(-LN(2)/25))/(LN(2)/25)*Calculateur!AQ118*Calculateur!AS118*VLOOKUP('Données projet'!$B$10,Paramètres!$A$1:$I$89,3,0)*0.475*44/12</f>
        <v>8.5964282172271425</v>
      </c>
      <c r="AW118" s="21">
        <f>EXP(-LN(2)/2)*AW117+(1-EXP(-LN(2)/2))/(LN(2)/2)*AQ118*AT118*VLOOKUP('Données projet'!$B$10,Paramètres!$A$1:$I$89,3,0)*0.475*44/12</f>
        <v>2.7412315212351918E-7</v>
      </c>
      <c r="AX118" s="21">
        <f t="shared" si="60"/>
        <v>30.080519873571138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273.00000000000023</v>
      </c>
      <c r="BE118" s="13">
        <f>BD118*VLOOKUP('Données projet'!$B$11,Paramètres!$A$1:$I$89,3,0)*VLOOKUP('Données projet'!$B$11,Paramètres!$A$1:$I$89,5,0)</f>
        <v>212.9400000000002</v>
      </c>
      <c r="BF118" s="13">
        <f t="shared" si="91"/>
        <v>52.577528895212915</v>
      </c>
      <c r="BG118" s="20">
        <f t="shared" si="61"/>
        <v>462.44302949249618</v>
      </c>
      <c r="BH118" s="59">
        <f t="shared" si="62"/>
        <v>755.77636282582944</v>
      </c>
      <c r="BI118" s="59">
        <f ca="1">AVERAGE(OFFSET($BH$3,0,0,'Données projet'!$E$11+1,1))-AVERAGE(OFFSET($H$3,0,0,'Données projet'!$E$11+1,1))</f>
        <v>219.5868031007679</v>
      </c>
      <c r="BJ118" s="59">
        <f t="shared" si="92"/>
        <v>263.3830219837742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10.982753383521951</v>
      </c>
      <c r="BQ118" s="21">
        <f>EXP(-LN(2)/25)*BQ117+(1-EXP(-LN(2)/25))/(LN(2)/25)*Calculateur!BL118*Calculateur!BN118*VLOOKUP('Données projet'!$B$11,Paramètres!$A$1:$I$89,3,0)*0.475*44/12</f>
        <v>1.2911407419805128</v>
      </c>
      <c r="BR118" s="21">
        <f>EXP(-LN(2)/2)*BR117+(1-EXP(-LN(2)/2))/(LN(2)/2)*BL118*BO118*VLOOKUP('Données projet'!$B$11,Paramètres!$A$1:$I$89,3,0)*0.475*44/12</f>
        <v>2.5890407420004896E-8</v>
      </c>
      <c r="BS118" s="22">
        <f t="shared" si="63"/>
        <v>12.273894151392872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243.99999999999989</v>
      </c>
      <c r="BZ118" s="13">
        <f>BY118*VLOOKUP('Données projet'!$B$12,Paramètres!$A$1:$I$89,3,0)*VLOOKUP('Données projet'!$B$12,Paramètres!$A$1:$I$89,5,0)</f>
        <v>262.64159999999987</v>
      </c>
      <c r="CA118" s="13">
        <f t="shared" si="93"/>
        <v>63.285128621471941</v>
      </c>
      <c r="CB118" s="20">
        <f t="shared" si="64"/>
        <v>567.65571901573003</v>
      </c>
      <c r="CC118" s="59">
        <f t="shared" si="65"/>
        <v>860.98905234906329</v>
      </c>
      <c r="CD118" s="59">
        <f ca="1">AVERAGE(OFFSET($CC$3,0,0,'Données projet'!$E$12+1,1))-AVERAGE(OFFSET($H$3,0,0,'Données projet'!$E$12+1,1))</f>
        <v>244.7364260963538</v>
      </c>
      <c r="CE118" s="59">
        <f t="shared" si="94"/>
        <v>270.32853612539299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12.034754006114714</v>
      </c>
      <c r="CL118" s="21">
        <f>EXP(-LN(2)/25)*CL117+(1-EXP(-LN(2)/25))/(LN(2)/25)*Calculateur!CG118*Calculateur!CI118*VLOOKUP('Données projet'!$B$12,Paramètres!$A$1:$I$89,3,0)*0.475*44/12</f>
        <v>1.4218149884305229</v>
      </c>
      <c r="CM118" s="21">
        <f>EXP(-LN(2)/2)*CM117+(1-EXP(-LN(2)/2))/(LN(2)/2)*CG118*CJ118*VLOOKUP('Données projet'!$B$12,Paramètres!$A$1:$I$89,3,0)*0.475*44/12</f>
        <v>2.6845039831031515E-8</v>
      </c>
      <c r="CN118" s="22">
        <f t="shared" si="66"/>
        <v>13.456569021390276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243.99999999999989</v>
      </c>
      <c r="CU118" s="17">
        <f>CT118*VLOOKUP('Données projet'!$B$13,Paramètres!$A$1:$I$89,3,0)*VLOOKUP('Données projet'!$B$13,Paramètres!$A$1:$I$89,5,0)</f>
        <v>235.99679999999987</v>
      </c>
      <c r="CV118" s="13">
        <f t="shared" si="95"/>
        <v>57.577381127598322</v>
      </c>
      <c r="CW118" s="20">
        <f t="shared" si="67"/>
        <v>511.30836546390015</v>
      </c>
      <c r="CX118" s="59">
        <f t="shared" si="68"/>
        <v>804.6416987972334</v>
      </c>
      <c r="CY118" s="59">
        <f ca="1">AVERAGE(OFFSET($CX$3,0,0,'Données projet'!$E$13+1,1))-AVERAGE(OFFSET($H$3,0,0,'Données projet'!$E$13+1,1))</f>
        <v>216.39536568500222</v>
      </c>
      <c r="CZ118" s="59">
        <f t="shared" si="96"/>
        <v>239.44686980897467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10.813836933030615</v>
      </c>
      <c r="DG118" s="21">
        <f>EXP(-LN(2)/25)*DG117+(1-EXP(-LN(2)/25))/(LN(2)/25)*Calculateur!DB118*Calculateur!DD118*VLOOKUP('Données projet'!$B$13,Paramètres!$A$1:$I$89,3,0)*0.475*44/12</f>
        <v>1.2775728881549617</v>
      </c>
      <c r="DH118" s="21">
        <f>EXP(-LN(2)/2)*DH117+(1-EXP(-LN(2)/2))/(LN(2)/2)*DB118*DE118*VLOOKUP('Données projet'!$B$13,Paramètres!$A$1:$I$89,3,0)*0.475*44/12</f>
        <v>2.4121629993100758E-8</v>
      </c>
      <c r="DI118" s="22">
        <f t="shared" si="69"/>
        <v>12.091409845307206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68.764799999999823</v>
      </c>
      <c r="D119" s="11">
        <f t="shared" si="86"/>
        <v>19.366396769521327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680.31099260682993</v>
      </c>
      <c r="H119" s="67">
        <f t="shared" si="56"/>
        <v>446.82850104024931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306.99999999999994</v>
      </c>
      <c r="O119" s="13">
        <f>N119*VLOOKUP('Données projet'!$B$9,Paramètres!$A$1:$I$89,3,0)*VLOOKUP('Données projet'!$B$9,Paramètres!$A$1:$I$89,5,0)</f>
        <v>277.77359999999993</v>
      </c>
      <c r="P119" s="13">
        <f t="shared" si="87"/>
        <v>66.496288176842356</v>
      </c>
      <c r="Q119" s="20">
        <f t="shared" si="107"/>
        <v>599.60338857466706</v>
      </c>
      <c r="R119" s="59">
        <f t="shared" si="55"/>
        <v>892.93672190800044</v>
      </c>
      <c r="S119" s="59">
        <f ca="1">AVERAGE(OFFSET($R$3,0,0,'Données projet'!$E$9+1,1))-AVERAGE(OFFSET($H$3,0,0,'Données projet'!$E$9+1,1))</f>
        <v>330.30341204367602</v>
      </c>
      <c r="T119" s="59">
        <f t="shared" si="88"/>
        <v>200.36653694091007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75.227569524345455</v>
      </c>
      <c r="AA119" s="21">
        <f>EXP(-LN(2)/25)*AA118+(1-EXP(-LN(2)/25))/(LN(2)/25)*Calculateur!V119*Calculateur!X119*VLOOKUP('Données projet'!$B$9,Paramètres!$A$1:$I$89,3,0)*0.475*44/12</f>
        <v>3.2263481871121606</v>
      </c>
      <c r="AB119" s="21">
        <f>EXP(-LN(2)/2)*AB118+(1-EXP(-LN(2)/2))/(LN(2)/2)*V119*Y119*VLOOKUP('Données projet'!$B$9,Paramètres!$A$1:$I$89,3,0)*0.475*44/12</f>
        <v>1.0653724962060165</v>
      </c>
      <c r="AC119" s="22">
        <f t="shared" si="57"/>
        <v>79.51929020766363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971.99999999999977</v>
      </c>
      <c r="AJ119" s="13">
        <f>AI119*VLOOKUP('Données projet'!$B$10,Paramètres!$A$1:$I$89,3,0)*VLOOKUP('Données projet'!$B$10,Paramètres!$A$1:$I$89,5,0)</f>
        <v>581.25599999999986</v>
      </c>
      <c r="AK119" s="13">
        <f t="shared" si="89"/>
        <v>127.68713506014205</v>
      </c>
      <c r="AL119" s="20">
        <f t="shared" si="58"/>
        <v>1234.7426268964139</v>
      </c>
      <c r="AM119" s="59">
        <f t="shared" si="59"/>
        <v>1528.0759602297471</v>
      </c>
      <c r="AN119" s="59">
        <f ca="1">AVERAGE(OFFSET($AM$3,0,0,'Données projet'!$E$10+1,1))-AVERAGE(OFFSET($H$3,0,0,'Données projet'!$E$10+1,1))</f>
        <v>465.77577582457678</v>
      </c>
      <c r="AO119" s="59">
        <f t="shared" si="90"/>
        <v>301.15495784503042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21.062801454217322</v>
      </c>
      <c r="AV119" s="21">
        <f>EXP(-LN(2)/25)*AV118+(1-EXP(-LN(2)/25))/(LN(2)/25)*Calculateur!AQ119*Calculateur!AS119*VLOOKUP('Données projet'!$B$10,Paramètres!$A$1:$I$89,3,0)*0.475*44/12</f>
        <v>8.3613584355605539</v>
      </c>
      <c r="AW119" s="21">
        <f>EXP(-LN(2)/2)*AW118+(1-EXP(-LN(2)/2))/(LN(2)/2)*AQ119*AT119*VLOOKUP('Données projet'!$B$10,Paramètres!$A$1:$I$89,3,0)*0.475*44/12</f>
        <v>1.9383433974677196E-7</v>
      </c>
      <c r="AX119" s="21">
        <f t="shared" si="60"/>
        <v>29.424160083612215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273.00000000000023</v>
      </c>
      <c r="BE119" s="13">
        <f>BD119*VLOOKUP('Données projet'!$B$11,Paramètres!$A$1:$I$89,3,0)*VLOOKUP('Données projet'!$B$11,Paramètres!$A$1:$I$89,5,0)</f>
        <v>212.9400000000002</v>
      </c>
      <c r="BF119" s="13">
        <f t="shared" si="91"/>
        <v>52.577528895212915</v>
      </c>
      <c r="BG119" s="20">
        <f t="shared" si="61"/>
        <v>462.44302949249618</v>
      </c>
      <c r="BH119" s="59">
        <f t="shared" si="62"/>
        <v>755.77636282582944</v>
      </c>
      <c r="BI119" s="59">
        <f ca="1">AVERAGE(OFFSET($BH$3,0,0,'Données projet'!$E$11+1,1))-AVERAGE(OFFSET($H$3,0,0,'Données projet'!$E$11+1,1))</f>
        <v>219.5868031007679</v>
      </c>
      <c r="BJ119" s="59">
        <f t="shared" si="92"/>
        <v>263.3830219837742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10.767388288489196</v>
      </c>
      <c r="BQ119" s="21">
        <f>EXP(-LN(2)/25)*BQ118+(1-EXP(-LN(2)/25))/(LN(2)/25)*Calculateur!BL119*Calculateur!BN119*VLOOKUP('Données projet'!$B$11,Paramètres!$A$1:$I$89,3,0)*0.475*44/12</f>
        <v>1.255834430492915</v>
      </c>
      <c r="BR119" s="21">
        <f>EXP(-LN(2)/2)*BR118+(1-EXP(-LN(2)/2))/(LN(2)/2)*BL119*BO119*VLOOKUP('Données projet'!$B$11,Paramètres!$A$1:$I$89,3,0)*0.475*44/12</f>
        <v>1.8307282654367968E-8</v>
      </c>
      <c r="BS119" s="22">
        <f t="shared" si="63"/>
        <v>12.023222737289393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243.99999999999989</v>
      </c>
      <c r="BZ119" s="13">
        <f>BY119*VLOOKUP('Données projet'!$B$12,Paramètres!$A$1:$I$89,3,0)*VLOOKUP('Données projet'!$B$12,Paramètres!$A$1:$I$89,5,0)</f>
        <v>262.64159999999987</v>
      </c>
      <c r="CA119" s="13">
        <f t="shared" si="93"/>
        <v>63.285128621471941</v>
      </c>
      <c r="CB119" s="20">
        <f t="shared" si="64"/>
        <v>567.65571901573003</v>
      </c>
      <c r="CC119" s="59">
        <f t="shared" si="65"/>
        <v>860.98905234906329</v>
      </c>
      <c r="CD119" s="59">
        <f ca="1">AVERAGE(OFFSET($CC$3,0,0,'Données projet'!$E$12+1,1))-AVERAGE(OFFSET($H$3,0,0,'Données projet'!$E$12+1,1))</f>
        <v>244.7364260963538</v>
      </c>
      <c r="CE119" s="59">
        <f t="shared" si="94"/>
        <v>270.32853612539299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11.798759820529936</v>
      </c>
      <c r="CL119" s="21">
        <f>EXP(-LN(2)/25)*CL118+(1-EXP(-LN(2)/25))/(LN(2)/25)*Calculateur!CG119*Calculateur!CI119*VLOOKUP('Données projet'!$B$12,Paramètres!$A$1:$I$89,3,0)*0.475*44/12</f>
        <v>1.3829353828018895</v>
      </c>
      <c r="CM119" s="21">
        <f>EXP(-LN(2)/2)*CM118+(1-EXP(-LN(2)/2))/(LN(2)/2)*CG119*CJ119*VLOOKUP('Données projet'!$B$12,Paramètres!$A$1:$I$89,3,0)*0.475*44/12</f>
        <v>1.8982309705745354E-8</v>
      </c>
      <c r="CN119" s="22">
        <f t="shared" si="66"/>
        <v>13.181695222314135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243.99999999999989</v>
      </c>
      <c r="CU119" s="17">
        <f>CT119*VLOOKUP('Données projet'!$B$13,Paramètres!$A$1:$I$89,3,0)*VLOOKUP('Données projet'!$B$13,Paramètres!$A$1:$I$89,5,0)</f>
        <v>235.99679999999987</v>
      </c>
      <c r="CV119" s="13">
        <f t="shared" si="95"/>
        <v>57.577381127598322</v>
      </c>
      <c r="CW119" s="20">
        <f t="shared" si="67"/>
        <v>511.30836546390015</v>
      </c>
      <c r="CX119" s="59">
        <f t="shared" si="68"/>
        <v>804.6416987972334</v>
      </c>
      <c r="CY119" s="59">
        <f ca="1">AVERAGE(OFFSET($CX$3,0,0,'Données projet'!$E$13+1,1))-AVERAGE(OFFSET($H$3,0,0,'Données projet'!$E$13+1,1))</f>
        <v>216.39536568500222</v>
      </c>
      <c r="CZ119" s="59">
        <f t="shared" si="96"/>
        <v>239.44686980897467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10.601784186563133</v>
      </c>
      <c r="DG119" s="21">
        <f>EXP(-LN(2)/25)*DG118+(1-EXP(-LN(2)/25))/(LN(2)/25)*Calculateur!DB119*Calculateur!DD119*VLOOKUP('Données projet'!$B$13,Paramètres!$A$1:$I$89,3,0)*0.475*44/12</f>
        <v>1.2426375903437261</v>
      </c>
      <c r="DH119" s="21">
        <f>EXP(-LN(2)/2)*DH118+(1-EXP(-LN(2)/2))/(LN(2)/2)*DB119*DE119*VLOOKUP('Données projet'!$B$13,Paramètres!$A$1:$I$89,3,0)*0.475*44/12</f>
        <v>1.7056568141394359E-8</v>
      </c>
      <c r="DI119" s="22">
        <f t="shared" si="69"/>
        <v>11.844421793963427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69.35759999999982</v>
      </c>
      <c r="D120" s="11">
        <f t="shared" si="86"/>
        <v>19.51384151112239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686.02516254199611</v>
      </c>
      <c r="H120" s="67">
        <f t="shared" si="56"/>
        <v>448.11776063187119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306.99999999999994</v>
      </c>
      <c r="O120" s="13">
        <f>N120*VLOOKUP('Données projet'!$B$9,Paramètres!$A$1:$I$89,3,0)*VLOOKUP('Données projet'!$B$9,Paramètres!$A$1:$I$89,5,0)</f>
        <v>277.77359999999993</v>
      </c>
      <c r="P120" s="13">
        <f t="shared" si="87"/>
        <v>66.496288176842356</v>
      </c>
      <c r="Q120" s="20">
        <f t="shared" si="107"/>
        <v>599.60338857466706</v>
      </c>
      <c r="R120" s="59">
        <f t="shared" si="55"/>
        <v>892.93672190800044</v>
      </c>
      <c r="S120" s="59">
        <f ca="1">AVERAGE(OFFSET($R$3,0,0,'Données projet'!$E$9+1,1))-AVERAGE(OFFSET($H$3,0,0,'Données projet'!$E$9+1,1))</f>
        <v>330.30341204367602</v>
      </c>
      <c r="T120" s="59">
        <f t="shared" si="88"/>
        <v>200.36653694091007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73.752402770259749</v>
      </c>
      <c r="AA120" s="21">
        <f>EXP(-LN(2)/25)*AA119+(1-EXP(-LN(2)/25))/(LN(2)/25)*Calculateur!V120*Calculateur!X120*VLOOKUP('Données projet'!$B$9,Paramètres!$A$1:$I$89,3,0)*0.475*44/12</f>
        <v>3.1381235262693012</v>
      </c>
      <c r="AB120" s="21">
        <f>EXP(-LN(2)/2)*AB119+(1-EXP(-LN(2)/2))/(LN(2)/2)*V120*Y120*VLOOKUP('Données projet'!$B$9,Paramètres!$A$1:$I$89,3,0)*0.475*44/12</f>
        <v>0.75333211655691368</v>
      </c>
      <c r="AC120" s="22">
        <f t="shared" si="57"/>
        <v>77.643858413085965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971.99999999999977</v>
      </c>
      <c r="AJ120" s="13">
        <f>AI120*VLOOKUP('Données projet'!$B$10,Paramètres!$A$1:$I$89,3,0)*VLOOKUP('Données projet'!$B$10,Paramètres!$A$1:$I$89,5,0)</f>
        <v>581.25599999999986</v>
      </c>
      <c r="AK120" s="13">
        <f t="shared" si="89"/>
        <v>127.68713506014205</v>
      </c>
      <c r="AL120" s="20">
        <f t="shared" si="58"/>
        <v>1234.7426268964139</v>
      </c>
      <c r="AM120" s="59">
        <f t="shared" si="59"/>
        <v>1528.0759602297471</v>
      </c>
      <c r="AN120" s="59">
        <f ca="1">AVERAGE(OFFSET($AM$3,0,0,'Données projet'!$E$10+1,1))-AVERAGE(OFFSET($H$3,0,0,'Données projet'!$E$10+1,1))</f>
        <v>465.77577582457678</v>
      </c>
      <c r="AO120" s="59">
        <f t="shared" si="90"/>
        <v>301.15495784503042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20.649772764740469</v>
      </c>
      <c r="AV120" s="21">
        <f>EXP(-LN(2)/25)*AV119+(1-EXP(-LN(2)/25))/(LN(2)/25)*Calculateur!AQ120*Calculateur!AS120*VLOOKUP('Données projet'!$B$10,Paramètres!$A$1:$I$89,3,0)*0.475*44/12</f>
        <v>8.1327166494354213</v>
      </c>
      <c r="AW120" s="21">
        <f>EXP(-LN(2)/2)*AW119+(1-EXP(-LN(2)/2))/(LN(2)/2)*AQ120*AT120*VLOOKUP('Données projet'!$B$10,Paramètres!$A$1:$I$89,3,0)*0.475*44/12</f>
        <v>1.3706157606175959E-7</v>
      </c>
      <c r="AX120" s="21">
        <f t="shared" si="60"/>
        <v>28.782489551237468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273.00000000000023</v>
      </c>
      <c r="BE120" s="13">
        <f>BD120*VLOOKUP('Données projet'!$B$11,Paramètres!$A$1:$I$89,3,0)*VLOOKUP('Données projet'!$B$11,Paramètres!$A$1:$I$89,5,0)</f>
        <v>212.9400000000002</v>
      </c>
      <c r="BF120" s="13">
        <f t="shared" si="91"/>
        <v>52.577528895212915</v>
      </c>
      <c r="BG120" s="20">
        <f t="shared" si="61"/>
        <v>462.44302949249618</v>
      </c>
      <c r="BH120" s="59">
        <f t="shared" si="62"/>
        <v>755.77636282582944</v>
      </c>
      <c r="BI120" s="59">
        <f ca="1">AVERAGE(OFFSET($BH$3,0,0,'Données projet'!$E$11+1,1))-AVERAGE(OFFSET($H$3,0,0,'Données projet'!$E$11+1,1))</f>
        <v>219.5868031007679</v>
      </c>
      <c r="BJ120" s="59">
        <f t="shared" si="92"/>
        <v>263.3830219837742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10.556246371610296</v>
      </c>
      <c r="BQ120" s="21">
        <f>EXP(-LN(2)/25)*BQ119+(1-EXP(-LN(2)/25))/(LN(2)/25)*Calculateur!BL120*Calculateur!BN120*VLOOKUP('Données projet'!$B$11,Paramètres!$A$1:$I$89,3,0)*0.475*44/12</f>
        <v>1.2214935719496238</v>
      </c>
      <c r="BR120" s="21">
        <f>EXP(-LN(2)/2)*BR119+(1-EXP(-LN(2)/2))/(LN(2)/2)*BL120*BO120*VLOOKUP('Données projet'!$B$11,Paramètres!$A$1:$I$89,3,0)*0.475*44/12</f>
        <v>1.2945203710002448E-8</v>
      </c>
      <c r="BS120" s="22">
        <f t="shared" si="63"/>
        <v>11.777739956505124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243.99999999999989</v>
      </c>
      <c r="BZ120" s="13">
        <f>BY120*VLOOKUP('Données projet'!$B$12,Paramètres!$A$1:$I$89,3,0)*VLOOKUP('Données projet'!$B$12,Paramètres!$A$1:$I$89,5,0)</f>
        <v>262.64159999999987</v>
      </c>
      <c r="CA120" s="13">
        <f t="shared" si="93"/>
        <v>63.285128621471941</v>
      </c>
      <c r="CB120" s="20">
        <f t="shared" si="64"/>
        <v>567.65571901573003</v>
      </c>
      <c r="CC120" s="59">
        <f t="shared" si="65"/>
        <v>860.98905234906329</v>
      </c>
      <c r="CD120" s="59">
        <f ca="1">AVERAGE(OFFSET($CC$3,0,0,'Données projet'!$E$12+1,1))-AVERAGE(OFFSET($H$3,0,0,'Données projet'!$E$12+1,1))</f>
        <v>244.7364260963538</v>
      </c>
      <c r="CE120" s="59">
        <f t="shared" si="94"/>
        <v>270.32853612539299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11.567393336982235</v>
      </c>
      <c r="CL120" s="21">
        <f>EXP(-LN(2)/25)*CL119+(1-EXP(-LN(2)/25))/(LN(2)/25)*Calculateur!CG120*Calculateur!CI120*VLOOKUP('Données projet'!$B$12,Paramètres!$A$1:$I$89,3,0)*0.475*44/12</f>
        <v>1.3451189420337608</v>
      </c>
      <c r="CM120" s="21">
        <f>EXP(-LN(2)/2)*CM119+(1-EXP(-LN(2)/2))/(LN(2)/2)*CG120*CJ120*VLOOKUP('Données projet'!$B$12,Paramètres!$A$1:$I$89,3,0)*0.475*44/12</f>
        <v>1.3422519915515757E-8</v>
      </c>
      <c r="CN120" s="22">
        <f t="shared" si="66"/>
        <v>12.912512292438516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243.99999999999989</v>
      </c>
      <c r="CU120" s="17">
        <f>CT120*VLOOKUP('Données projet'!$B$13,Paramètres!$A$1:$I$89,3,0)*VLOOKUP('Données projet'!$B$13,Paramètres!$A$1:$I$89,5,0)</f>
        <v>235.99679999999987</v>
      </c>
      <c r="CV120" s="13">
        <f t="shared" si="95"/>
        <v>57.577381127598322</v>
      </c>
      <c r="CW120" s="20">
        <f t="shared" si="67"/>
        <v>511.30836546390015</v>
      </c>
      <c r="CX120" s="59">
        <f t="shared" si="68"/>
        <v>804.6416987972334</v>
      </c>
      <c r="CY120" s="59">
        <f ca="1">AVERAGE(OFFSET($CX$3,0,0,'Données projet'!$E$13+1,1))-AVERAGE(OFFSET($H$3,0,0,'Données projet'!$E$13+1,1))</f>
        <v>216.39536568500222</v>
      </c>
      <c r="CZ120" s="59">
        <f t="shared" si="96"/>
        <v>239.44686980897467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10.393889665114475</v>
      </c>
      <c r="DG120" s="21">
        <f>EXP(-LN(2)/25)*DG119+(1-EXP(-LN(2)/25))/(LN(2)/25)*Calculateur!DB120*Calculateur!DD120*VLOOKUP('Données projet'!$B$13,Paramètres!$A$1:$I$89,3,0)*0.475*44/12</f>
        <v>1.208657600088306</v>
      </c>
      <c r="DH120" s="21">
        <f>EXP(-LN(2)/2)*DH119+(1-EXP(-LN(2)/2))/(LN(2)/2)*DB120*DE120*VLOOKUP('Données projet'!$B$13,Paramètres!$A$1:$I$89,3,0)*0.475*44/12</f>
        <v>1.2060814996550379E-8</v>
      </c>
      <c r="DI120" s="22">
        <f t="shared" si="69"/>
        <v>11.602547277263596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69.950399999999817</v>
      </c>
      <c r="D121" s="11">
        <f t="shared" si="86"/>
        <v>19.661139635164631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691.73820069249757</v>
      </c>
      <c r="H121" s="67">
        <f t="shared" si="56"/>
        <v>449.40676486457801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306.99999999999994</v>
      </c>
      <c r="O121" s="13">
        <f>N121*VLOOKUP('Données projet'!$B$9,Paramètres!$A$1:$I$89,3,0)*VLOOKUP('Données projet'!$B$9,Paramètres!$A$1:$I$89,5,0)</f>
        <v>277.77359999999993</v>
      </c>
      <c r="P121" s="13">
        <f t="shared" si="87"/>
        <v>66.496288176842356</v>
      </c>
      <c r="Q121" s="20">
        <f t="shared" si="107"/>
        <v>599.60338857466706</v>
      </c>
      <c r="R121" s="59">
        <f t="shared" si="55"/>
        <v>892.93672190800044</v>
      </c>
      <c r="S121" s="59">
        <f ca="1">AVERAGE(OFFSET($R$3,0,0,'Données projet'!$E$9+1,1))-AVERAGE(OFFSET($H$3,0,0,'Données projet'!$E$9+1,1))</f>
        <v>330.30341204367602</v>
      </c>
      <c r="T121" s="59">
        <f t="shared" si="88"/>
        <v>200.36653694091007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72.306163136458792</v>
      </c>
      <c r="AA121" s="21">
        <f>EXP(-LN(2)/25)*AA120+(1-EXP(-LN(2)/25))/(LN(2)/25)*Calculateur!V121*Calculateur!X121*VLOOKUP('Données projet'!$B$9,Paramètres!$A$1:$I$89,3,0)*0.475*44/12</f>
        <v>3.0523113734167233</v>
      </c>
      <c r="AB121" s="21">
        <f>EXP(-LN(2)/2)*AB120+(1-EXP(-LN(2)/2))/(LN(2)/2)*V121*Y121*VLOOKUP('Données projet'!$B$9,Paramètres!$A$1:$I$89,3,0)*0.475*44/12</f>
        <v>0.53268624810300835</v>
      </c>
      <c r="AC121" s="22">
        <f t="shared" si="57"/>
        <v>75.891160757978525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971.99999999999977</v>
      </c>
      <c r="AJ121" s="13">
        <f>AI121*VLOOKUP('Données projet'!$B$10,Paramètres!$A$1:$I$89,3,0)*VLOOKUP('Données projet'!$B$10,Paramètres!$A$1:$I$89,5,0)</f>
        <v>581.25599999999986</v>
      </c>
      <c r="AK121" s="13">
        <f t="shared" si="89"/>
        <v>127.68713506014205</v>
      </c>
      <c r="AL121" s="20">
        <f t="shared" si="58"/>
        <v>1234.7426268964139</v>
      </c>
      <c r="AM121" s="59">
        <f t="shared" si="59"/>
        <v>1528.0759602297471</v>
      </c>
      <c r="AN121" s="59">
        <f ca="1">AVERAGE(OFFSET($AM$3,0,0,'Données projet'!$E$10+1,1))-AVERAGE(OFFSET($H$3,0,0,'Données projet'!$E$10+1,1))</f>
        <v>465.77577582457678</v>
      </c>
      <c r="AO121" s="59">
        <f t="shared" si="90"/>
        <v>301.15495784503042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20.24484331594163</v>
      </c>
      <c r="AV121" s="21">
        <f>EXP(-LN(2)/25)*AV120+(1-EXP(-LN(2)/25))/(LN(2)/25)*Calculateur!AQ121*Calculateur!AS121*VLOOKUP('Données projet'!$B$10,Paramètres!$A$1:$I$89,3,0)*0.475*44/12</f>
        <v>7.9103270849756289</v>
      </c>
      <c r="AW121" s="21">
        <f>EXP(-LN(2)/2)*AW120+(1-EXP(-LN(2)/2))/(LN(2)/2)*AQ121*AT121*VLOOKUP('Données projet'!$B$10,Paramètres!$A$1:$I$89,3,0)*0.475*44/12</f>
        <v>9.691716987338598E-8</v>
      </c>
      <c r="AX121" s="21">
        <f t="shared" si="60"/>
        <v>28.155170497834426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273.00000000000023</v>
      </c>
      <c r="BE121" s="13">
        <f>BD121*VLOOKUP('Données projet'!$B$11,Paramètres!$A$1:$I$89,3,0)*VLOOKUP('Données projet'!$B$11,Paramètres!$A$1:$I$89,5,0)</f>
        <v>212.9400000000002</v>
      </c>
      <c r="BF121" s="13">
        <f t="shared" si="91"/>
        <v>52.577528895212915</v>
      </c>
      <c r="BG121" s="20">
        <f t="shared" si="61"/>
        <v>462.44302949249618</v>
      </c>
      <c r="BH121" s="59">
        <f t="shared" si="62"/>
        <v>755.77636282582944</v>
      </c>
      <c r="BI121" s="59">
        <f ca="1">AVERAGE(OFFSET($BH$3,0,0,'Données projet'!$E$11+1,1))-AVERAGE(OFFSET($H$3,0,0,'Données projet'!$E$11+1,1))</f>
        <v>219.5868031007679</v>
      </c>
      <c r="BJ121" s="59">
        <f t="shared" si="92"/>
        <v>263.3830219837742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10.349244818937539</v>
      </c>
      <c r="BQ121" s="21">
        <f>EXP(-LN(2)/25)*BQ120+(1-EXP(-LN(2)/25))/(LN(2)/25)*Calculateur!BL121*Calculateur!BN121*VLOOKUP('Données projet'!$B$11,Paramètres!$A$1:$I$89,3,0)*0.475*44/12</f>
        <v>1.1880917659891062</v>
      </c>
      <c r="BR121" s="21">
        <f>EXP(-LN(2)/2)*BR120+(1-EXP(-LN(2)/2))/(LN(2)/2)*BL121*BO121*VLOOKUP('Données projet'!$B$11,Paramètres!$A$1:$I$89,3,0)*0.475*44/12</f>
        <v>9.1536413271839841E-9</v>
      </c>
      <c r="BS121" s="22">
        <f t="shared" si="63"/>
        <v>11.537336594080287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243.99999999999989</v>
      </c>
      <c r="BZ121" s="13">
        <f>BY121*VLOOKUP('Données projet'!$B$12,Paramètres!$A$1:$I$89,3,0)*VLOOKUP('Données projet'!$B$12,Paramètres!$A$1:$I$89,5,0)</f>
        <v>262.64159999999987</v>
      </c>
      <c r="CA121" s="13">
        <f t="shared" si="93"/>
        <v>63.285128621471941</v>
      </c>
      <c r="CB121" s="20">
        <f t="shared" si="64"/>
        <v>567.65571901573003</v>
      </c>
      <c r="CC121" s="59">
        <f t="shared" si="65"/>
        <v>860.98905234906329</v>
      </c>
      <c r="CD121" s="59">
        <f ca="1">AVERAGE(OFFSET($CC$3,0,0,'Données projet'!$E$12+1,1))-AVERAGE(OFFSET($H$3,0,0,'Données projet'!$E$12+1,1))</f>
        <v>244.7364260963538</v>
      </c>
      <c r="CE121" s="59">
        <f t="shared" si="94"/>
        <v>270.32853612539299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11.340563809057285</v>
      </c>
      <c r="CL121" s="21">
        <f>EXP(-LN(2)/25)*CL120+(1-EXP(-LN(2)/25))/(LN(2)/25)*Calculateur!CG121*Calculateur!CI121*VLOOKUP('Données projet'!$B$12,Paramètres!$A$1:$I$89,3,0)*0.475*44/12</f>
        <v>1.3083365938271168</v>
      </c>
      <c r="CM121" s="21">
        <f>EXP(-LN(2)/2)*CM120+(1-EXP(-LN(2)/2))/(LN(2)/2)*CG121*CJ121*VLOOKUP('Données projet'!$B$12,Paramètres!$A$1:$I$89,3,0)*0.475*44/12</f>
        <v>9.4911548528726768E-9</v>
      </c>
      <c r="CN121" s="22">
        <f t="shared" si="66"/>
        <v>12.648900412375555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243.99999999999989</v>
      </c>
      <c r="CU121" s="17">
        <f>CT121*VLOOKUP('Données projet'!$B$13,Paramètres!$A$1:$I$89,3,0)*VLOOKUP('Données projet'!$B$13,Paramètres!$A$1:$I$89,5,0)</f>
        <v>235.99679999999987</v>
      </c>
      <c r="CV121" s="13">
        <f t="shared" si="95"/>
        <v>57.577381127598322</v>
      </c>
      <c r="CW121" s="20">
        <f t="shared" si="67"/>
        <v>511.30836546390015</v>
      </c>
      <c r="CX121" s="59">
        <f t="shared" si="68"/>
        <v>804.6416987972334</v>
      </c>
      <c r="CY121" s="59">
        <f ca="1">AVERAGE(OFFSET($CX$3,0,0,'Données projet'!$E$13+1,1))-AVERAGE(OFFSET($H$3,0,0,'Données projet'!$E$13+1,1))</f>
        <v>216.39536568500222</v>
      </c>
      <c r="CZ121" s="59">
        <f t="shared" si="96"/>
        <v>239.44686980897467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10.190071828428287</v>
      </c>
      <c r="DG121" s="21">
        <f>EXP(-LN(2)/25)*DG120+(1-EXP(-LN(2)/25))/(LN(2)/25)*Calculateur!DB121*Calculateur!DD121*VLOOKUP('Données projet'!$B$13,Paramètres!$A$1:$I$89,3,0)*0.475*44/12</f>
        <v>1.1756067944533506</v>
      </c>
      <c r="DH121" s="21">
        <f>EXP(-LN(2)/2)*DH120+(1-EXP(-LN(2)/2))/(LN(2)/2)*DB121*DE121*VLOOKUP('Données projet'!$B$13,Paramètres!$A$1:$I$89,3,0)*0.475*44/12</f>
        <v>8.5282840706971796E-9</v>
      </c>
      <c r="DI121" s="22">
        <f t="shared" si="69"/>
        <v>11.365678631409923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70.543199999999814</v>
      </c>
      <c r="D122" s="11">
        <f t="shared" si="86"/>
        <v>19.808292528148627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697.45011776114598</v>
      </c>
      <c r="H122" s="67">
        <f t="shared" si="56"/>
        <v>450.69551615319187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306.99999999999994</v>
      </c>
      <c r="O122" s="13">
        <f>N122*VLOOKUP('Données projet'!$B$9,Paramètres!$A$1:$I$89,3,0)*VLOOKUP('Données projet'!$B$9,Paramètres!$A$1:$I$89,5,0)</f>
        <v>277.77359999999993</v>
      </c>
      <c r="P122" s="13">
        <f t="shared" si="87"/>
        <v>66.496288176842356</v>
      </c>
      <c r="Q122" s="20">
        <f t="shared" si="107"/>
        <v>599.60338857466706</v>
      </c>
      <c r="R122" s="59">
        <f t="shared" si="55"/>
        <v>892.93672190800044</v>
      </c>
      <c r="S122" s="59">
        <f ca="1">AVERAGE(OFFSET($R$3,0,0,'Données projet'!$E$9+1,1))-AVERAGE(OFFSET($H$3,0,0,'Données projet'!$E$9+1,1))</f>
        <v>330.30341204367602</v>
      </c>
      <c r="T122" s="59">
        <f t="shared" si="88"/>
        <v>200.36653694091007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70.888283379757596</v>
      </c>
      <c r="AA122" s="21">
        <f>EXP(-LN(2)/25)*AA121+(1-EXP(-LN(2)/25))/(LN(2)/25)*Calculateur!V122*Calculateur!X122*VLOOKUP('Données projet'!$B$9,Paramètres!$A$1:$I$89,3,0)*0.475*44/12</f>
        <v>2.9688457583965642</v>
      </c>
      <c r="AB122" s="21">
        <f>EXP(-LN(2)/2)*AB121+(1-EXP(-LN(2)/2))/(LN(2)/2)*V122*Y122*VLOOKUP('Données projet'!$B$9,Paramètres!$A$1:$I$89,3,0)*0.475*44/12</f>
        <v>0.37666605827845689</v>
      </c>
      <c r="AC122" s="22">
        <f t="shared" si="57"/>
        <v>74.233795196432624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971.99999999999977</v>
      </c>
      <c r="AJ122" s="13">
        <f>AI122*VLOOKUP('Données projet'!$B$10,Paramètres!$A$1:$I$89,3,0)*VLOOKUP('Données projet'!$B$10,Paramètres!$A$1:$I$89,5,0)</f>
        <v>581.25599999999986</v>
      </c>
      <c r="AK122" s="13">
        <f t="shared" si="89"/>
        <v>127.68713506014205</v>
      </c>
      <c r="AL122" s="20">
        <f t="shared" si="58"/>
        <v>1234.7426268964139</v>
      </c>
      <c r="AM122" s="59">
        <f t="shared" si="59"/>
        <v>1528.0759602297471</v>
      </c>
      <c r="AN122" s="59">
        <f ca="1">AVERAGE(OFFSET($AM$3,0,0,'Données projet'!$E$10+1,1))-AVERAGE(OFFSET($H$3,0,0,'Données projet'!$E$10+1,1))</f>
        <v>465.77577582457678</v>
      </c>
      <c r="AO122" s="59">
        <f t="shared" si="90"/>
        <v>301.15495784503042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19.84785428665116</v>
      </c>
      <c r="AV122" s="21">
        <f>EXP(-LN(2)/25)*AV121+(1-EXP(-LN(2)/25))/(LN(2)/25)*Calculateur!AQ122*Calculateur!AS122*VLOOKUP('Données projet'!$B$10,Paramètres!$A$1:$I$89,3,0)*0.475*44/12</f>
        <v>7.6940187748509485</v>
      </c>
      <c r="AW122" s="21">
        <f>EXP(-LN(2)/2)*AW121+(1-EXP(-LN(2)/2))/(LN(2)/2)*AQ122*AT122*VLOOKUP('Données projet'!$B$10,Paramètres!$A$1:$I$89,3,0)*0.475*44/12</f>
        <v>6.8530788030879796E-8</v>
      </c>
      <c r="AX122" s="21">
        <f t="shared" si="60"/>
        <v>27.541873130032897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273.00000000000023</v>
      </c>
      <c r="BE122" s="13">
        <f>BD122*VLOOKUP('Données projet'!$B$11,Paramètres!$A$1:$I$89,3,0)*VLOOKUP('Données projet'!$B$11,Paramètres!$A$1:$I$89,5,0)</f>
        <v>212.9400000000002</v>
      </c>
      <c r="BF122" s="13">
        <f t="shared" si="91"/>
        <v>52.577528895212915</v>
      </c>
      <c r="BG122" s="20">
        <f t="shared" si="61"/>
        <v>462.44302949249618</v>
      </c>
      <c r="BH122" s="59">
        <f t="shared" si="62"/>
        <v>755.77636282582944</v>
      </c>
      <c r="BI122" s="59">
        <f ca="1">AVERAGE(OFFSET($BH$3,0,0,'Données projet'!$E$11+1,1))-AVERAGE(OFFSET($H$3,0,0,'Données projet'!$E$11+1,1))</f>
        <v>219.5868031007679</v>
      </c>
      <c r="BJ122" s="59">
        <f t="shared" si="92"/>
        <v>263.3830219837742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10.146302440454214</v>
      </c>
      <c r="BQ122" s="21">
        <f>EXP(-LN(2)/25)*BQ121+(1-EXP(-LN(2)/25))/(LN(2)/25)*Calculateur!BL122*Calculateur!BN122*VLOOKUP('Données projet'!$B$11,Paramètres!$A$1:$I$89,3,0)*0.475*44/12</f>
        <v>1.1556033341691034</v>
      </c>
      <c r="BR122" s="21">
        <f>EXP(-LN(2)/2)*BR121+(1-EXP(-LN(2)/2))/(LN(2)/2)*BL122*BO122*VLOOKUP('Données projet'!$B$11,Paramètres!$A$1:$I$89,3,0)*0.475*44/12</f>
        <v>6.4726018550012241E-9</v>
      </c>
      <c r="BS122" s="22">
        <f t="shared" si="63"/>
        <v>11.30190578109592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243.99999999999989</v>
      </c>
      <c r="BZ122" s="13">
        <f>BY122*VLOOKUP('Données projet'!$B$12,Paramètres!$A$1:$I$89,3,0)*VLOOKUP('Données projet'!$B$12,Paramètres!$A$1:$I$89,5,0)</f>
        <v>262.64159999999987</v>
      </c>
      <c r="CA122" s="13">
        <f t="shared" si="93"/>
        <v>63.285128621471941</v>
      </c>
      <c r="CB122" s="20">
        <f t="shared" si="64"/>
        <v>567.65571901573003</v>
      </c>
      <c r="CC122" s="59">
        <f t="shared" si="65"/>
        <v>860.98905234906329</v>
      </c>
      <c r="CD122" s="59">
        <f ca="1">AVERAGE(OFFSET($CC$3,0,0,'Données projet'!$E$12+1,1))-AVERAGE(OFFSET($H$3,0,0,'Données projet'!$E$12+1,1))</f>
        <v>244.7364260963538</v>
      </c>
      <c r="CE122" s="59">
        <f t="shared" si="94"/>
        <v>270.32853612539299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11.118182269822592</v>
      </c>
      <c r="CL122" s="21">
        <f>EXP(-LN(2)/25)*CL121+(1-EXP(-LN(2)/25))/(LN(2)/25)*Calculateur!CG122*Calculateur!CI122*VLOOKUP('Données projet'!$B$12,Paramètres!$A$1:$I$89,3,0)*0.475*44/12</f>
        <v>1.2725600608664831</v>
      </c>
      <c r="CM122" s="21">
        <f>EXP(-LN(2)/2)*CM121+(1-EXP(-LN(2)/2))/(LN(2)/2)*CG122*CJ122*VLOOKUP('Données projet'!$B$12,Paramètres!$A$1:$I$89,3,0)*0.475*44/12</f>
        <v>6.7112599577578786E-9</v>
      </c>
      <c r="CN122" s="22">
        <f t="shared" si="66"/>
        <v>12.390742337400335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243.99999999999989</v>
      </c>
      <c r="CU122" s="17">
        <f>CT122*VLOOKUP('Données projet'!$B$13,Paramètres!$A$1:$I$89,3,0)*VLOOKUP('Données projet'!$B$13,Paramètres!$A$1:$I$89,5,0)</f>
        <v>235.99679999999987</v>
      </c>
      <c r="CV122" s="13">
        <f t="shared" si="95"/>
        <v>57.577381127598322</v>
      </c>
      <c r="CW122" s="20">
        <f t="shared" si="67"/>
        <v>511.30836546390015</v>
      </c>
      <c r="CX122" s="59">
        <f t="shared" si="68"/>
        <v>804.6416987972334</v>
      </c>
      <c r="CY122" s="59">
        <f ca="1">AVERAGE(OFFSET($CX$3,0,0,'Données projet'!$E$13+1,1))-AVERAGE(OFFSET($H$3,0,0,'Données projet'!$E$13+1,1))</f>
        <v>216.39536568500222</v>
      </c>
      <c r="CZ122" s="59">
        <f t="shared" si="96"/>
        <v>239.44686980897467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9.9902507352029115</v>
      </c>
      <c r="DG122" s="21">
        <f>EXP(-LN(2)/25)*DG121+(1-EXP(-LN(2)/25))/(LN(2)/25)*Calculateur!DB122*Calculateur!DD122*VLOOKUP('Données projet'!$B$13,Paramètres!$A$1:$I$89,3,0)*0.475*44/12</f>
        <v>1.1434597648365492</v>
      </c>
      <c r="DH122" s="21">
        <f>EXP(-LN(2)/2)*DH121+(1-EXP(-LN(2)/2))/(LN(2)/2)*DB122*DE122*VLOOKUP('Données projet'!$B$13,Paramètres!$A$1:$I$89,3,0)*0.475*44/12</f>
        <v>6.0304074982751896E-9</v>
      </c>
      <c r="DI122" s="22">
        <f t="shared" si="69"/>
        <v>11.133710506069869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71.135999999999811</v>
      </c>
      <c r="D123" s="11">
        <f t="shared" si="86"/>
        <v>19.955301551927427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703.16092426049102</v>
      </c>
      <c r="H123" s="67">
        <f t="shared" si="56"/>
        <v>451.98401686960659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306.99999999999994</v>
      </c>
      <c r="O123" s="13">
        <f>N123*VLOOKUP('Données projet'!$B$9,Paramètres!$A$1:$I$89,3,0)*VLOOKUP('Données projet'!$B$9,Paramètres!$A$1:$I$89,5,0)</f>
        <v>277.77359999999993</v>
      </c>
      <c r="P123" s="13">
        <f t="shared" si="87"/>
        <v>66.496288176842356</v>
      </c>
      <c r="Q123" s="20">
        <f t="shared" si="107"/>
        <v>599.60338857466706</v>
      </c>
      <c r="R123" s="59">
        <f t="shared" si="55"/>
        <v>892.93672190800044</v>
      </c>
      <c r="S123" s="59">
        <f ca="1">AVERAGE(OFFSET($R$3,0,0,'Données projet'!$E$9+1,1))-AVERAGE(OFFSET($H$3,0,0,'Données projet'!$E$9+1,1))</f>
        <v>330.30341204367602</v>
      </c>
      <c r="T123" s="59">
        <f t="shared" si="88"/>
        <v>200.36653694091007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69.498207380264049</v>
      </c>
      <c r="AA123" s="21">
        <f>EXP(-LN(2)/25)*AA122+(1-EXP(-LN(2)/25))/(LN(2)/25)*Calculateur!V123*Calculateur!X123*VLOOKUP('Données projet'!$B$9,Paramètres!$A$1:$I$89,3,0)*0.475*44/12</f>
        <v>2.887662515008397</v>
      </c>
      <c r="AB123" s="21">
        <f>EXP(-LN(2)/2)*AB122+(1-EXP(-LN(2)/2))/(LN(2)/2)*V123*Y123*VLOOKUP('Données projet'!$B$9,Paramètres!$A$1:$I$89,3,0)*0.475*44/12</f>
        <v>0.26634312405150418</v>
      </c>
      <c r="AC123" s="22">
        <f t="shared" si="57"/>
        <v>72.652213019323952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971.99999999999977</v>
      </c>
      <c r="AJ123" s="13">
        <f>AI123*VLOOKUP('Données projet'!$B$10,Paramètres!$A$1:$I$89,3,0)*VLOOKUP('Données projet'!$B$10,Paramètres!$A$1:$I$89,5,0)</f>
        <v>581.25599999999986</v>
      </c>
      <c r="AK123" s="13">
        <f t="shared" si="89"/>
        <v>127.68713506014205</v>
      </c>
      <c r="AL123" s="20">
        <f t="shared" si="58"/>
        <v>1234.7426268964139</v>
      </c>
      <c r="AM123" s="59">
        <f t="shared" si="59"/>
        <v>1528.0759602297471</v>
      </c>
      <c r="AN123" s="59">
        <f ca="1">AVERAGE(OFFSET($AM$3,0,0,'Données projet'!$E$10+1,1))-AVERAGE(OFFSET($H$3,0,0,'Données projet'!$E$10+1,1))</f>
        <v>465.77577582457678</v>
      </c>
      <c r="AO123" s="59">
        <f t="shared" si="90"/>
        <v>301.15495784503042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19.458649970085677</v>
      </c>
      <c r="AV123" s="21">
        <f>EXP(-LN(2)/25)*AV122+(1-EXP(-LN(2)/25))/(LN(2)/25)*Calculateur!AQ123*Calculateur!AS123*VLOOKUP('Données projet'!$B$10,Paramètres!$A$1:$I$89,3,0)*0.475*44/12</f>
        <v>7.4836254268417868</v>
      </c>
      <c r="AW123" s="21">
        <f>EXP(-LN(2)/2)*AW122+(1-EXP(-LN(2)/2))/(LN(2)/2)*AQ123*AT123*VLOOKUP('Données projet'!$B$10,Paramètres!$A$1:$I$89,3,0)*0.475*44/12</f>
        <v>4.845858493669299E-8</v>
      </c>
      <c r="AX123" s="21">
        <f t="shared" si="60"/>
        <v>26.942275445386048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273.00000000000023</v>
      </c>
      <c r="BE123" s="13">
        <f>BD123*VLOOKUP('Données projet'!$B$11,Paramètres!$A$1:$I$89,3,0)*VLOOKUP('Données projet'!$B$11,Paramètres!$A$1:$I$89,5,0)</f>
        <v>212.9400000000002</v>
      </c>
      <c r="BF123" s="13">
        <f t="shared" si="91"/>
        <v>52.577528895212915</v>
      </c>
      <c r="BG123" s="20">
        <f t="shared" si="61"/>
        <v>462.44302949249618</v>
      </c>
      <c r="BH123" s="59">
        <f t="shared" si="62"/>
        <v>755.77636282582944</v>
      </c>
      <c r="BI123" s="59">
        <f ca="1">AVERAGE(OFFSET($BH$3,0,0,'Données projet'!$E$11+1,1))-AVERAGE(OFFSET($H$3,0,0,'Données projet'!$E$11+1,1))</f>
        <v>219.5868031007679</v>
      </c>
      <c r="BJ123" s="59">
        <f t="shared" si="92"/>
        <v>263.3830219837742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9.9473396382303179</v>
      </c>
      <c r="BQ123" s="21">
        <f>EXP(-LN(2)/25)*BQ122+(1-EXP(-LN(2)/25))/(LN(2)/25)*Calculateur!BL123*Calculateur!BN123*VLOOKUP('Données projet'!$B$11,Paramètres!$A$1:$I$89,3,0)*0.475*44/12</f>
        <v>1.124003300225711</v>
      </c>
      <c r="BR123" s="21">
        <f>EXP(-LN(2)/2)*BR122+(1-EXP(-LN(2)/2))/(LN(2)/2)*BL123*BO123*VLOOKUP('Données projet'!$B$11,Paramètres!$A$1:$I$89,3,0)*0.475*44/12</f>
        <v>4.5768206635919921E-9</v>
      </c>
      <c r="BS123" s="22">
        <f t="shared" si="63"/>
        <v>11.07134294303285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243.99999999999989</v>
      </c>
      <c r="BZ123" s="13">
        <f>BY123*VLOOKUP('Données projet'!$B$12,Paramètres!$A$1:$I$89,3,0)*VLOOKUP('Données projet'!$B$12,Paramètres!$A$1:$I$89,5,0)</f>
        <v>262.64159999999987</v>
      </c>
      <c r="CA123" s="13">
        <f t="shared" si="93"/>
        <v>63.285128621471941</v>
      </c>
      <c r="CB123" s="20">
        <f t="shared" si="64"/>
        <v>567.65571901573003</v>
      </c>
      <c r="CC123" s="59">
        <f t="shared" si="65"/>
        <v>860.98905234906329</v>
      </c>
      <c r="CD123" s="59">
        <f ca="1">AVERAGE(OFFSET($CC$3,0,0,'Données projet'!$E$12+1,1))-AVERAGE(OFFSET($H$3,0,0,'Données projet'!$E$12+1,1))</f>
        <v>244.7364260963538</v>
      </c>
      <c r="CE123" s="59">
        <f t="shared" si="94"/>
        <v>270.32853612539299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10.900161496932945</v>
      </c>
      <c r="CL123" s="21">
        <f>EXP(-LN(2)/25)*CL122+(1-EXP(-LN(2)/25))/(LN(2)/25)*Calculateur!CG123*Calculateur!CI123*VLOOKUP('Données projet'!$B$12,Paramètres!$A$1:$I$89,3,0)*0.475*44/12</f>
        <v>1.2377618390810641</v>
      </c>
      <c r="CM123" s="21">
        <f>EXP(-LN(2)/2)*CM122+(1-EXP(-LN(2)/2))/(LN(2)/2)*CG123*CJ123*VLOOKUP('Données projet'!$B$12,Paramètres!$A$1:$I$89,3,0)*0.475*44/12</f>
        <v>4.7455774264363384E-9</v>
      </c>
      <c r="CN123" s="22">
        <f t="shared" si="66"/>
        <v>12.137923340759587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243.99999999999989</v>
      </c>
      <c r="CU123" s="17">
        <f>CT123*VLOOKUP('Données projet'!$B$13,Paramètres!$A$1:$I$89,3,0)*VLOOKUP('Données projet'!$B$13,Paramètres!$A$1:$I$89,5,0)</f>
        <v>235.99679999999987</v>
      </c>
      <c r="CV123" s="13">
        <f t="shared" si="95"/>
        <v>57.577381127598322</v>
      </c>
      <c r="CW123" s="20">
        <f t="shared" si="67"/>
        <v>511.30836546390015</v>
      </c>
      <c r="CX123" s="59">
        <f t="shared" si="68"/>
        <v>804.6416987972334</v>
      </c>
      <c r="CY123" s="59">
        <f ca="1">AVERAGE(OFFSET($CX$3,0,0,'Données projet'!$E$13+1,1))-AVERAGE(OFFSET($H$3,0,0,'Données projet'!$E$13+1,1))</f>
        <v>216.39536568500222</v>
      </c>
      <c r="CZ123" s="59">
        <f t="shared" si="96"/>
        <v>239.44686980897467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9.7943480117368527</v>
      </c>
      <c r="DG123" s="21">
        <f>EXP(-LN(2)/25)*DG122+(1-EXP(-LN(2)/25))/(LN(2)/25)*Calculateur!DB123*Calculateur!DD123*VLOOKUP('Données projet'!$B$13,Paramètres!$A$1:$I$89,3,0)*0.475*44/12</f>
        <v>1.1121917974351581</v>
      </c>
      <c r="DH123" s="21">
        <f>EXP(-LN(2)/2)*DH122+(1-EXP(-LN(2)/2))/(LN(2)/2)*DB123*DE123*VLOOKUP('Données projet'!$B$13,Paramètres!$A$1:$I$89,3,0)*0.475*44/12</f>
        <v>4.2641420353485898E-9</v>
      </c>
      <c r="DI123" s="22">
        <f t="shared" si="69"/>
        <v>10.906539813436153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71.728799999999808</v>
      </c>
      <c r="D124" s="11">
        <f t="shared" si="86"/>
        <v>20.102168044346346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708.87063051775976</v>
      </c>
      <c r="H124" s="67">
        <f t="shared" si="56"/>
        <v>453.27226934390285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306.99999999999994</v>
      </c>
      <c r="O124" s="13">
        <f>N124*VLOOKUP('Données projet'!$B$9,Paramètres!$A$1:$I$89,3,0)*VLOOKUP('Données projet'!$B$9,Paramètres!$A$1:$I$89,5,0)</f>
        <v>277.77359999999993</v>
      </c>
      <c r="P124" s="13">
        <f t="shared" si="87"/>
        <v>66.496288176842356</v>
      </c>
      <c r="Q124" s="20">
        <f t="shared" si="107"/>
        <v>599.60338857466706</v>
      </c>
      <c r="R124" s="59">
        <f t="shared" si="55"/>
        <v>892.93672190800044</v>
      </c>
      <c r="S124" s="59">
        <f ca="1">AVERAGE(OFFSET($R$3,0,0,'Données projet'!$E$9+1,1))-AVERAGE(OFFSET($H$3,0,0,'Données projet'!$E$9+1,1))</f>
        <v>330.30341204367602</v>
      </c>
      <c r="T124" s="59">
        <f t="shared" si="88"/>
        <v>200.36653694091007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68.135389923257932</v>
      </c>
      <c r="AA124" s="21">
        <f>EXP(-LN(2)/25)*AA123+(1-EXP(-LN(2)/25))/(LN(2)/25)*Calculateur!V124*Calculateur!X124*VLOOKUP('Données projet'!$B$9,Paramètres!$A$1:$I$89,3,0)*0.475*44/12</f>
        <v>2.8086992316799204</v>
      </c>
      <c r="AB124" s="21">
        <f>EXP(-LN(2)/2)*AB123+(1-EXP(-LN(2)/2))/(LN(2)/2)*V124*Y124*VLOOKUP('Données projet'!$B$9,Paramètres!$A$1:$I$89,3,0)*0.475*44/12</f>
        <v>0.18833302913922845</v>
      </c>
      <c r="AC124" s="22">
        <f t="shared" si="57"/>
        <v>71.132422184077086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971.99999999999977</v>
      </c>
      <c r="AJ124" s="13">
        <f>AI124*VLOOKUP('Données projet'!$B$10,Paramètres!$A$1:$I$89,3,0)*VLOOKUP('Données projet'!$B$10,Paramètres!$A$1:$I$89,5,0)</f>
        <v>581.25599999999986</v>
      </c>
      <c r="AK124" s="13">
        <f t="shared" si="89"/>
        <v>127.68713506014205</v>
      </c>
      <c r="AL124" s="20">
        <f t="shared" si="58"/>
        <v>1234.7426268964139</v>
      </c>
      <c r="AM124" s="59">
        <f t="shared" si="59"/>
        <v>1528.0759602297471</v>
      </c>
      <c r="AN124" s="59">
        <f ca="1">AVERAGE(OFFSET($AM$3,0,0,'Données projet'!$E$10+1,1))-AVERAGE(OFFSET($H$3,0,0,'Données projet'!$E$10+1,1))</f>
        <v>465.77577582457678</v>
      </c>
      <c r="AO124" s="59">
        <f t="shared" si="90"/>
        <v>301.15495784503042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19.077077712776852</v>
      </c>
      <c r="AV124" s="21">
        <f>EXP(-LN(2)/25)*AV123+(1-EXP(-LN(2)/25))/(LN(2)/25)*Calculateur!AQ124*Calculateur!AS124*VLOOKUP('Données projet'!$B$10,Paramètres!$A$1:$I$89,3,0)*0.475*44/12</f>
        <v>7.2789852959980408</v>
      </c>
      <c r="AW124" s="21">
        <f>EXP(-LN(2)/2)*AW123+(1-EXP(-LN(2)/2))/(LN(2)/2)*AQ124*AT124*VLOOKUP('Données projet'!$B$10,Paramètres!$A$1:$I$89,3,0)*0.475*44/12</f>
        <v>3.4265394015439898E-8</v>
      </c>
      <c r="AX124" s="21">
        <f t="shared" si="60"/>
        <v>26.356063043040287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273.00000000000023</v>
      </c>
      <c r="BE124" s="13">
        <f>BD124*VLOOKUP('Données projet'!$B$11,Paramètres!$A$1:$I$89,3,0)*VLOOKUP('Données projet'!$B$11,Paramètres!$A$1:$I$89,5,0)</f>
        <v>212.9400000000002</v>
      </c>
      <c r="BF124" s="13">
        <f t="shared" si="91"/>
        <v>52.577528895212915</v>
      </c>
      <c r="BG124" s="20">
        <f t="shared" si="61"/>
        <v>462.44302949249618</v>
      </c>
      <c r="BH124" s="59">
        <f t="shared" si="62"/>
        <v>755.77636282582944</v>
      </c>
      <c r="BI124" s="59">
        <f ca="1">AVERAGE(OFFSET($BH$3,0,0,'Données projet'!$E$11+1,1))-AVERAGE(OFFSET($H$3,0,0,'Données projet'!$E$11+1,1))</f>
        <v>219.5868031007679</v>
      </c>
      <c r="BJ124" s="59">
        <f t="shared" si="92"/>
        <v>263.3830219837742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9.7522783752027067</v>
      </c>
      <c r="BQ124" s="21">
        <f>EXP(-LN(2)/25)*BQ123+(1-EXP(-LN(2)/25))/(LN(2)/25)*Calculateur!BL124*Calculateur!BN124*VLOOKUP('Données projet'!$B$11,Paramètres!$A$1:$I$89,3,0)*0.475*44/12</f>
        <v>1.0932673708722744</v>
      </c>
      <c r="BR124" s="21">
        <f>EXP(-LN(2)/2)*BR123+(1-EXP(-LN(2)/2))/(LN(2)/2)*BL124*BO124*VLOOKUP('Données projet'!$B$11,Paramètres!$A$1:$I$89,3,0)*0.475*44/12</f>
        <v>3.236300927500612E-9</v>
      </c>
      <c r="BS124" s="22">
        <f t="shared" si="63"/>
        <v>10.845545749311281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243.99999999999989</v>
      </c>
      <c r="BZ124" s="13">
        <f>BY124*VLOOKUP('Données projet'!$B$12,Paramètres!$A$1:$I$89,3,0)*VLOOKUP('Données projet'!$B$12,Paramètres!$A$1:$I$89,5,0)</f>
        <v>262.64159999999987</v>
      </c>
      <c r="CA124" s="13">
        <f t="shared" si="93"/>
        <v>63.285128621471941</v>
      </c>
      <c r="CB124" s="20">
        <f t="shared" si="64"/>
        <v>567.65571901573003</v>
      </c>
      <c r="CC124" s="59">
        <f t="shared" si="65"/>
        <v>860.98905234906329</v>
      </c>
      <c r="CD124" s="59">
        <f ca="1">AVERAGE(OFFSET($CC$3,0,0,'Données projet'!$E$12+1,1))-AVERAGE(OFFSET($H$3,0,0,'Données projet'!$E$12+1,1))</f>
        <v>244.7364260963538</v>
      </c>
      <c r="CE124" s="59">
        <f t="shared" si="94"/>
        <v>270.32853612539299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10.686415978420124</v>
      </c>
      <c r="CL124" s="21">
        <f>EXP(-LN(2)/25)*CL123+(1-EXP(-LN(2)/25))/(LN(2)/25)*Calculateur!CG124*Calculateur!CI124*VLOOKUP('Données projet'!$B$12,Paramètres!$A$1:$I$89,3,0)*0.475*44/12</f>
        <v>1.2039151765003262</v>
      </c>
      <c r="CM124" s="21">
        <f>EXP(-LN(2)/2)*CM123+(1-EXP(-LN(2)/2))/(LN(2)/2)*CG124*CJ124*VLOOKUP('Données projet'!$B$12,Paramètres!$A$1:$I$89,3,0)*0.475*44/12</f>
        <v>3.3556299788789393E-9</v>
      </c>
      <c r="CN124" s="22">
        <f t="shared" si="66"/>
        <v>11.89033115827608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243.99999999999989</v>
      </c>
      <c r="CU124" s="17">
        <f>CT124*VLOOKUP('Données projet'!$B$13,Paramètres!$A$1:$I$89,3,0)*VLOOKUP('Données projet'!$B$13,Paramètres!$A$1:$I$89,5,0)</f>
        <v>235.99679999999987</v>
      </c>
      <c r="CV124" s="13">
        <f t="shared" si="95"/>
        <v>57.577381127598322</v>
      </c>
      <c r="CW124" s="20">
        <f t="shared" si="67"/>
        <v>511.30836546390015</v>
      </c>
      <c r="CX124" s="59">
        <f t="shared" si="68"/>
        <v>804.6416987972334</v>
      </c>
      <c r="CY124" s="59">
        <f ca="1">AVERAGE(OFFSET($CX$3,0,0,'Données projet'!$E$13+1,1))-AVERAGE(OFFSET($H$3,0,0,'Données projet'!$E$13+1,1))</f>
        <v>216.39536568500222</v>
      </c>
      <c r="CZ124" s="59">
        <f t="shared" si="96"/>
        <v>239.44686980897467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9.6022868211891002</v>
      </c>
      <c r="DG124" s="21">
        <f>EXP(-LN(2)/25)*DG123+(1-EXP(-LN(2)/25))/(LN(2)/25)*Calculateur!DB124*Calculateur!DD124*VLOOKUP('Données projet'!$B$13,Paramètres!$A$1:$I$89,3,0)*0.475*44/12</f>
        <v>1.0817788542466691</v>
      </c>
      <c r="DH124" s="21">
        <f>EXP(-LN(2)/2)*DH123+(1-EXP(-LN(2)/2))/(LN(2)/2)*DB124*DE124*VLOOKUP('Données projet'!$B$13,Paramètres!$A$1:$I$89,3,0)*0.475*44/12</f>
        <v>3.0152037491375948E-9</v>
      </c>
      <c r="DI124" s="22">
        <f t="shared" si="69"/>
        <v>10.684065678450974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72.321599999999805</v>
      </c>
      <c r="D125" s="11">
        <f t="shared" si="86"/>
        <v>20.248893319861008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714.57924667962732</v>
      </c>
      <c r="H125" s="67">
        <f t="shared" si="56"/>
        <v>454.56027586542427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306.99999999999994</v>
      </c>
      <c r="O125" s="13">
        <f>N125*VLOOKUP('Données projet'!$B$9,Paramètres!$A$1:$I$89,3,0)*VLOOKUP('Données projet'!$B$9,Paramètres!$A$1:$I$89,5,0)</f>
        <v>277.77359999999993</v>
      </c>
      <c r="P125" s="13">
        <f t="shared" si="87"/>
        <v>66.496288176842356</v>
      </c>
      <c r="Q125" s="20">
        <f t="shared" si="107"/>
        <v>599.60338857466706</v>
      </c>
      <c r="R125" s="59">
        <f t="shared" si="55"/>
        <v>892.93672190800044</v>
      </c>
      <c r="S125" s="59">
        <f ca="1">AVERAGE(OFFSET($R$3,0,0,'Données projet'!$E$9+1,1))-AVERAGE(OFFSET($H$3,0,0,'Données projet'!$E$9+1,1))</f>
        <v>330.30341204367602</v>
      </c>
      <c r="T125" s="59">
        <f t="shared" si="88"/>
        <v>200.36653694091007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66.799296485347142</v>
      </c>
      <c r="AA125" s="21">
        <f>EXP(-LN(2)/25)*AA124+(1-EXP(-LN(2)/25))/(LN(2)/25)*Calculateur!V125*Calculateur!X125*VLOOKUP('Données projet'!$B$9,Paramètres!$A$1:$I$89,3,0)*0.475*44/12</f>
        <v>2.7318952034865598</v>
      </c>
      <c r="AB125" s="21">
        <f>EXP(-LN(2)/2)*AB124+(1-EXP(-LN(2)/2))/(LN(2)/2)*V125*Y125*VLOOKUP('Données projet'!$B$9,Paramètres!$A$1:$I$89,3,0)*0.475*44/12</f>
        <v>0.13317156202575209</v>
      </c>
      <c r="AC125" s="22">
        <f t="shared" si="57"/>
        <v>69.664363250859452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971.99999999999977</v>
      </c>
      <c r="AJ125" s="13">
        <f>AI125*VLOOKUP('Données projet'!$B$10,Paramètres!$A$1:$I$89,3,0)*VLOOKUP('Données projet'!$B$10,Paramètres!$A$1:$I$89,5,0)</f>
        <v>581.25599999999986</v>
      </c>
      <c r="AK125" s="13">
        <f t="shared" si="89"/>
        <v>127.68713506014205</v>
      </c>
      <c r="AL125" s="20">
        <f t="shared" si="58"/>
        <v>1234.7426268964139</v>
      </c>
      <c r="AM125" s="59">
        <f t="shared" si="59"/>
        <v>1528.0759602297471</v>
      </c>
      <c r="AN125" s="59">
        <f ca="1">AVERAGE(OFFSET($AM$3,0,0,'Données projet'!$E$10+1,1))-AVERAGE(OFFSET($H$3,0,0,'Données projet'!$E$10+1,1))</f>
        <v>465.77577582457678</v>
      </c>
      <c r="AO125" s="59">
        <f t="shared" si="90"/>
        <v>301.15495784503042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18.702987854697756</v>
      </c>
      <c r="AV125" s="21">
        <f>EXP(-LN(2)/25)*AV124+(1-EXP(-LN(2)/25))/(LN(2)/25)*Calculateur!AQ125*Calculateur!AS125*VLOOKUP('Données projet'!$B$10,Paramètres!$A$1:$I$89,3,0)*0.475*44/12</f>
        <v>7.0799410602937742</v>
      </c>
      <c r="AW125" s="21">
        <f>EXP(-LN(2)/2)*AW124+(1-EXP(-LN(2)/2))/(LN(2)/2)*AQ125*AT125*VLOOKUP('Données projet'!$B$10,Paramètres!$A$1:$I$89,3,0)*0.475*44/12</f>
        <v>2.4229292468346495E-8</v>
      </c>
      <c r="AX125" s="21">
        <f t="shared" si="60"/>
        <v>25.782928939220824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273.00000000000023</v>
      </c>
      <c r="BE125" s="13">
        <f>BD125*VLOOKUP('Données projet'!$B$11,Paramètres!$A$1:$I$89,3,0)*VLOOKUP('Données projet'!$B$11,Paramètres!$A$1:$I$89,5,0)</f>
        <v>212.9400000000002</v>
      </c>
      <c r="BF125" s="13">
        <f t="shared" si="91"/>
        <v>52.577528895212915</v>
      </c>
      <c r="BG125" s="20">
        <f t="shared" si="61"/>
        <v>462.44302949249618</v>
      </c>
      <c r="BH125" s="59">
        <f t="shared" si="62"/>
        <v>755.77636282582944</v>
      </c>
      <c r="BI125" s="59">
        <f ca="1">AVERAGE(OFFSET($BH$3,0,0,'Données projet'!$E$11+1,1))-AVERAGE(OFFSET($H$3,0,0,'Données projet'!$E$11+1,1))</f>
        <v>219.5868031007679</v>
      </c>
      <c r="BJ125" s="59">
        <f t="shared" si="92"/>
        <v>263.3830219837742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9.5610421445674447</v>
      </c>
      <c r="BQ125" s="21">
        <f>EXP(-LN(2)/25)*BQ124+(1-EXP(-LN(2)/25))/(LN(2)/25)*Calculateur!BL125*Calculateur!BN125*VLOOKUP('Données projet'!$B$11,Paramètres!$A$1:$I$89,3,0)*0.475*44/12</f>
        <v>1.0633719171233398</v>
      </c>
      <c r="BR125" s="21">
        <f>EXP(-LN(2)/2)*BR124+(1-EXP(-LN(2)/2))/(LN(2)/2)*BL125*BO125*VLOOKUP('Données projet'!$B$11,Paramètres!$A$1:$I$89,3,0)*0.475*44/12</f>
        <v>2.288410331795996E-9</v>
      </c>
      <c r="BS125" s="22">
        <f t="shared" si="63"/>
        <v>10.624414063979193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243.99999999999989</v>
      </c>
      <c r="BZ125" s="13">
        <f>BY125*VLOOKUP('Données projet'!$B$12,Paramètres!$A$1:$I$89,3,0)*VLOOKUP('Données projet'!$B$12,Paramètres!$A$1:$I$89,5,0)</f>
        <v>262.64159999999987</v>
      </c>
      <c r="CA125" s="13">
        <f t="shared" si="93"/>
        <v>63.285128621471941</v>
      </c>
      <c r="CB125" s="20">
        <f t="shared" si="64"/>
        <v>567.65571901573003</v>
      </c>
      <c r="CC125" s="59">
        <f t="shared" si="65"/>
        <v>860.98905234906329</v>
      </c>
      <c r="CD125" s="59">
        <f ca="1">AVERAGE(OFFSET($CC$3,0,0,'Données projet'!$E$12+1,1))-AVERAGE(OFFSET($H$3,0,0,'Données projet'!$E$12+1,1))</f>
        <v>244.7364260963538</v>
      </c>
      <c r="CE125" s="59">
        <f t="shared" si="94"/>
        <v>270.32853612539299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10.476861879153446</v>
      </c>
      <c r="CL125" s="21">
        <f>EXP(-LN(2)/25)*CL124+(1-EXP(-LN(2)/25))/(LN(2)/25)*Calculateur!CG125*Calculateur!CI125*VLOOKUP('Données projet'!$B$12,Paramètres!$A$1:$I$89,3,0)*0.475*44/12</f>
        <v>1.1709940526877773</v>
      </c>
      <c r="CM125" s="21">
        <f>EXP(-LN(2)/2)*CM124+(1-EXP(-LN(2)/2))/(LN(2)/2)*CG125*CJ125*VLOOKUP('Données projet'!$B$12,Paramètres!$A$1:$I$89,3,0)*0.475*44/12</f>
        <v>2.3727887132181692E-9</v>
      </c>
      <c r="CN125" s="22">
        <f t="shared" si="66"/>
        <v>11.647855934214013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243.99999999999989</v>
      </c>
      <c r="CU125" s="17">
        <f>CT125*VLOOKUP('Données projet'!$B$13,Paramètres!$A$1:$I$89,3,0)*VLOOKUP('Données projet'!$B$13,Paramètres!$A$1:$I$89,5,0)</f>
        <v>235.99679999999987</v>
      </c>
      <c r="CV125" s="13">
        <f t="shared" si="95"/>
        <v>57.577381127598322</v>
      </c>
      <c r="CW125" s="20">
        <f t="shared" si="67"/>
        <v>511.30836546390015</v>
      </c>
      <c r="CX125" s="59">
        <f t="shared" si="68"/>
        <v>804.6416987972334</v>
      </c>
      <c r="CY125" s="59">
        <f ca="1">AVERAGE(OFFSET($CX$3,0,0,'Données projet'!$E$13+1,1))-AVERAGE(OFFSET($H$3,0,0,'Données projet'!$E$13+1,1))</f>
        <v>216.39536568500222</v>
      </c>
      <c r="CZ125" s="59">
        <f t="shared" si="96"/>
        <v>239.44686980897467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9.4139918334422301</v>
      </c>
      <c r="DG125" s="21">
        <f>EXP(-LN(2)/25)*DG124+(1-EXP(-LN(2)/25))/(LN(2)/25)*Calculateur!DB125*Calculateur!DD125*VLOOKUP('Données projet'!$B$13,Paramètres!$A$1:$I$89,3,0)*0.475*44/12</f>
        <v>1.0521975545890163</v>
      </c>
      <c r="DH125" s="21">
        <f>EXP(-LN(2)/2)*DH124+(1-EXP(-LN(2)/2))/(LN(2)/2)*DB125*DE125*VLOOKUP('Données projet'!$B$13,Paramètres!$A$1:$I$89,3,0)*0.475*44/12</f>
        <v>2.1320710176742949E-9</v>
      </c>
      <c r="DI125" s="22">
        <f t="shared" si="69"/>
        <v>10.466189390163317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72.914399999999802</v>
      </c>
      <c r="D126" s="11">
        <f t="shared" si="86"/>
        <v>20.395478670134604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720.28678271682702</v>
      </c>
      <c r="H126" s="67">
        <f t="shared" si="56"/>
        <v>455.84803868381744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306.99999999999994</v>
      </c>
      <c r="O126" s="13">
        <f>N126*VLOOKUP('Données projet'!$B$9,Paramètres!$A$1:$I$89,3,0)*VLOOKUP('Données projet'!$B$9,Paramètres!$A$1:$I$89,5,0)</f>
        <v>277.77359999999993</v>
      </c>
      <c r="P126" s="13">
        <f t="shared" si="87"/>
        <v>66.496288176842356</v>
      </c>
      <c r="Q126" s="20">
        <f t="shared" si="107"/>
        <v>599.60338857466706</v>
      </c>
      <c r="R126" s="59">
        <f t="shared" si="55"/>
        <v>892.93672190800044</v>
      </c>
      <c r="S126" s="59">
        <f ca="1">AVERAGE(OFFSET($R$3,0,0,'Données projet'!$E$9+1,1))-AVERAGE(OFFSET($H$3,0,0,'Données projet'!$E$9+1,1))</f>
        <v>330.30341204367602</v>
      </c>
      <c r="T126" s="59">
        <f t="shared" si="88"/>
        <v>200.36653694091007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65.48940302481725</v>
      </c>
      <c r="AA126" s="21">
        <f>EXP(-LN(2)/25)*AA125+(1-EXP(-LN(2)/25))/(LN(2)/25)*Calculateur!V126*Calculateur!X126*VLOOKUP('Données projet'!$B$9,Paramètres!$A$1:$I$89,3,0)*0.475*44/12</f>
        <v>2.6571913854830949</v>
      </c>
      <c r="AB126" s="21">
        <f>EXP(-LN(2)/2)*AB125+(1-EXP(-LN(2)/2))/(LN(2)/2)*V126*Y126*VLOOKUP('Données projet'!$B$9,Paramètres!$A$1:$I$89,3,0)*0.475*44/12</f>
        <v>9.4166514569614224E-2</v>
      </c>
      <c r="AC126" s="22">
        <f t="shared" si="57"/>
        <v>68.240760924869946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971.99999999999977</v>
      </c>
      <c r="AJ126" s="13">
        <f>AI126*VLOOKUP('Données projet'!$B$10,Paramètres!$A$1:$I$89,3,0)*VLOOKUP('Données projet'!$B$10,Paramètres!$A$1:$I$89,5,0)</f>
        <v>581.25599999999986</v>
      </c>
      <c r="AK126" s="13">
        <f t="shared" si="89"/>
        <v>127.68713506014205</v>
      </c>
      <c r="AL126" s="20">
        <f t="shared" si="58"/>
        <v>1234.7426268964139</v>
      </c>
      <c r="AM126" s="59">
        <f t="shared" si="59"/>
        <v>1528.0759602297471</v>
      </c>
      <c r="AN126" s="59">
        <f ca="1">AVERAGE(OFFSET($AM$3,0,0,'Données projet'!$E$10+1,1))-AVERAGE(OFFSET($H$3,0,0,'Données projet'!$E$10+1,1))</f>
        <v>465.77577582457678</v>
      </c>
      <c r="AO126" s="59">
        <f t="shared" si="90"/>
        <v>301.15495784503042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18.33623367056331</v>
      </c>
      <c r="AV126" s="21">
        <f>EXP(-LN(2)/25)*AV125+(1-EXP(-LN(2)/25))/(LN(2)/25)*Calculateur!AQ126*Calculateur!AS126*VLOOKUP('Données projet'!$B$10,Paramètres!$A$1:$I$89,3,0)*0.475*44/12</f>
        <v>6.8863396996821225</v>
      </c>
      <c r="AW126" s="21">
        <f>EXP(-LN(2)/2)*AW125+(1-EXP(-LN(2)/2))/(LN(2)/2)*AQ126*AT126*VLOOKUP('Données projet'!$B$10,Paramètres!$A$1:$I$89,3,0)*0.475*44/12</f>
        <v>1.7132697007719949E-8</v>
      </c>
      <c r="AX126" s="21">
        <f t="shared" si="60"/>
        <v>25.222573387378127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273.00000000000023</v>
      </c>
      <c r="BE126" s="13">
        <f>BD126*VLOOKUP('Données projet'!$B$11,Paramètres!$A$1:$I$89,3,0)*VLOOKUP('Données projet'!$B$11,Paramètres!$A$1:$I$89,5,0)</f>
        <v>212.9400000000002</v>
      </c>
      <c r="BF126" s="13">
        <f t="shared" si="91"/>
        <v>52.577528895212915</v>
      </c>
      <c r="BG126" s="20">
        <f t="shared" si="61"/>
        <v>462.44302949249618</v>
      </c>
      <c r="BH126" s="59">
        <f t="shared" si="62"/>
        <v>755.77636282582944</v>
      </c>
      <c r="BI126" s="59">
        <f ca="1">AVERAGE(OFFSET($BH$3,0,0,'Données projet'!$E$11+1,1))-AVERAGE(OFFSET($H$3,0,0,'Données projet'!$E$11+1,1))</f>
        <v>219.5868031007679</v>
      </c>
      <c r="BJ126" s="59">
        <f t="shared" si="92"/>
        <v>263.3830219837742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9.3735559397723573</v>
      </c>
      <c r="BQ126" s="21">
        <f>EXP(-LN(2)/25)*BQ125+(1-EXP(-LN(2)/25))/(LN(2)/25)*Calculateur!BL126*Calculateur!BN126*VLOOKUP('Données projet'!$B$11,Paramètres!$A$1:$I$89,3,0)*0.475*44/12</f>
        <v>1.0342939561293032</v>
      </c>
      <c r="BR126" s="21">
        <f>EXP(-LN(2)/2)*BR125+(1-EXP(-LN(2)/2))/(LN(2)/2)*BL126*BO126*VLOOKUP('Données projet'!$B$11,Paramètres!$A$1:$I$89,3,0)*0.475*44/12</f>
        <v>1.618150463750306E-9</v>
      </c>
      <c r="BS126" s="22">
        <f t="shared" si="63"/>
        <v>10.407849897519812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243.99999999999989</v>
      </c>
      <c r="BZ126" s="13">
        <f>BY126*VLOOKUP('Données projet'!$B$12,Paramètres!$A$1:$I$89,3,0)*VLOOKUP('Données projet'!$B$12,Paramètres!$A$1:$I$89,5,0)</f>
        <v>262.64159999999987</v>
      </c>
      <c r="CA126" s="13">
        <f t="shared" si="93"/>
        <v>63.285128621471941</v>
      </c>
      <c r="CB126" s="20">
        <f t="shared" si="64"/>
        <v>567.65571901573003</v>
      </c>
      <c r="CC126" s="59">
        <f t="shared" si="65"/>
        <v>860.98905234906329</v>
      </c>
      <c r="CD126" s="59">
        <f ca="1">AVERAGE(OFFSET($CC$3,0,0,'Données projet'!$E$12+1,1))-AVERAGE(OFFSET($H$3,0,0,'Données projet'!$E$12+1,1))</f>
        <v>244.7364260963538</v>
      </c>
      <c r="CE126" s="59">
        <f t="shared" si="94"/>
        <v>270.32853612539299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10.271417007958009</v>
      </c>
      <c r="CL126" s="21">
        <f>EXP(-LN(2)/25)*CL125+(1-EXP(-LN(2)/25))/(LN(2)/25)*Calculateur!CG126*Calculateur!CI126*VLOOKUP('Données projet'!$B$12,Paramètres!$A$1:$I$89,3,0)*0.475*44/12</f>
        <v>1.1389731587371292</v>
      </c>
      <c r="CM126" s="21">
        <f>EXP(-LN(2)/2)*CM125+(1-EXP(-LN(2)/2))/(LN(2)/2)*CG126*CJ126*VLOOKUP('Données projet'!$B$12,Paramètres!$A$1:$I$89,3,0)*0.475*44/12</f>
        <v>1.6778149894394697E-9</v>
      </c>
      <c r="CN126" s="22">
        <f t="shared" si="66"/>
        <v>11.410390168372953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243.99999999999989</v>
      </c>
      <c r="CU126" s="17">
        <f>CT126*VLOOKUP('Données projet'!$B$13,Paramètres!$A$1:$I$89,3,0)*VLOOKUP('Données projet'!$B$13,Paramètres!$A$1:$I$89,5,0)</f>
        <v>235.99679999999987</v>
      </c>
      <c r="CV126" s="13">
        <f t="shared" si="95"/>
        <v>57.577381127598322</v>
      </c>
      <c r="CW126" s="20">
        <f t="shared" si="67"/>
        <v>511.30836546390015</v>
      </c>
      <c r="CX126" s="59">
        <f t="shared" si="68"/>
        <v>804.6416987972334</v>
      </c>
      <c r="CY126" s="59">
        <f ca="1">AVERAGE(OFFSET($CX$3,0,0,'Données projet'!$E$13+1,1))-AVERAGE(OFFSET($H$3,0,0,'Données projet'!$E$13+1,1))</f>
        <v>216.39536568500222</v>
      </c>
      <c r="CZ126" s="59">
        <f t="shared" si="96"/>
        <v>239.44686980897467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9.2293891955564735</v>
      </c>
      <c r="DG126" s="21">
        <f>EXP(-LN(2)/25)*DG125+(1-EXP(-LN(2)/25))/(LN(2)/25)*Calculateur!DB126*Calculateur!DD126*VLOOKUP('Données projet'!$B$13,Paramètres!$A$1:$I$89,3,0)*0.475*44/12</f>
        <v>1.023425157126115</v>
      </c>
      <c r="DH126" s="21">
        <f>EXP(-LN(2)/2)*DH125+(1-EXP(-LN(2)/2))/(LN(2)/2)*DB126*DE126*VLOOKUP('Données projet'!$B$13,Paramètres!$A$1:$I$89,3,0)*0.475*44/12</f>
        <v>1.5076018745687974E-9</v>
      </c>
      <c r="DI126" s="22">
        <f t="shared" si="69"/>
        <v>10.252814354190189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73.507199999999798</v>
      </c>
      <c r="D127" s="11">
        <f t="shared" si="86"/>
        <v>20.541925364615139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725.99324842860653</v>
      </c>
      <c r="H127" s="67">
        <f t="shared" si="56"/>
        <v>457.13556001003769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306.99999999999994</v>
      </c>
      <c r="O127" s="13">
        <f>N127*VLOOKUP('Données projet'!$B$9,Paramètres!$A$1:$I$89,3,0)*VLOOKUP('Données projet'!$B$9,Paramètres!$A$1:$I$89,5,0)</f>
        <v>277.77359999999993</v>
      </c>
      <c r="P127" s="13">
        <f t="shared" si="87"/>
        <v>66.496288176842356</v>
      </c>
      <c r="Q127" s="20">
        <f t="shared" si="107"/>
        <v>599.60338857466706</v>
      </c>
      <c r="R127" s="59">
        <f t="shared" si="55"/>
        <v>892.93672190800044</v>
      </c>
      <c r="S127" s="59">
        <f ca="1">AVERAGE(OFFSET($R$3,0,0,'Données projet'!$E$9+1,1))-AVERAGE(OFFSET($H$3,0,0,'Données projet'!$E$9+1,1))</f>
        <v>330.30341204367602</v>
      </c>
      <c r="T127" s="59">
        <f t="shared" si="88"/>
        <v>200.36653694091007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64.205195776092225</v>
      </c>
      <c r="AA127" s="21">
        <f>EXP(-LN(2)/25)*AA126+(1-EXP(-LN(2)/25))/(LN(2)/25)*Calculateur!V127*Calculateur!X127*VLOOKUP('Données projet'!$B$9,Paramètres!$A$1:$I$89,3,0)*0.475*44/12</f>
        <v>2.5845303473114378</v>
      </c>
      <c r="AB127" s="21">
        <f>EXP(-LN(2)/2)*AB126+(1-EXP(-LN(2)/2))/(LN(2)/2)*V127*Y127*VLOOKUP('Données projet'!$B$9,Paramètres!$A$1:$I$89,3,0)*0.475*44/12</f>
        <v>6.6585781012876044E-2</v>
      </c>
      <c r="AC127" s="22">
        <f t="shared" si="57"/>
        <v>66.856311904416543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971.99999999999977</v>
      </c>
      <c r="AJ127" s="13">
        <f>AI127*VLOOKUP('Données projet'!$B$10,Paramètres!$A$1:$I$89,3,0)*VLOOKUP('Données projet'!$B$10,Paramètres!$A$1:$I$89,5,0)</f>
        <v>581.25599999999986</v>
      </c>
      <c r="AK127" s="13">
        <f t="shared" si="89"/>
        <v>127.68713506014205</v>
      </c>
      <c r="AL127" s="20">
        <f t="shared" si="58"/>
        <v>1234.7426268964139</v>
      </c>
      <c r="AM127" s="59">
        <f t="shared" si="59"/>
        <v>1528.0759602297471</v>
      </c>
      <c r="AN127" s="59">
        <f ca="1">AVERAGE(OFFSET($AM$3,0,0,'Données projet'!$E$10+1,1))-AVERAGE(OFFSET($H$3,0,0,'Données projet'!$E$10+1,1))</f>
        <v>465.77577582457678</v>
      </c>
      <c r="AO127" s="59">
        <f t="shared" si="90"/>
        <v>301.15495784503042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17.976671312281773</v>
      </c>
      <c r="AV127" s="21">
        <f>EXP(-LN(2)/25)*AV126+(1-EXP(-LN(2)/25))/(LN(2)/25)*Calculateur!AQ127*Calculateur!AS127*VLOOKUP('Données projet'!$B$10,Paramètres!$A$1:$I$89,3,0)*0.475*44/12</f>
        <v>6.6980323784574489</v>
      </c>
      <c r="AW127" s="21">
        <f>EXP(-LN(2)/2)*AW126+(1-EXP(-LN(2)/2))/(LN(2)/2)*AQ127*AT127*VLOOKUP('Données projet'!$B$10,Paramètres!$A$1:$I$89,3,0)*0.475*44/12</f>
        <v>1.2114646234173247E-8</v>
      </c>
      <c r="AX127" s="21">
        <f t="shared" si="60"/>
        <v>24.674703702853868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273.00000000000023</v>
      </c>
      <c r="BE127" s="13">
        <f>BD127*VLOOKUP('Données projet'!$B$11,Paramètres!$A$1:$I$89,3,0)*VLOOKUP('Données projet'!$B$11,Paramètres!$A$1:$I$89,5,0)</f>
        <v>212.9400000000002</v>
      </c>
      <c r="BF127" s="13">
        <f t="shared" si="91"/>
        <v>52.577528895212915</v>
      </c>
      <c r="BG127" s="20">
        <f t="shared" si="61"/>
        <v>462.44302949249618</v>
      </c>
      <c r="BH127" s="59">
        <f t="shared" si="62"/>
        <v>755.77636282582944</v>
      </c>
      <c r="BI127" s="59">
        <f ca="1">AVERAGE(OFFSET($BH$3,0,0,'Données projet'!$E$11+1,1))-AVERAGE(OFFSET($H$3,0,0,'Données projet'!$E$11+1,1))</f>
        <v>219.5868031007679</v>
      </c>
      <c r="BJ127" s="59">
        <f t="shared" si="92"/>
        <v>263.3830219837742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9.1897462250980073</v>
      </c>
      <c r="BQ127" s="21">
        <f>EXP(-LN(2)/25)*BQ126+(1-EXP(-LN(2)/25))/(LN(2)/25)*Calculateur!BL127*Calculateur!BN127*VLOOKUP('Données projet'!$B$11,Paramètres!$A$1:$I$89,3,0)*0.475*44/12</f>
        <v>1.0060111335077921</v>
      </c>
      <c r="BR127" s="21">
        <f>EXP(-LN(2)/2)*BR126+(1-EXP(-LN(2)/2))/(LN(2)/2)*BL127*BO127*VLOOKUP('Données projet'!$B$11,Paramètres!$A$1:$I$89,3,0)*0.475*44/12</f>
        <v>1.144205165897998E-9</v>
      </c>
      <c r="BS127" s="22">
        <f t="shared" si="63"/>
        <v>10.195757359750004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243.99999999999989</v>
      </c>
      <c r="BZ127" s="13">
        <f>BY127*VLOOKUP('Données projet'!$B$12,Paramètres!$A$1:$I$89,3,0)*VLOOKUP('Données projet'!$B$12,Paramètres!$A$1:$I$89,5,0)</f>
        <v>262.64159999999987</v>
      </c>
      <c r="CA127" s="13">
        <f t="shared" si="93"/>
        <v>63.285128621471941</v>
      </c>
      <c r="CB127" s="20">
        <f t="shared" si="64"/>
        <v>567.65571901573003</v>
      </c>
      <c r="CC127" s="59">
        <f t="shared" si="65"/>
        <v>860.98905234906329</v>
      </c>
      <c r="CD127" s="59">
        <f ca="1">AVERAGE(OFFSET($CC$3,0,0,'Données projet'!$E$12+1,1))-AVERAGE(OFFSET($H$3,0,0,'Données projet'!$E$12+1,1))</f>
        <v>244.7364260963538</v>
      </c>
      <c r="CE127" s="59">
        <f t="shared" si="94"/>
        <v>270.32853612539299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10.070000785377715</v>
      </c>
      <c r="CL127" s="21">
        <f>EXP(-LN(2)/25)*CL126+(1-EXP(-LN(2)/25))/(LN(2)/25)*Calculateur!CG127*Calculateur!CI127*VLOOKUP('Données projet'!$B$12,Paramètres!$A$1:$I$89,3,0)*0.475*44/12</f>
        <v>1.1078278778154671</v>
      </c>
      <c r="CM127" s="21">
        <f>EXP(-LN(2)/2)*CM126+(1-EXP(-LN(2)/2))/(LN(2)/2)*CG127*CJ127*VLOOKUP('Données projet'!$B$12,Paramètres!$A$1:$I$89,3,0)*0.475*44/12</f>
        <v>1.1863943566090846E-9</v>
      </c>
      <c r="CN127" s="22">
        <f t="shared" si="66"/>
        <v>11.177828664379577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243.99999999999989</v>
      </c>
      <c r="CU127" s="17">
        <f>CT127*VLOOKUP('Données projet'!$B$13,Paramètres!$A$1:$I$89,3,0)*VLOOKUP('Données projet'!$B$13,Paramètres!$A$1:$I$89,5,0)</f>
        <v>235.99679999999987</v>
      </c>
      <c r="CV127" s="13">
        <f t="shared" si="95"/>
        <v>57.577381127598322</v>
      </c>
      <c r="CW127" s="20">
        <f t="shared" si="67"/>
        <v>511.30836546390015</v>
      </c>
      <c r="CX127" s="59">
        <f t="shared" si="68"/>
        <v>804.6416987972334</v>
      </c>
      <c r="CY127" s="59">
        <f ca="1">AVERAGE(OFFSET($CX$3,0,0,'Données projet'!$E$13+1,1))-AVERAGE(OFFSET($H$3,0,0,'Données projet'!$E$13+1,1))</f>
        <v>216.39536568500222</v>
      </c>
      <c r="CZ127" s="59">
        <f t="shared" si="96"/>
        <v>239.44686980897467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9.0484065028031662</v>
      </c>
      <c r="DG127" s="21">
        <f>EXP(-LN(2)/25)*DG126+(1-EXP(-LN(2)/25))/(LN(2)/25)*Calculateur!DB127*Calculateur!DD127*VLOOKUP('Données projet'!$B$13,Paramètres!$A$1:$I$89,3,0)*0.475*44/12</f>
        <v>0.9954395423849115</v>
      </c>
      <c r="DH127" s="21">
        <f>EXP(-LN(2)/2)*DH126+(1-EXP(-LN(2)/2))/(LN(2)/2)*DB127*DE127*VLOOKUP('Données projet'!$B$13,Paramètres!$A$1:$I$89,3,0)*0.475*44/12</f>
        <v>1.0660355088371475E-9</v>
      </c>
      <c r="DI127" s="22">
        <f t="shared" si="69"/>
        <v>10.043846046254114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74.099999999999795</v>
      </c>
      <c r="D128" s="11">
        <f t="shared" si="86"/>
        <v>20.688234651093392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731.69865344703521</v>
      </c>
      <c r="H128" s="67">
        <f t="shared" si="56"/>
        <v>458.42284201732059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306.99999999999994</v>
      </c>
      <c r="O128" s="13">
        <f>N128*VLOOKUP('Données projet'!$B$9,Paramètres!$A$1:$I$89,3,0)*VLOOKUP('Données projet'!$B$9,Paramètres!$A$1:$I$89,5,0)</f>
        <v>277.77359999999993</v>
      </c>
      <c r="P128" s="13">
        <f t="shared" si="87"/>
        <v>66.496288176842356</v>
      </c>
      <c r="Q128" s="20">
        <f t="shared" si="107"/>
        <v>599.60338857466706</v>
      </c>
      <c r="R128" s="59">
        <f t="shared" si="55"/>
        <v>892.93672190800044</v>
      </c>
      <c r="S128" s="59">
        <f ca="1">AVERAGE(OFFSET($R$3,0,0,'Données projet'!$E$9+1,1))-AVERAGE(OFFSET($H$3,0,0,'Données projet'!$E$9+1,1))</f>
        <v>330.30341204367602</v>
      </c>
      <c r="T128" s="59">
        <f t="shared" si="88"/>
        <v>200.36653694091007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62.946171048225622</v>
      </c>
      <c r="AA128" s="21">
        <f>EXP(-LN(2)/25)*AA127+(1-EXP(-LN(2)/25))/(LN(2)/25)*Calculateur!V128*Calculateur!X128*VLOOKUP('Données projet'!$B$9,Paramètres!$A$1:$I$89,3,0)*0.475*44/12</f>
        <v>2.5138562290496624</v>
      </c>
      <c r="AB128" s="21">
        <f>EXP(-LN(2)/2)*AB127+(1-EXP(-LN(2)/2))/(LN(2)/2)*V128*Y128*VLOOKUP('Données projet'!$B$9,Paramètres!$A$1:$I$89,3,0)*0.475*44/12</f>
        <v>4.7083257284807112E-2</v>
      </c>
      <c r="AC128" s="22">
        <f t="shared" si="57"/>
        <v>65.507110534560098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971.99999999999977</v>
      </c>
      <c r="AJ128" s="13">
        <f>AI128*VLOOKUP('Données projet'!$B$10,Paramètres!$A$1:$I$89,3,0)*VLOOKUP('Données projet'!$B$10,Paramètres!$A$1:$I$89,5,0)</f>
        <v>581.25599999999986</v>
      </c>
      <c r="AK128" s="13">
        <f t="shared" si="89"/>
        <v>127.68713506014205</v>
      </c>
      <c r="AL128" s="20">
        <f t="shared" si="58"/>
        <v>1234.7426268964139</v>
      </c>
      <c r="AM128" s="59">
        <f t="shared" si="59"/>
        <v>1528.0759602297471</v>
      </c>
      <c r="AN128" s="59">
        <f ca="1">AVERAGE(OFFSET($AM$3,0,0,'Données projet'!$E$10+1,1))-AVERAGE(OFFSET($H$3,0,0,'Données projet'!$E$10+1,1))</f>
        <v>465.77577582457678</v>
      </c>
      <c r="AO128" s="59">
        <f t="shared" si="90"/>
        <v>301.15495784503042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17.624159752534755</v>
      </c>
      <c r="AV128" s="21">
        <f>EXP(-LN(2)/25)*AV127+(1-EXP(-LN(2)/25))/(LN(2)/25)*Calculateur!AQ128*Calculateur!AS128*VLOOKUP('Données projet'!$B$10,Paramètres!$A$1:$I$89,3,0)*0.475*44/12</f>
        <v>6.5148743308343153</v>
      </c>
      <c r="AW128" s="21">
        <f>EXP(-LN(2)/2)*AW127+(1-EXP(-LN(2)/2))/(LN(2)/2)*AQ128*AT128*VLOOKUP('Données projet'!$B$10,Paramètres!$A$1:$I$89,3,0)*0.475*44/12</f>
        <v>8.5663485038599745E-9</v>
      </c>
      <c r="AX128" s="21">
        <f t="shared" si="60"/>
        <v>24.139034091935418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273.00000000000023</v>
      </c>
      <c r="BE128" s="13">
        <f>BD128*VLOOKUP('Données projet'!$B$11,Paramètres!$A$1:$I$89,3,0)*VLOOKUP('Données projet'!$B$11,Paramètres!$A$1:$I$89,5,0)</f>
        <v>212.9400000000002</v>
      </c>
      <c r="BF128" s="13">
        <f t="shared" si="91"/>
        <v>52.577528895212915</v>
      </c>
      <c r="BG128" s="20">
        <f t="shared" si="61"/>
        <v>462.44302949249618</v>
      </c>
      <c r="BH128" s="59">
        <f t="shared" si="62"/>
        <v>755.77636282582944</v>
      </c>
      <c r="BI128" s="59">
        <f ca="1">AVERAGE(OFFSET($BH$3,0,0,'Données projet'!$E$11+1,1))-AVERAGE(OFFSET($H$3,0,0,'Données projet'!$E$11+1,1))</f>
        <v>219.5868031007679</v>
      </c>
      <c r="BJ128" s="59">
        <f t="shared" si="92"/>
        <v>263.3830219837742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9.0095409068155661</v>
      </c>
      <c r="BQ128" s="21">
        <f>EXP(-LN(2)/25)*BQ127+(1-EXP(-LN(2)/25))/(LN(2)/25)*Calculateur!BL128*Calculateur!BN128*VLOOKUP('Données projet'!$B$11,Paramètres!$A$1:$I$89,3,0)*0.475*44/12</f>
        <v>0.97850170615819532</v>
      </c>
      <c r="BR128" s="21">
        <f>EXP(-LN(2)/2)*BR127+(1-EXP(-LN(2)/2))/(LN(2)/2)*BL128*BO128*VLOOKUP('Données projet'!$B$11,Paramètres!$A$1:$I$89,3,0)*0.475*44/12</f>
        <v>8.0907523187515301E-10</v>
      </c>
      <c r="BS128" s="22">
        <f t="shared" si="63"/>
        <v>9.9880426137828362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243.99999999999989</v>
      </c>
      <c r="BZ128" s="13">
        <f>BY128*VLOOKUP('Données projet'!$B$12,Paramètres!$A$1:$I$89,3,0)*VLOOKUP('Données projet'!$B$12,Paramètres!$A$1:$I$89,5,0)</f>
        <v>262.64159999999987</v>
      </c>
      <c r="CA128" s="13">
        <f t="shared" si="93"/>
        <v>63.285128621471941</v>
      </c>
      <c r="CB128" s="20">
        <f t="shared" si="64"/>
        <v>567.65571901573003</v>
      </c>
      <c r="CC128" s="59">
        <f t="shared" si="65"/>
        <v>860.98905234906329</v>
      </c>
      <c r="CD128" s="59">
        <f ca="1">AVERAGE(OFFSET($CC$3,0,0,'Données projet'!$E$12+1,1))-AVERAGE(OFFSET($H$3,0,0,'Données projet'!$E$12+1,1))</f>
        <v>244.7364260963538</v>
      </c>
      <c r="CE128" s="59">
        <f t="shared" si="94"/>
        <v>270.32853612539299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9.8725342120704553</v>
      </c>
      <c r="CL128" s="21">
        <f>EXP(-LN(2)/25)*CL127+(1-EXP(-LN(2)/25))/(LN(2)/25)*Calculateur!CG128*Calculateur!CI128*VLOOKUP('Données projet'!$B$12,Paramètres!$A$1:$I$89,3,0)*0.475*44/12</f>
        <v>1.077534266238467</v>
      </c>
      <c r="CM128" s="21">
        <f>EXP(-LN(2)/2)*CM127+(1-EXP(-LN(2)/2))/(LN(2)/2)*CG128*CJ128*VLOOKUP('Données projet'!$B$12,Paramètres!$A$1:$I$89,3,0)*0.475*44/12</f>
        <v>8.3890749471973483E-10</v>
      </c>
      <c r="CN128" s="22">
        <f t="shared" si="66"/>
        <v>10.950068479147831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243.99999999999989</v>
      </c>
      <c r="CU128" s="17">
        <f>CT128*VLOOKUP('Données projet'!$B$13,Paramètres!$A$1:$I$89,3,0)*VLOOKUP('Données projet'!$B$13,Paramètres!$A$1:$I$89,5,0)</f>
        <v>235.99679999999987</v>
      </c>
      <c r="CV128" s="13">
        <f t="shared" si="95"/>
        <v>57.577381127598322</v>
      </c>
      <c r="CW128" s="20">
        <f t="shared" si="67"/>
        <v>511.30836546390015</v>
      </c>
      <c r="CX128" s="59">
        <f t="shared" si="68"/>
        <v>804.6416987972334</v>
      </c>
      <c r="CY128" s="59">
        <f ca="1">AVERAGE(OFFSET($CX$3,0,0,'Données projet'!$E$13+1,1))-AVERAGE(OFFSET($H$3,0,0,'Données projet'!$E$13+1,1))</f>
        <v>216.39536568500222</v>
      </c>
      <c r="CZ128" s="59">
        <f t="shared" si="96"/>
        <v>239.44686980897467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8.8709727702662082</v>
      </c>
      <c r="DG128" s="21">
        <f>EXP(-LN(2)/25)*DG127+(1-EXP(-LN(2)/25))/(LN(2)/25)*Calculateur!DB128*Calculateur!DD128*VLOOKUP('Données projet'!$B$13,Paramètres!$A$1:$I$89,3,0)*0.475*44/12</f>
        <v>0.96821919575050563</v>
      </c>
      <c r="DH128" s="21">
        <f>EXP(-LN(2)/2)*DH127+(1-EXP(-LN(2)/2))/(LN(2)/2)*DB128*DE128*VLOOKUP('Données projet'!$B$13,Paramètres!$A$1:$I$89,3,0)*0.475*44/12</f>
        <v>7.5380093728439869E-10</v>
      </c>
      <c r="DI128" s="22">
        <f t="shared" si="69"/>
        <v>9.8391919667705139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74.692799999999792</v>
      </c>
      <c r="D129" s="11">
        <f t="shared" si="86"/>
        <v>20.834407756242776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737.40300724117071</v>
      </c>
      <c r="H129" s="67">
        <f t="shared" si="56"/>
        <v>459.7098868421225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306.99999999999994</v>
      </c>
      <c r="O129" s="13">
        <f>N129*VLOOKUP('Données projet'!$B$9,Paramètres!$A$1:$I$89,3,0)*VLOOKUP('Données projet'!$B$9,Paramètres!$A$1:$I$89,5,0)</f>
        <v>277.77359999999993</v>
      </c>
      <c r="P129" s="13">
        <f t="shared" si="87"/>
        <v>66.496288176842356</v>
      </c>
      <c r="Q129" s="20">
        <f t="shared" si="107"/>
        <v>599.60338857466706</v>
      </c>
      <c r="R129" s="59">
        <f t="shared" si="55"/>
        <v>892.93672190800044</v>
      </c>
      <c r="S129" s="59">
        <f ca="1">AVERAGE(OFFSET($R$3,0,0,'Données projet'!$E$9+1,1))-AVERAGE(OFFSET($H$3,0,0,'Données projet'!$E$9+1,1))</f>
        <v>330.30341204367602</v>
      </c>
      <c r="T129" s="59">
        <f t="shared" si="88"/>
        <v>200.36653694091007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61.711835027343227</v>
      </c>
      <c r="AA129" s="21">
        <f>EXP(-LN(2)/25)*AA128+(1-EXP(-LN(2)/25))/(LN(2)/25)*Calculateur!V129*Calculateur!X129*VLOOKUP('Données projet'!$B$9,Paramètres!$A$1:$I$89,3,0)*0.475*44/12</f>
        <v>2.445114698268346</v>
      </c>
      <c r="AB129" s="21">
        <f>EXP(-LN(2)/2)*AB128+(1-EXP(-LN(2)/2))/(LN(2)/2)*V129*Y129*VLOOKUP('Données projet'!$B$9,Paramètres!$A$1:$I$89,3,0)*0.475*44/12</f>
        <v>3.3292890506438022E-2</v>
      </c>
      <c r="AC129" s="22">
        <f t="shared" si="57"/>
        <v>64.190242616118013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971.99999999999977</v>
      </c>
      <c r="AJ129" s="13">
        <f>AI129*VLOOKUP('Données projet'!$B$10,Paramètres!$A$1:$I$89,3,0)*VLOOKUP('Données projet'!$B$10,Paramètres!$A$1:$I$89,5,0)</f>
        <v>581.25599999999986</v>
      </c>
      <c r="AK129" s="13">
        <f t="shared" si="89"/>
        <v>127.68713506014205</v>
      </c>
      <c r="AL129" s="20">
        <f t="shared" si="58"/>
        <v>1234.7426268964139</v>
      </c>
      <c r="AM129" s="59">
        <f t="shared" si="59"/>
        <v>1528.0759602297471</v>
      </c>
      <c r="AN129" s="59">
        <f ca="1">AVERAGE(OFFSET($AM$3,0,0,'Données projet'!$E$10+1,1))-AVERAGE(OFFSET($H$3,0,0,'Données projet'!$E$10+1,1))</f>
        <v>465.77577582457678</v>
      </c>
      <c r="AO129" s="59">
        <f t="shared" si="90"/>
        <v>301.15495784503042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17.278560729463557</v>
      </c>
      <c r="AV129" s="21">
        <f>EXP(-LN(2)/25)*AV128+(1-EXP(-LN(2)/25))/(LN(2)/25)*Calculateur!AQ129*Calculateur!AS129*VLOOKUP('Données projet'!$B$10,Paramètres!$A$1:$I$89,3,0)*0.475*44/12</f>
        <v>6.3367247496552999</v>
      </c>
      <c r="AW129" s="21">
        <f>EXP(-LN(2)/2)*AW128+(1-EXP(-LN(2)/2))/(LN(2)/2)*AQ129*AT129*VLOOKUP('Données projet'!$B$10,Paramètres!$A$1:$I$89,3,0)*0.475*44/12</f>
        <v>6.0573231170866237E-9</v>
      </c>
      <c r="AX129" s="21">
        <f t="shared" si="60"/>
        <v>23.61528548517618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273.00000000000023</v>
      </c>
      <c r="BE129" s="13">
        <f>BD129*VLOOKUP('Données projet'!$B$11,Paramètres!$A$1:$I$89,3,0)*VLOOKUP('Données projet'!$B$11,Paramètres!$A$1:$I$89,5,0)</f>
        <v>212.9400000000002</v>
      </c>
      <c r="BF129" s="13">
        <f t="shared" si="91"/>
        <v>52.577528895212915</v>
      </c>
      <c r="BG129" s="20">
        <f t="shared" si="61"/>
        <v>462.44302949249618</v>
      </c>
      <c r="BH129" s="59">
        <f t="shared" si="62"/>
        <v>755.77636282582944</v>
      </c>
      <c r="BI129" s="59">
        <f ca="1">AVERAGE(OFFSET($BH$3,0,0,'Données projet'!$E$11+1,1))-AVERAGE(OFFSET($H$3,0,0,'Données projet'!$E$11+1,1))</f>
        <v>219.5868031007679</v>
      </c>
      <c r="BJ129" s="59">
        <f t="shared" si="92"/>
        <v>263.3830219837742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8.8328693049102522</v>
      </c>
      <c r="BQ129" s="21">
        <f>EXP(-LN(2)/25)*BQ128+(1-EXP(-LN(2)/25))/(LN(2)/25)*Calculateur!BL129*Calculateur!BN129*VLOOKUP('Données projet'!$B$11,Paramètres!$A$1:$I$89,3,0)*0.475*44/12</f>
        <v>0.95174452554613109</v>
      </c>
      <c r="BR129" s="21">
        <f>EXP(-LN(2)/2)*BR128+(1-EXP(-LN(2)/2))/(LN(2)/2)*BL129*BO129*VLOOKUP('Données projet'!$B$11,Paramètres!$A$1:$I$89,3,0)*0.475*44/12</f>
        <v>5.7210258294899901E-10</v>
      </c>
      <c r="BS129" s="22">
        <f t="shared" si="63"/>
        <v>9.7846138310284854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243.99999999999989</v>
      </c>
      <c r="BZ129" s="13">
        <f>BY129*VLOOKUP('Données projet'!$B$12,Paramètres!$A$1:$I$89,3,0)*VLOOKUP('Données projet'!$B$12,Paramètres!$A$1:$I$89,5,0)</f>
        <v>262.64159999999987</v>
      </c>
      <c r="CA129" s="13">
        <f t="shared" si="93"/>
        <v>63.285128621471941</v>
      </c>
      <c r="CB129" s="20">
        <f t="shared" si="64"/>
        <v>567.65571901573003</v>
      </c>
      <c r="CC129" s="59">
        <f t="shared" si="65"/>
        <v>860.98905234906329</v>
      </c>
      <c r="CD129" s="59">
        <f ca="1">AVERAGE(OFFSET($CC$3,0,0,'Données projet'!$E$12+1,1))-AVERAGE(OFFSET($H$3,0,0,'Données projet'!$E$12+1,1))</f>
        <v>244.7364260963538</v>
      </c>
      <c r="CE129" s="59">
        <f t="shared" si="94"/>
        <v>270.32853612539299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9.6789398378230338</v>
      </c>
      <c r="CL129" s="21">
        <f>EXP(-LN(2)/25)*CL128+(1-EXP(-LN(2)/25))/(LN(2)/25)*Calculateur!CG129*Calculateur!CI129*VLOOKUP('Données projet'!$B$12,Paramètres!$A$1:$I$89,3,0)*0.475*44/12</f>
        <v>1.0480690350631119</v>
      </c>
      <c r="CM129" s="21">
        <f>EXP(-LN(2)/2)*CM128+(1-EXP(-LN(2)/2))/(LN(2)/2)*CG129*CJ129*VLOOKUP('Données projet'!$B$12,Paramètres!$A$1:$I$89,3,0)*0.475*44/12</f>
        <v>5.931971783045423E-10</v>
      </c>
      <c r="CN129" s="22">
        <f t="shared" si="66"/>
        <v>10.727008873479342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243.99999999999989</v>
      </c>
      <c r="CU129" s="17">
        <f>CT129*VLOOKUP('Données projet'!$B$13,Paramètres!$A$1:$I$89,3,0)*VLOOKUP('Données projet'!$B$13,Paramètres!$A$1:$I$89,5,0)</f>
        <v>235.99679999999987</v>
      </c>
      <c r="CV129" s="13">
        <f t="shared" si="95"/>
        <v>57.577381127598322</v>
      </c>
      <c r="CW129" s="20">
        <f t="shared" si="67"/>
        <v>511.30836546390015</v>
      </c>
      <c r="CX129" s="59">
        <f t="shared" si="68"/>
        <v>804.6416987972334</v>
      </c>
      <c r="CY129" s="59">
        <f ca="1">AVERAGE(OFFSET($CX$3,0,0,'Données projet'!$E$13+1,1))-AVERAGE(OFFSET($H$3,0,0,'Données projet'!$E$13+1,1))</f>
        <v>216.39536568500222</v>
      </c>
      <c r="CZ129" s="59">
        <f t="shared" si="96"/>
        <v>239.44686980897467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8.69701840500041</v>
      </c>
      <c r="DG129" s="21">
        <f>EXP(-LN(2)/25)*DG128+(1-EXP(-LN(2)/25))/(LN(2)/25)*Calculateur!DB129*Calculateur!DD129*VLOOKUP('Données projet'!$B$13,Paramètres!$A$1:$I$89,3,0)*0.475*44/12</f>
        <v>0.94174319092627345</v>
      </c>
      <c r="DH129" s="21">
        <f>EXP(-LN(2)/2)*DH128+(1-EXP(-LN(2)/2))/(LN(2)/2)*DB129*DE129*VLOOKUP('Données projet'!$B$13,Paramètres!$A$1:$I$89,3,0)*0.475*44/12</f>
        <v>5.3301775441857373E-10</v>
      </c>
      <c r="DI129" s="22">
        <f t="shared" si="69"/>
        <v>9.6387615964597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75.285599999999789</v>
      </c>
      <c r="D130" s="11">
        <f t="shared" si="86"/>
        <v>20.980445886141347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743.10631912108954</v>
      </c>
      <c r="H130" s="67">
        <f t="shared" si="56"/>
        <v>460.9966965850291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306.99999999999994</v>
      </c>
      <c r="O130" s="13">
        <f>N130*VLOOKUP('Données projet'!$B$9,Paramètres!$A$1:$I$89,3,0)*VLOOKUP('Données projet'!$B$9,Paramètres!$A$1:$I$89,5,0)</f>
        <v>277.77359999999993</v>
      </c>
      <c r="P130" s="13">
        <f t="shared" si="87"/>
        <v>66.496288176842356</v>
      </c>
      <c r="Q130" s="20">
        <f t="shared" si="107"/>
        <v>599.60338857466706</v>
      </c>
      <c r="R130" s="59">
        <f t="shared" si="55"/>
        <v>892.93672190800044</v>
      </c>
      <c r="S130" s="59">
        <f ca="1">AVERAGE(OFFSET($R$3,0,0,'Données projet'!$E$9+1,1))-AVERAGE(OFFSET($H$3,0,0,'Données projet'!$E$9+1,1))</f>
        <v>330.30341204367602</v>
      </c>
      <c r="T130" s="59">
        <f t="shared" si="88"/>
        <v>200.36653694091007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60.501703582959699</v>
      </c>
      <c r="AA130" s="21">
        <f>EXP(-LN(2)/25)*AA129+(1-EXP(-LN(2)/25))/(LN(2)/25)*Calculateur!V130*Calculateur!X130*VLOOKUP('Données projet'!$B$9,Paramètres!$A$1:$I$89,3,0)*0.475*44/12</f>
        <v>2.3782529082612047</v>
      </c>
      <c r="AB130" s="21">
        <f>EXP(-LN(2)/2)*AB129+(1-EXP(-LN(2)/2))/(LN(2)/2)*V130*Y130*VLOOKUP('Données projet'!$B$9,Paramètres!$A$1:$I$89,3,0)*0.475*44/12</f>
        <v>2.3541628642403556E-2</v>
      </c>
      <c r="AC130" s="22">
        <f t="shared" si="57"/>
        <v>62.903498119863308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971.99999999999977</v>
      </c>
      <c r="AJ130" s="13">
        <f>AI130*VLOOKUP('Données projet'!$B$10,Paramètres!$A$1:$I$89,3,0)*VLOOKUP('Données projet'!$B$10,Paramètres!$A$1:$I$89,5,0)</f>
        <v>581.25599999999986</v>
      </c>
      <c r="AK130" s="13">
        <f t="shared" si="89"/>
        <v>127.68713506014205</v>
      </c>
      <c r="AL130" s="20">
        <f t="shared" si="58"/>
        <v>1234.7426268964139</v>
      </c>
      <c r="AM130" s="59">
        <f t="shared" si="59"/>
        <v>1528.0759602297471</v>
      </c>
      <c r="AN130" s="59">
        <f ca="1">AVERAGE(OFFSET($AM$3,0,0,'Données projet'!$E$10+1,1))-AVERAGE(OFFSET($H$3,0,0,'Données projet'!$E$10+1,1))</f>
        <v>465.77577582457678</v>
      </c>
      <c r="AO130" s="59">
        <f t="shared" si="90"/>
        <v>301.15495784503042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16.939738692440194</v>
      </c>
      <c r="AV130" s="21">
        <f>EXP(-LN(2)/25)*AV129+(1-EXP(-LN(2)/25))/(LN(2)/25)*Calculateur!AQ130*Calculateur!AS130*VLOOKUP('Données projet'!$B$10,Paramètres!$A$1:$I$89,3,0)*0.475*44/12</f>
        <v>6.1634466781421038</v>
      </c>
      <c r="AW130" s="21">
        <f>EXP(-LN(2)/2)*AW129+(1-EXP(-LN(2)/2))/(LN(2)/2)*AQ130*AT130*VLOOKUP('Données projet'!$B$10,Paramètres!$A$1:$I$89,3,0)*0.475*44/12</f>
        <v>4.2831742519299872E-9</v>
      </c>
      <c r="AX130" s="21">
        <f t="shared" si="60"/>
        <v>23.103185374865472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273.00000000000023</v>
      </c>
      <c r="BE130" s="13">
        <f>BD130*VLOOKUP('Données projet'!$B$11,Paramètres!$A$1:$I$89,3,0)*VLOOKUP('Données projet'!$B$11,Paramètres!$A$1:$I$89,5,0)</f>
        <v>212.9400000000002</v>
      </c>
      <c r="BF130" s="13">
        <f t="shared" si="91"/>
        <v>52.577528895212915</v>
      </c>
      <c r="BG130" s="20">
        <f t="shared" si="61"/>
        <v>462.44302949249618</v>
      </c>
      <c r="BH130" s="59">
        <f t="shared" si="62"/>
        <v>755.77636282582944</v>
      </c>
      <c r="BI130" s="59">
        <f ca="1">AVERAGE(OFFSET($BH$3,0,0,'Données projet'!$E$11+1,1))-AVERAGE(OFFSET($H$3,0,0,'Données projet'!$E$11+1,1))</f>
        <v>219.5868031007679</v>
      </c>
      <c r="BJ130" s="59">
        <f t="shared" si="92"/>
        <v>263.3830219837742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8.6596621253592652</v>
      </c>
      <c r="BQ130" s="21">
        <f>EXP(-LN(2)/25)*BQ129+(1-EXP(-LN(2)/25))/(LN(2)/25)*Calculateur!BL130*Calculateur!BN130*VLOOKUP('Données projet'!$B$11,Paramètres!$A$1:$I$89,3,0)*0.475*44/12</f>
        <v>0.92571902144500273</v>
      </c>
      <c r="BR130" s="21">
        <f>EXP(-LN(2)/2)*BR129+(1-EXP(-LN(2)/2))/(LN(2)/2)*BL130*BO130*VLOOKUP('Données projet'!$B$11,Paramètres!$A$1:$I$89,3,0)*0.475*44/12</f>
        <v>4.045376159375765E-10</v>
      </c>
      <c r="BS130" s="22">
        <f t="shared" si="63"/>
        <v>9.5853811472088051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243.99999999999989</v>
      </c>
      <c r="BZ130" s="13">
        <f>BY130*VLOOKUP('Données projet'!$B$12,Paramètres!$A$1:$I$89,3,0)*VLOOKUP('Données projet'!$B$12,Paramètres!$A$1:$I$89,5,0)</f>
        <v>262.64159999999987</v>
      </c>
      <c r="CA130" s="13">
        <f t="shared" si="93"/>
        <v>63.285128621471941</v>
      </c>
      <c r="CB130" s="20">
        <f t="shared" si="64"/>
        <v>567.65571901573003</v>
      </c>
      <c r="CC130" s="59">
        <f t="shared" si="65"/>
        <v>860.98905234906329</v>
      </c>
      <c r="CD130" s="59">
        <f ca="1">AVERAGE(OFFSET($CC$3,0,0,'Données projet'!$E$12+1,1))-AVERAGE(OFFSET($H$3,0,0,'Données projet'!$E$12+1,1))</f>
        <v>244.7364260963538</v>
      </c>
      <c r="CE130" s="59">
        <f t="shared" si="94"/>
        <v>270.32853612539299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9.4891417311736959</v>
      </c>
      <c r="CL130" s="21">
        <f>EXP(-LN(2)/25)*CL129+(1-EXP(-LN(2)/25))/(LN(2)/25)*Calculateur!CG130*Calculateur!CI130*VLOOKUP('Données projet'!$B$12,Paramètres!$A$1:$I$89,3,0)*0.475*44/12</f>
        <v>1.019409532183756</v>
      </c>
      <c r="CM130" s="21">
        <f>EXP(-LN(2)/2)*CM129+(1-EXP(-LN(2)/2))/(LN(2)/2)*CG130*CJ130*VLOOKUP('Données projet'!$B$12,Paramètres!$A$1:$I$89,3,0)*0.475*44/12</f>
        <v>4.1945374735986741E-10</v>
      </c>
      <c r="CN130" s="22">
        <f t="shared" si="66"/>
        <v>10.508551263776905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243.99999999999989</v>
      </c>
      <c r="CU130" s="17">
        <f>CT130*VLOOKUP('Données projet'!$B$13,Paramètres!$A$1:$I$89,3,0)*VLOOKUP('Données projet'!$B$13,Paramètres!$A$1:$I$89,5,0)</f>
        <v>235.99679999999987</v>
      </c>
      <c r="CV130" s="13">
        <f t="shared" si="95"/>
        <v>57.577381127598322</v>
      </c>
      <c r="CW130" s="20">
        <f t="shared" si="67"/>
        <v>511.30836546390015</v>
      </c>
      <c r="CX130" s="59">
        <f t="shared" si="68"/>
        <v>804.6416987972334</v>
      </c>
      <c r="CY130" s="59">
        <f ca="1">AVERAGE(OFFSET($CX$3,0,0,'Données projet'!$E$13+1,1))-AVERAGE(OFFSET($H$3,0,0,'Données projet'!$E$13+1,1))</f>
        <v>216.39536568500222</v>
      </c>
      <c r="CZ130" s="59">
        <f t="shared" si="96"/>
        <v>239.44686980897467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8.5264751787357884</v>
      </c>
      <c r="DG130" s="21">
        <f>EXP(-LN(2)/25)*DG129+(1-EXP(-LN(2)/25))/(LN(2)/25)*Calculateur!DB130*Calculateur!DD130*VLOOKUP('Données projet'!$B$13,Paramètres!$A$1:$I$89,3,0)*0.475*44/12</f>
        <v>0.91599117384627249</v>
      </c>
      <c r="DH130" s="21">
        <f>EXP(-LN(2)/2)*DH129+(1-EXP(-LN(2)/2))/(LN(2)/2)*DB130*DE130*VLOOKUP('Données projet'!$B$13,Paramètres!$A$1:$I$89,3,0)*0.475*44/12</f>
        <v>3.7690046864219935E-10</v>
      </c>
      <c r="DI130" s="22">
        <f t="shared" si="69"/>
        <v>9.4424663529589612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75.878399999999786</v>
      </c>
      <c r="D131" s="11">
        <f t="shared" si="86"/>
        <v>21.126350226776974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748.8085982417856</v>
      </c>
      <c r="H131" s="67">
        <f t="shared" si="56"/>
        <v>462.28327331163621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306.99999999999994</v>
      </c>
      <c r="O131" s="13">
        <f>N131*VLOOKUP('Données projet'!$B$9,Paramètres!$A$1:$I$89,3,0)*VLOOKUP('Données projet'!$B$9,Paramètres!$A$1:$I$89,5,0)</f>
        <v>277.77359999999993</v>
      </c>
      <c r="P131" s="13">
        <f t="shared" si="87"/>
        <v>66.496288176842356</v>
      </c>
      <c r="Q131" s="20">
        <f t="shared" ref="Q131:Q153" si="108">(O131+P131)*0.475*44/12</f>
        <v>599.60338857466706</v>
      </c>
      <c r="R131" s="59">
        <f t="shared" ref="R131:R194" si="109">Q131+(I131+J131)*44/12</f>
        <v>892.93672190800044</v>
      </c>
      <c r="S131" s="59">
        <f ca="1">AVERAGE(OFFSET($R$3,0,0,'Données projet'!$E$9+1,1))-AVERAGE(OFFSET($H$3,0,0,'Données projet'!$E$9+1,1))</f>
        <v>330.30341204367602</v>
      </c>
      <c r="T131" s="59">
        <f t="shared" si="88"/>
        <v>200.36653694091007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59.315302078093239</v>
      </c>
      <c r="AA131" s="21">
        <f>EXP(-LN(2)/25)*AA130+(1-EXP(-LN(2)/25))/(LN(2)/25)*Calculateur!V131*Calculateur!X131*VLOOKUP('Données projet'!$B$9,Paramètres!$A$1:$I$89,3,0)*0.475*44/12</f>
        <v>2.313219457417917</v>
      </c>
      <c r="AB131" s="21">
        <f>EXP(-LN(2)/2)*AB130+(1-EXP(-LN(2)/2))/(LN(2)/2)*V131*Y131*VLOOKUP('Données projet'!$B$9,Paramètres!$A$1:$I$89,3,0)*0.475*44/12</f>
        <v>1.6646445253219011E-2</v>
      </c>
      <c r="AC131" s="22">
        <f t="shared" si="57"/>
        <v>61.645167980764377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971.99999999999977</v>
      </c>
      <c r="AJ131" s="13">
        <f>AI131*VLOOKUP('Données projet'!$B$10,Paramètres!$A$1:$I$89,3,0)*VLOOKUP('Données projet'!$B$10,Paramètres!$A$1:$I$89,5,0)</f>
        <v>581.25599999999986</v>
      </c>
      <c r="AK131" s="13">
        <f t="shared" si="89"/>
        <v>127.68713506014205</v>
      </c>
      <c r="AL131" s="20">
        <f t="shared" si="58"/>
        <v>1234.7426268964139</v>
      </c>
      <c r="AM131" s="59">
        <f t="shared" si="59"/>
        <v>1528.0759602297471</v>
      </c>
      <c r="AN131" s="59">
        <f ca="1">AVERAGE(OFFSET($AM$3,0,0,'Données projet'!$E$10+1,1))-AVERAGE(OFFSET($H$3,0,0,'Données projet'!$E$10+1,1))</f>
        <v>465.77577582457678</v>
      </c>
      <c r="AO131" s="59">
        <f t="shared" si="90"/>
        <v>301.15495784503042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16.607560748901822</v>
      </c>
      <c r="AV131" s="21">
        <f>EXP(-LN(2)/25)*AV130+(1-EXP(-LN(2)/25))/(LN(2)/25)*Calculateur!AQ131*Calculateur!AS131*VLOOKUP('Données projet'!$B$10,Paramètres!$A$1:$I$89,3,0)*0.475*44/12</f>
        <v>5.9949069046067338</v>
      </c>
      <c r="AW131" s="21">
        <f>EXP(-LN(2)/2)*AW130+(1-EXP(-LN(2)/2))/(LN(2)/2)*AQ131*AT131*VLOOKUP('Données projet'!$B$10,Paramètres!$A$1:$I$89,3,0)*0.475*44/12</f>
        <v>3.0286615585433119E-9</v>
      </c>
      <c r="AX131" s="21">
        <f t="shared" si="60"/>
        <v>22.602467656537215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273.00000000000023</v>
      </c>
      <c r="BE131" s="13">
        <f>BD131*VLOOKUP('Données projet'!$B$11,Paramètres!$A$1:$I$89,3,0)*VLOOKUP('Données projet'!$B$11,Paramètres!$A$1:$I$89,5,0)</f>
        <v>212.9400000000002</v>
      </c>
      <c r="BF131" s="13">
        <f t="shared" si="91"/>
        <v>52.577528895212915</v>
      </c>
      <c r="BG131" s="20">
        <f t="shared" si="61"/>
        <v>462.44302949249618</v>
      </c>
      <c r="BH131" s="59">
        <f t="shared" si="62"/>
        <v>755.77636282582944</v>
      </c>
      <c r="BI131" s="59">
        <f ca="1">AVERAGE(OFFSET($BH$3,0,0,'Données projet'!$E$11+1,1))-AVERAGE(OFFSET($H$3,0,0,'Données projet'!$E$11+1,1))</f>
        <v>219.5868031007679</v>
      </c>
      <c r="BJ131" s="59">
        <f t="shared" si="92"/>
        <v>263.3830219837742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8.4898514329533246</v>
      </c>
      <c r="BQ131" s="21">
        <f>EXP(-LN(2)/25)*BQ130+(1-EXP(-LN(2)/25))/(LN(2)/25)*Calculateur!BL131*Calculateur!BN131*VLOOKUP('Données projet'!$B$11,Paramètres!$A$1:$I$89,3,0)*0.475*44/12</f>
        <v>0.9004051861221416</v>
      </c>
      <c r="BR131" s="21">
        <f>EXP(-LN(2)/2)*BR130+(1-EXP(-LN(2)/2))/(LN(2)/2)*BL131*BO131*VLOOKUP('Données projet'!$B$11,Paramètres!$A$1:$I$89,3,0)*0.475*44/12</f>
        <v>2.860512914744995E-10</v>
      </c>
      <c r="BS131" s="22">
        <f t="shared" si="63"/>
        <v>9.3902566193615176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243.99999999999989</v>
      </c>
      <c r="BZ131" s="13">
        <f>BY131*VLOOKUP('Données projet'!$B$12,Paramètres!$A$1:$I$89,3,0)*VLOOKUP('Données projet'!$B$12,Paramètres!$A$1:$I$89,5,0)</f>
        <v>262.64159999999987</v>
      </c>
      <c r="CA131" s="13">
        <f t="shared" si="93"/>
        <v>63.285128621471941</v>
      </c>
      <c r="CB131" s="20">
        <f t="shared" si="64"/>
        <v>567.65571901573003</v>
      </c>
      <c r="CC131" s="59">
        <f t="shared" si="65"/>
        <v>860.98905234906329</v>
      </c>
      <c r="CD131" s="59">
        <f ca="1">AVERAGE(OFFSET($CC$3,0,0,'Données projet'!$E$12+1,1))-AVERAGE(OFFSET($H$3,0,0,'Données projet'!$E$12+1,1))</f>
        <v>244.7364260963538</v>
      </c>
      <c r="CE131" s="59">
        <f t="shared" si="94"/>
        <v>270.32853612539299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9.3030654496303367</v>
      </c>
      <c r="CL131" s="21">
        <f>EXP(-LN(2)/25)*CL130+(1-EXP(-LN(2)/25))/(LN(2)/25)*Calculateur!CG131*Calculateur!CI131*VLOOKUP('Données projet'!$B$12,Paramètres!$A$1:$I$89,3,0)*0.475*44/12</f>
        <v>0.9915337249177737</v>
      </c>
      <c r="CM131" s="21">
        <f>EXP(-LN(2)/2)*CM130+(1-EXP(-LN(2)/2))/(LN(2)/2)*CG131*CJ131*VLOOKUP('Données projet'!$B$12,Paramètres!$A$1:$I$89,3,0)*0.475*44/12</f>
        <v>2.9659858915227115E-10</v>
      </c>
      <c r="CN131" s="22">
        <f t="shared" si="66"/>
        <v>10.294599174844709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243.99999999999989</v>
      </c>
      <c r="CU131" s="17">
        <f>CT131*VLOOKUP('Données projet'!$B$13,Paramètres!$A$1:$I$89,3,0)*VLOOKUP('Données projet'!$B$13,Paramètres!$A$1:$I$89,5,0)</f>
        <v>235.99679999999987</v>
      </c>
      <c r="CV131" s="13">
        <f t="shared" si="95"/>
        <v>57.577381127598322</v>
      </c>
      <c r="CW131" s="20">
        <f t="shared" si="67"/>
        <v>511.30836546390015</v>
      </c>
      <c r="CX131" s="59">
        <f t="shared" si="68"/>
        <v>804.6416987972334</v>
      </c>
      <c r="CY131" s="59">
        <f ca="1">AVERAGE(OFFSET($CX$3,0,0,'Données projet'!$E$13+1,1))-AVERAGE(OFFSET($H$3,0,0,'Données projet'!$E$13+1,1))</f>
        <v>216.39536568500222</v>
      </c>
      <c r="CZ131" s="59">
        <f t="shared" si="96"/>
        <v>239.44686980897467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8.3592762011171189</v>
      </c>
      <c r="DG131" s="21">
        <f>EXP(-LN(2)/25)*DG130+(1-EXP(-LN(2)/25))/(LN(2)/25)*Calculateur!DB131*Calculateur!DD131*VLOOKUP('Données projet'!$B$13,Paramètres!$A$1:$I$89,3,0)*0.475*44/12</f>
        <v>0.89094334702756384</v>
      </c>
      <c r="DH131" s="21">
        <f>EXP(-LN(2)/2)*DH130+(1-EXP(-LN(2)/2))/(LN(2)/2)*DB131*DE131*VLOOKUP('Données projet'!$B$13,Paramètres!$A$1:$I$89,3,0)*0.475*44/12</f>
        <v>2.6650887720928686E-10</v>
      </c>
      <c r="DI131" s="22">
        <f t="shared" si="69"/>
        <v>9.2502195484111915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76.471199999999783</v>
      </c>
      <c r="D132" s="11">
        <f t="shared" si="86"/>
        <v>21.272121944536288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754.50985360694506</v>
      </c>
      <c r="H132" s="67">
        <f t="shared" ref="H132:H195" si="110">(B132+E132+F132)*44/12+(C132+D132)*0.475*44/12</f>
        <v>463.56961905340029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306.99999999999994</v>
      </c>
      <c r="O132" s="13">
        <f>N132*VLOOKUP('Données projet'!$B$9,Paramètres!$A$1:$I$89,3,0)*VLOOKUP('Données projet'!$B$9,Paramètres!$A$1:$I$89,5,0)</f>
        <v>277.77359999999993</v>
      </c>
      <c r="P132" s="13">
        <f t="shared" si="87"/>
        <v>66.496288176842356</v>
      </c>
      <c r="Q132" s="20">
        <f t="shared" si="108"/>
        <v>599.60338857466706</v>
      </c>
      <c r="R132" s="59">
        <f t="shared" si="109"/>
        <v>892.93672190800044</v>
      </c>
      <c r="S132" s="59">
        <f ca="1">AVERAGE(OFFSET($R$3,0,0,'Données projet'!$E$9+1,1))-AVERAGE(OFFSET($H$3,0,0,'Données projet'!$E$9+1,1))</f>
        <v>330.30341204367602</v>
      </c>
      <c r="T132" s="59">
        <f t="shared" si="88"/>
        <v>200.36653694091007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58.15216518310374</v>
      </c>
      <c r="AA132" s="21">
        <f>EXP(-LN(2)/25)*AA131+(1-EXP(-LN(2)/25))/(LN(2)/25)*Calculateur!V132*Calculateur!X132*VLOOKUP('Données projet'!$B$9,Paramètres!$A$1:$I$89,3,0)*0.475*44/12</f>
        <v>2.2499643497078998</v>
      </c>
      <c r="AB132" s="21">
        <f>EXP(-LN(2)/2)*AB131+(1-EXP(-LN(2)/2))/(LN(2)/2)*V132*Y132*VLOOKUP('Données projet'!$B$9,Paramètres!$A$1:$I$89,3,0)*0.475*44/12</f>
        <v>1.1770814321201778E-2</v>
      </c>
      <c r="AC132" s="22">
        <f t="shared" ref="AC132:AC153" si="111">SUM(Z132:AB132)</f>
        <v>60.413900347132845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971.99999999999977</v>
      </c>
      <c r="AJ132" s="13">
        <f>AI132*VLOOKUP('Données projet'!$B$10,Paramètres!$A$1:$I$89,3,0)*VLOOKUP('Données projet'!$B$10,Paramètres!$A$1:$I$89,5,0)</f>
        <v>581.25599999999986</v>
      </c>
      <c r="AK132" s="13">
        <f t="shared" si="89"/>
        <v>127.68713506014205</v>
      </c>
      <c r="AL132" s="20">
        <f t="shared" ref="AL132:AL153" si="112">(AJ132+AK132)*0.475*44/12</f>
        <v>1234.7426268964139</v>
      </c>
      <c r="AM132" s="59">
        <f t="shared" ref="AM132:AM195" si="113">AL132+(AD132+AE132)*44/12</f>
        <v>1528.0759602297471</v>
      </c>
      <c r="AN132" s="59">
        <f ca="1">AVERAGE(OFFSET($AM$3,0,0,'Données projet'!$E$10+1,1))-AVERAGE(OFFSET($H$3,0,0,'Données projet'!$E$10+1,1))</f>
        <v>465.77577582457678</v>
      </c>
      <c r="AO132" s="59">
        <f t="shared" si="90"/>
        <v>301.15495784503042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16.281896612227698</v>
      </c>
      <c r="AV132" s="21">
        <f>EXP(-LN(2)/25)*AV131+(1-EXP(-LN(2)/25))/(LN(2)/25)*Calculateur!AQ132*Calculateur!AS132*VLOOKUP('Données projet'!$B$10,Paramètres!$A$1:$I$89,3,0)*0.475*44/12</f>
        <v>5.8309758600418098</v>
      </c>
      <c r="AW132" s="21">
        <f>EXP(-LN(2)/2)*AW131+(1-EXP(-LN(2)/2))/(LN(2)/2)*AQ132*AT132*VLOOKUP('Données projet'!$B$10,Paramètres!$A$1:$I$89,3,0)*0.475*44/12</f>
        <v>2.1415871259649936E-9</v>
      </c>
      <c r="AX132" s="21">
        <f t="shared" ref="AX132:AX153" si="114">SUM(AU132:AW132)</f>
        <v>22.112872474411095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273.00000000000023</v>
      </c>
      <c r="BE132" s="13">
        <f>BD132*VLOOKUP('Données projet'!$B$11,Paramètres!$A$1:$I$89,3,0)*VLOOKUP('Données projet'!$B$11,Paramètres!$A$1:$I$89,5,0)</f>
        <v>212.9400000000002</v>
      </c>
      <c r="BF132" s="13">
        <f t="shared" si="91"/>
        <v>52.577528895212915</v>
      </c>
      <c r="BG132" s="20">
        <f t="shared" ref="BG132:BG153" si="115">(BE132+BF132)*0.475*44/12</f>
        <v>462.44302949249618</v>
      </c>
      <c r="BH132" s="59">
        <f t="shared" ref="BH132:BH195" si="116">BG132+(AY132+AZ132)*44/12</f>
        <v>755.77636282582944</v>
      </c>
      <c r="BI132" s="59">
        <f ca="1">AVERAGE(OFFSET($BH$3,0,0,'Données projet'!$E$11+1,1))-AVERAGE(OFFSET($H$3,0,0,'Données projet'!$E$11+1,1))</f>
        <v>219.5868031007679</v>
      </c>
      <c r="BJ132" s="59">
        <f t="shared" si="92"/>
        <v>263.3830219837742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8.3233706246511687</v>
      </c>
      <c r="BQ132" s="21">
        <f>EXP(-LN(2)/25)*BQ131+(1-EXP(-LN(2)/25))/(LN(2)/25)*Calculateur!BL132*Calculateur!BN132*VLOOKUP('Données projet'!$B$11,Paramètres!$A$1:$I$89,3,0)*0.475*44/12</f>
        <v>0.8757835589573808</v>
      </c>
      <c r="BR132" s="21">
        <f>EXP(-LN(2)/2)*BR131+(1-EXP(-LN(2)/2))/(LN(2)/2)*BL132*BO132*VLOOKUP('Données projet'!$B$11,Paramètres!$A$1:$I$89,3,0)*0.475*44/12</f>
        <v>2.0226880796878825E-10</v>
      </c>
      <c r="BS132" s="22">
        <f t="shared" ref="BS132:BS153" si="117">SUM(BP132:BR132)</f>
        <v>9.1991541838108173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243.99999999999989</v>
      </c>
      <c r="BZ132" s="13">
        <f>BY132*VLOOKUP('Données projet'!$B$12,Paramètres!$A$1:$I$89,3,0)*VLOOKUP('Données projet'!$B$12,Paramètres!$A$1:$I$89,5,0)</f>
        <v>262.64159999999987</v>
      </c>
      <c r="CA132" s="13">
        <f t="shared" si="93"/>
        <v>63.285128621471941</v>
      </c>
      <c r="CB132" s="20">
        <f t="shared" ref="CB132:CB153" si="118">(BZ132+CA132)*0.475*44/12</f>
        <v>567.65571901573003</v>
      </c>
      <c r="CC132" s="59">
        <f t="shared" ref="CC132:CC195" si="119">CB132+(BT132+BU132)*44/12</f>
        <v>860.98905234906329</v>
      </c>
      <c r="CD132" s="59">
        <f ca="1">AVERAGE(OFFSET($CC$3,0,0,'Données projet'!$E$12+1,1))-AVERAGE(OFFSET($H$3,0,0,'Données projet'!$E$12+1,1))</f>
        <v>244.7364260963538</v>
      </c>
      <c r="CE132" s="59">
        <f t="shared" si="94"/>
        <v>270.32853612539299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9.1206380104727192</v>
      </c>
      <c r="CL132" s="21">
        <f>EXP(-LN(2)/25)*CL131+(1-EXP(-LN(2)/25))/(LN(2)/25)*Calculateur!CG132*Calculateur!CI132*VLOOKUP('Données projet'!$B$12,Paramètres!$A$1:$I$89,3,0)*0.475*44/12</f>
        <v>0.96442018306740473</v>
      </c>
      <c r="CM132" s="21">
        <f>EXP(-LN(2)/2)*CM131+(1-EXP(-LN(2)/2))/(LN(2)/2)*CG132*CJ132*VLOOKUP('Données projet'!$B$12,Paramètres!$A$1:$I$89,3,0)*0.475*44/12</f>
        <v>2.0972687367993371E-10</v>
      </c>
      <c r="CN132" s="22">
        <f t="shared" ref="CN132:CN153" si="120">SUM(CK132:CM132)</f>
        <v>10.085058193749852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243.99999999999989</v>
      </c>
      <c r="CU132" s="17">
        <f>CT132*VLOOKUP('Données projet'!$B$13,Paramètres!$A$1:$I$89,3,0)*VLOOKUP('Données projet'!$B$13,Paramètres!$A$1:$I$89,5,0)</f>
        <v>235.99679999999987</v>
      </c>
      <c r="CV132" s="13">
        <f t="shared" si="95"/>
        <v>57.577381127598322</v>
      </c>
      <c r="CW132" s="20">
        <f t="shared" ref="CW132:CW153" si="121">(CU132+CV132)*0.475*44/12</f>
        <v>511.30836546390015</v>
      </c>
      <c r="CX132" s="59">
        <f t="shared" ref="CX132:CX195" si="122">CW132+(CO132+CP132)*44/12</f>
        <v>804.6416987972334</v>
      </c>
      <c r="CY132" s="59">
        <f ca="1">AVERAGE(OFFSET($CX$3,0,0,'Données projet'!$E$13+1,1))-AVERAGE(OFFSET($H$3,0,0,'Données projet'!$E$13+1,1))</f>
        <v>216.39536568500222</v>
      </c>
      <c r="CZ132" s="59">
        <f t="shared" si="96"/>
        <v>239.44686980897467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8.1953558934682444</v>
      </c>
      <c r="DG132" s="21">
        <f>EXP(-LN(2)/25)*DG131+(1-EXP(-LN(2)/25))/(LN(2)/25)*Calculateur!DB132*Calculateur!DD132*VLOOKUP('Données projet'!$B$13,Paramètres!$A$1:$I$89,3,0)*0.475*44/12</f>
        <v>0.86658045435042075</v>
      </c>
      <c r="DH132" s="21">
        <f>EXP(-LN(2)/2)*DH131+(1-EXP(-LN(2)/2))/(LN(2)/2)*DB132*DE132*VLOOKUP('Données projet'!$B$13,Paramètres!$A$1:$I$89,3,0)*0.475*44/12</f>
        <v>1.8845023432109967E-10</v>
      </c>
      <c r="DI132" s="22">
        <f t="shared" ref="DI132:DI153" si="123">SUM(DF132:DH132)</f>
        <v>9.0619363480071158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77.06399999999978</v>
      </c>
      <c r="D133" s="11">
        <f t="shared" ref="D133:D196" si="140">IFERROR(EXP(-1.0587+0.8836*LN(C133)+0.284),0)</f>
        <v>21.417762186678019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760.21009407260055</v>
      </c>
      <c r="H133" s="67">
        <f t="shared" si="110"/>
        <v>464.85573580846381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306.99999999999994</v>
      </c>
      <c r="O133" s="13">
        <f>N133*VLOOKUP('Données projet'!$B$9,Paramètres!$A$1:$I$89,3,0)*VLOOKUP('Données projet'!$B$9,Paramètres!$A$1:$I$89,5,0)</f>
        <v>277.77359999999993</v>
      </c>
      <c r="P133" s="13">
        <f t="shared" ref="P133:P196" si="141">EXP(-1.0587+0.8836*LN(O133)+0.284)</f>
        <v>66.496288176842356</v>
      </c>
      <c r="Q133" s="20">
        <f t="shared" si="108"/>
        <v>599.60338857466706</v>
      </c>
      <c r="R133" s="59">
        <f t="shared" si="109"/>
        <v>892.93672190800044</v>
      </c>
      <c r="S133" s="59">
        <f ca="1">AVERAGE(OFFSET($R$3,0,0,'Données projet'!$E$9+1,1))-AVERAGE(OFFSET($H$3,0,0,'Données projet'!$E$9+1,1))</f>
        <v>330.30341204367602</v>
      </c>
      <c r="T133" s="59">
        <f t="shared" ref="T133:T196" si="142">$T$3</f>
        <v>200.36653694091007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57.011836693181536</v>
      </c>
      <c r="AA133" s="21">
        <f>EXP(-LN(2)/25)*AA132+(1-EXP(-LN(2)/25))/(LN(2)/25)*Calculateur!V133*Calculateur!X133*VLOOKUP('Données projet'!$B$9,Paramètres!$A$1:$I$89,3,0)*0.475*44/12</f>
        <v>2.1884389562446547</v>
      </c>
      <c r="AB133" s="21">
        <f>EXP(-LN(2)/2)*AB132+(1-EXP(-LN(2)/2))/(LN(2)/2)*V133*Y133*VLOOKUP('Données projet'!$B$9,Paramètres!$A$1:$I$89,3,0)*0.475*44/12</f>
        <v>8.3232226266095055E-3</v>
      </c>
      <c r="AC133" s="22">
        <f t="shared" si="111"/>
        <v>59.208598872052796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971.99999999999977</v>
      </c>
      <c r="AJ133" s="13">
        <f>AI133*VLOOKUP('Données projet'!$B$10,Paramètres!$A$1:$I$89,3,0)*VLOOKUP('Données projet'!$B$10,Paramètres!$A$1:$I$89,5,0)</f>
        <v>581.25599999999986</v>
      </c>
      <c r="AK133" s="13">
        <f t="shared" ref="AK133:AK153" si="143">EXP(-1.0587+0.8836*LN(AJ133)+0.284)</f>
        <v>127.68713506014205</v>
      </c>
      <c r="AL133" s="20">
        <f t="shared" si="112"/>
        <v>1234.7426268964139</v>
      </c>
      <c r="AM133" s="59">
        <f t="shared" si="113"/>
        <v>1528.0759602297471</v>
      </c>
      <c r="AN133" s="59">
        <f ca="1">AVERAGE(OFFSET($AM$3,0,0,'Données projet'!$E$10+1,1))-AVERAGE(OFFSET($H$3,0,0,'Données projet'!$E$10+1,1))</f>
        <v>465.77577582457678</v>
      </c>
      <c r="AO133" s="59">
        <f t="shared" ref="AO133:AO196" si="144">$AO$3</f>
        <v>301.15495784503042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15.962618550638243</v>
      </c>
      <c r="AV133" s="21">
        <f>EXP(-LN(2)/25)*AV132+(1-EXP(-LN(2)/25))/(LN(2)/25)*Calculateur!AQ133*Calculateur!AS133*VLOOKUP('Données projet'!$B$10,Paramètres!$A$1:$I$89,3,0)*0.475*44/12</f>
        <v>5.6715275185112732</v>
      </c>
      <c r="AW133" s="21">
        <f>EXP(-LN(2)/2)*AW132+(1-EXP(-LN(2)/2))/(LN(2)/2)*AQ133*AT133*VLOOKUP('Données projet'!$B$10,Paramètres!$A$1:$I$89,3,0)*0.475*44/12</f>
        <v>1.5143307792716559E-9</v>
      </c>
      <c r="AX133" s="21">
        <f t="shared" si="114"/>
        <v>21.634146070663846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273.00000000000023</v>
      </c>
      <c r="BE133" s="13">
        <f>BD133*VLOOKUP('Données projet'!$B$11,Paramètres!$A$1:$I$89,3,0)*VLOOKUP('Données projet'!$B$11,Paramètres!$A$1:$I$89,5,0)</f>
        <v>212.9400000000002</v>
      </c>
      <c r="BF133" s="13">
        <f t="shared" ref="BF133:BF153" si="145">EXP(-1.0587+0.8836*LN(BE133)+0.284)</f>
        <v>52.577528895212915</v>
      </c>
      <c r="BG133" s="20">
        <f t="shared" si="115"/>
        <v>462.44302949249618</v>
      </c>
      <c r="BH133" s="59">
        <f t="shared" si="116"/>
        <v>755.77636282582944</v>
      </c>
      <c r="BI133" s="59">
        <f ca="1">AVERAGE(OFFSET($BH$3,0,0,'Données projet'!$E$11+1,1))-AVERAGE(OFFSET($H$3,0,0,'Données projet'!$E$11+1,1))</f>
        <v>219.5868031007679</v>
      </c>
      <c r="BJ133" s="59">
        <f t="shared" ref="BJ133:BJ196" si="146">$BJ$3</f>
        <v>263.3830219837742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8.1601544034565521</v>
      </c>
      <c r="BQ133" s="21">
        <f>EXP(-LN(2)/25)*BQ132+(1-EXP(-LN(2)/25))/(LN(2)/25)*Calculateur!BL133*Calculateur!BN133*VLOOKUP('Données projet'!$B$11,Paramètres!$A$1:$I$89,3,0)*0.475*44/12</f>
        <v>0.85183521148223551</v>
      </c>
      <c r="BR133" s="21">
        <f>EXP(-LN(2)/2)*BR132+(1-EXP(-LN(2)/2))/(LN(2)/2)*BL133*BO133*VLOOKUP('Données projet'!$B$11,Paramètres!$A$1:$I$89,3,0)*0.475*44/12</f>
        <v>1.4302564573724975E-10</v>
      </c>
      <c r="BS133" s="22">
        <f t="shared" si="117"/>
        <v>9.0119896150818128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243.99999999999989</v>
      </c>
      <c r="BZ133" s="13">
        <f>BY133*VLOOKUP('Données projet'!$B$12,Paramètres!$A$1:$I$89,3,0)*VLOOKUP('Données projet'!$B$12,Paramètres!$A$1:$I$89,5,0)</f>
        <v>262.64159999999987</v>
      </c>
      <c r="CA133" s="13">
        <f t="shared" ref="CA133:CA153" si="147">EXP(-1.0587+0.8836*LN(BZ133)+0.284)</f>
        <v>63.285128621471941</v>
      </c>
      <c r="CB133" s="20">
        <f t="shared" si="118"/>
        <v>567.65571901573003</v>
      </c>
      <c r="CC133" s="59">
        <f t="shared" si="119"/>
        <v>860.98905234906329</v>
      </c>
      <c r="CD133" s="59">
        <f ca="1">AVERAGE(OFFSET($CC$3,0,0,'Données projet'!$E$12+1,1))-AVERAGE(OFFSET($H$3,0,0,'Données projet'!$E$12+1,1))</f>
        <v>244.7364260963538</v>
      </c>
      <c r="CE133" s="59">
        <f t="shared" ref="CE133:CE196" si="148">$CE$3</f>
        <v>270.32853612539299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8.9417878621272315</v>
      </c>
      <c r="CL133" s="21">
        <f>EXP(-LN(2)/25)*CL132+(1-EXP(-LN(2)/25))/(LN(2)/25)*Calculateur!CG133*Calculateur!CI133*VLOOKUP('Données projet'!$B$12,Paramètres!$A$1:$I$89,3,0)*0.475*44/12</f>
        <v>0.93804806244477335</v>
      </c>
      <c r="CM133" s="21">
        <f>EXP(-LN(2)/2)*CM132+(1-EXP(-LN(2)/2))/(LN(2)/2)*CG133*CJ133*VLOOKUP('Données projet'!$B$12,Paramètres!$A$1:$I$89,3,0)*0.475*44/12</f>
        <v>1.4829929457613558E-10</v>
      </c>
      <c r="CN133" s="22">
        <f t="shared" si="120"/>
        <v>9.8798359247203038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243.99999999999989</v>
      </c>
      <c r="CU133" s="17">
        <f>CT133*VLOOKUP('Données projet'!$B$13,Paramètres!$A$1:$I$89,3,0)*VLOOKUP('Données projet'!$B$13,Paramètres!$A$1:$I$89,5,0)</f>
        <v>235.99679999999987</v>
      </c>
      <c r="CV133" s="13">
        <f t="shared" ref="CV133:CV153" si="149">EXP(-1.0587+0.8836*LN(CU133)+0.284)</f>
        <v>57.577381127598322</v>
      </c>
      <c r="CW133" s="20">
        <f t="shared" si="121"/>
        <v>511.30836546390015</v>
      </c>
      <c r="CX133" s="59">
        <f t="shared" si="122"/>
        <v>804.6416987972334</v>
      </c>
      <c r="CY133" s="59">
        <f ca="1">AVERAGE(OFFSET($CX$3,0,0,'Données projet'!$E$13+1,1))-AVERAGE(OFFSET($H$3,0,0,'Données projet'!$E$13+1,1))</f>
        <v>216.39536568500222</v>
      </c>
      <c r="CZ133" s="59">
        <f t="shared" ref="CZ133:CZ196" si="150">$CZ$3</f>
        <v>239.44686980897467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8.0346499630708497</v>
      </c>
      <c r="DG133" s="21">
        <f>EXP(-LN(2)/25)*DG132+(1-EXP(-LN(2)/25))/(LN(2)/25)*Calculateur!DB133*Calculateur!DD133*VLOOKUP('Données projet'!$B$13,Paramètres!$A$1:$I$89,3,0)*0.475*44/12</f>
        <v>0.84288376625472294</v>
      </c>
      <c r="DH133" s="21">
        <f>EXP(-LN(2)/2)*DH132+(1-EXP(-LN(2)/2))/(LN(2)/2)*DB133*DE133*VLOOKUP('Données projet'!$B$13,Paramètres!$A$1:$I$89,3,0)*0.475*44/12</f>
        <v>1.3325443860464343E-10</v>
      </c>
      <c r="DI133" s="22">
        <f t="shared" si="123"/>
        <v>8.8775337294588272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77.656799999999777</v>
      </c>
      <c r="D134" s="11">
        <f t="shared" si="140"/>
        <v>21.563272081791311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765.90932835066803</v>
      </c>
      <c r="H134" s="67">
        <f t="shared" si="110"/>
        <v>466.1416255424528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306.99999999999994</v>
      </c>
      <c r="O134" s="13">
        <f>N134*VLOOKUP('Données projet'!$B$9,Paramètres!$A$1:$I$89,3,0)*VLOOKUP('Données projet'!$B$9,Paramètres!$A$1:$I$89,5,0)</f>
        <v>277.77359999999993</v>
      </c>
      <c r="P134" s="13">
        <f t="shared" si="141"/>
        <v>66.496288176842356</v>
      </c>
      <c r="Q134" s="20">
        <f t="shared" si="108"/>
        <v>599.60338857466706</v>
      </c>
      <c r="R134" s="59">
        <f t="shared" si="109"/>
        <v>892.93672190800044</v>
      </c>
      <c r="S134" s="59">
        <f ca="1">AVERAGE(OFFSET($R$3,0,0,'Données projet'!$E$9+1,1))-AVERAGE(OFFSET($H$3,0,0,'Données projet'!$E$9+1,1))</f>
        <v>330.30341204367602</v>
      </c>
      <c r="T134" s="59">
        <f t="shared" si="142"/>
        <v>200.36653694091007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55.893869349415006</v>
      </c>
      <c r="AA134" s="21">
        <f>EXP(-LN(2)/25)*AA133+(1-EXP(-LN(2)/25))/(LN(2)/25)*Calculateur!V134*Calculateur!X134*VLOOKUP('Données projet'!$B$9,Paramètres!$A$1:$I$89,3,0)*0.475*44/12</f>
        <v>2.1285959779011416</v>
      </c>
      <c r="AB134" s="21">
        <f>EXP(-LN(2)/2)*AB133+(1-EXP(-LN(2)/2))/(LN(2)/2)*V134*Y134*VLOOKUP('Données projet'!$B$9,Paramètres!$A$1:$I$89,3,0)*0.475*44/12</f>
        <v>5.885407160600889E-3</v>
      </c>
      <c r="AC134" s="22">
        <f t="shared" si="111"/>
        <v>58.028350734476746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971.99999999999977</v>
      </c>
      <c r="AJ134" s="13">
        <f>AI134*VLOOKUP('Données projet'!$B$10,Paramètres!$A$1:$I$89,3,0)*VLOOKUP('Données projet'!$B$10,Paramètres!$A$1:$I$89,5,0)</f>
        <v>581.25599999999986</v>
      </c>
      <c r="AK134" s="13">
        <f t="shared" si="143"/>
        <v>127.68713506014205</v>
      </c>
      <c r="AL134" s="20">
        <f t="shared" si="112"/>
        <v>1234.7426268964139</v>
      </c>
      <c r="AM134" s="59">
        <f t="shared" si="113"/>
        <v>1528.0759602297471</v>
      </c>
      <c r="AN134" s="59">
        <f ca="1">AVERAGE(OFFSET($AM$3,0,0,'Données projet'!$E$10+1,1))-AVERAGE(OFFSET($H$3,0,0,'Données projet'!$E$10+1,1))</f>
        <v>465.77577582457678</v>
      </c>
      <c r="AO134" s="59">
        <f t="shared" si="144"/>
        <v>301.15495784503042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15.64960133709617</v>
      </c>
      <c r="AV134" s="21">
        <f>EXP(-LN(2)/25)*AV133+(1-EXP(-LN(2)/25))/(LN(2)/25)*Calculateur!AQ134*Calculateur!AS134*VLOOKUP('Données projet'!$B$10,Paramètres!$A$1:$I$89,3,0)*0.475*44/12</f>
        <v>5.5164393002649126</v>
      </c>
      <c r="AW134" s="21">
        <f>EXP(-LN(2)/2)*AW133+(1-EXP(-LN(2)/2))/(LN(2)/2)*AQ134*AT134*VLOOKUP('Données projet'!$B$10,Paramètres!$A$1:$I$89,3,0)*0.475*44/12</f>
        <v>1.0707935629824968E-9</v>
      </c>
      <c r="AX134" s="21">
        <f t="shared" si="114"/>
        <v>21.166040638431877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273.00000000000023</v>
      </c>
      <c r="BE134" s="13">
        <f>BD134*VLOOKUP('Données projet'!$B$11,Paramètres!$A$1:$I$89,3,0)*VLOOKUP('Données projet'!$B$11,Paramètres!$A$1:$I$89,5,0)</f>
        <v>212.9400000000002</v>
      </c>
      <c r="BF134" s="13">
        <f t="shared" si="145"/>
        <v>52.577528895212915</v>
      </c>
      <c r="BG134" s="20">
        <f t="shared" si="115"/>
        <v>462.44302949249618</v>
      </c>
      <c r="BH134" s="59">
        <f t="shared" si="116"/>
        <v>755.77636282582944</v>
      </c>
      <c r="BI134" s="59">
        <f ca="1">AVERAGE(OFFSET($BH$3,0,0,'Données projet'!$E$11+1,1))-AVERAGE(OFFSET($H$3,0,0,'Données projet'!$E$11+1,1))</f>
        <v>219.5868031007679</v>
      </c>
      <c r="BJ134" s="59">
        <f t="shared" si="146"/>
        <v>263.3830219837742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8.0001387528074979</v>
      </c>
      <c r="BQ134" s="21">
        <f>EXP(-LN(2)/25)*BQ133+(1-EXP(-LN(2)/25))/(LN(2)/25)*Calculateur!BL134*Calculateur!BN134*VLOOKUP('Données projet'!$B$11,Paramètres!$A$1:$I$89,3,0)*0.475*44/12</f>
        <v>0.82854173282818688</v>
      </c>
      <c r="BR134" s="21">
        <f>EXP(-LN(2)/2)*BR133+(1-EXP(-LN(2)/2))/(LN(2)/2)*BL134*BO134*VLOOKUP('Données projet'!$B$11,Paramètres!$A$1:$I$89,3,0)*0.475*44/12</f>
        <v>1.0113440398439413E-10</v>
      </c>
      <c r="BS134" s="22">
        <f t="shared" si="117"/>
        <v>8.82868048573682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243.99999999999989</v>
      </c>
      <c r="BZ134" s="13">
        <f>BY134*VLOOKUP('Données projet'!$B$12,Paramètres!$A$1:$I$89,3,0)*VLOOKUP('Données projet'!$B$12,Paramètres!$A$1:$I$89,5,0)</f>
        <v>262.64159999999987</v>
      </c>
      <c r="CA134" s="13">
        <f t="shared" si="147"/>
        <v>63.285128621471941</v>
      </c>
      <c r="CB134" s="20">
        <f t="shared" si="118"/>
        <v>567.65571901573003</v>
      </c>
      <c r="CC134" s="59">
        <f t="shared" si="119"/>
        <v>860.98905234906329</v>
      </c>
      <c r="CD134" s="59">
        <f ca="1">AVERAGE(OFFSET($CC$3,0,0,'Données projet'!$E$12+1,1))-AVERAGE(OFFSET($H$3,0,0,'Données projet'!$E$12+1,1))</f>
        <v>244.7364260963538</v>
      </c>
      <c r="CE134" s="59">
        <f t="shared" si="148"/>
        <v>270.32853612539299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8.7664448561029786</v>
      </c>
      <c r="CL134" s="21">
        <f>EXP(-LN(2)/25)*CL133+(1-EXP(-LN(2)/25))/(LN(2)/25)*Calculateur!CG134*Calculateur!CI134*VLOOKUP('Données projet'!$B$12,Paramètres!$A$1:$I$89,3,0)*0.475*44/12</f>
        <v>0.91239708884741733</v>
      </c>
      <c r="CM134" s="21">
        <f>EXP(-LN(2)/2)*CM133+(1-EXP(-LN(2)/2))/(LN(2)/2)*CG134*CJ134*VLOOKUP('Données projet'!$B$12,Paramètres!$A$1:$I$89,3,0)*0.475*44/12</f>
        <v>1.0486343683996685E-10</v>
      </c>
      <c r="CN134" s="22">
        <f t="shared" si="120"/>
        <v>9.6788419450552592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243.99999999999989</v>
      </c>
      <c r="CU134" s="17">
        <f>CT134*VLOOKUP('Données projet'!$B$13,Paramètres!$A$1:$I$89,3,0)*VLOOKUP('Données projet'!$B$13,Paramètres!$A$1:$I$89,5,0)</f>
        <v>235.99679999999987</v>
      </c>
      <c r="CV134" s="13">
        <f t="shared" si="149"/>
        <v>57.577381127598322</v>
      </c>
      <c r="CW134" s="20">
        <f t="shared" si="121"/>
        <v>511.30836546390015</v>
      </c>
      <c r="CX134" s="59">
        <f t="shared" si="122"/>
        <v>804.6416987972334</v>
      </c>
      <c r="CY134" s="59">
        <f ca="1">AVERAGE(OFFSET($CX$3,0,0,'Données projet'!$E$13+1,1))-AVERAGE(OFFSET($H$3,0,0,'Données projet'!$E$13+1,1))</f>
        <v>216.39536568500222</v>
      </c>
      <c r="CZ134" s="59">
        <f t="shared" si="150"/>
        <v>239.44686980897467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7.8770953779476089</v>
      </c>
      <c r="DG134" s="21">
        <f>EXP(-LN(2)/25)*DG133+(1-EXP(-LN(2)/25))/(LN(2)/25)*Calculateur!DB134*Calculateur!DD134*VLOOKUP('Données projet'!$B$13,Paramètres!$A$1:$I$89,3,0)*0.475*44/12</f>
        <v>0.81983506534115669</v>
      </c>
      <c r="DH134" s="21">
        <f>EXP(-LN(2)/2)*DH133+(1-EXP(-LN(2)/2))/(LN(2)/2)*DB134*DE134*VLOOKUP('Données projet'!$B$13,Paramètres!$A$1:$I$89,3,0)*0.475*44/12</f>
        <v>9.4225117160549837E-11</v>
      </c>
      <c r="DI134" s="22">
        <f t="shared" si="123"/>
        <v>8.6969304433829908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78.249599999999774</v>
      </c>
      <c r="D135" s="11">
        <f t="shared" si="140"/>
        <v>21.708652740239735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771.60756501237518</v>
      </c>
      <c r="H135" s="67">
        <f t="shared" si="110"/>
        <v>467.42729018925047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306.99999999999994</v>
      </c>
      <c r="O135" s="13">
        <f>N135*VLOOKUP('Données projet'!$B$9,Paramètres!$A$1:$I$89,3,0)*VLOOKUP('Données projet'!$B$9,Paramètres!$A$1:$I$89,5,0)</f>
        <v>277.77359999999993</v>
      </c>
      <c r="P135" s="13">
        <f t="shared" si="141"/>
        <v>66.496288176842356</v>
      </c>
      <c r="Q135" s="20">
        <f t="shared" si="108"/>
        <v>599.60338857466706</v>
      </c>
      <c r="R135" s="59">
        <f t="shared" si="109"/>
        <v>892.93672190800044</v>
      </c>
      <c r="S135" s="59">
        <f ca="1">AVERAGE(OFFSET($R$3,0,0,'Données projet'!$E$9+1,1))-AVERAGE(OFFSET($H$3,0,0,'Données projet'!$E$9+1,1))</f>
        <v>330.30341204367602</v>
      </c>
      <c r="T135" s="59">
        <f t="shared" si="142"/>
        <v>200.36653694091007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54.797824663366988</v>
      </c>
      <c r="AA135" s="21">
        <f>EXP(-LN(2)/25)*AA134+(1-EXP(-LN(2)/25))/(LN(2)/25)*Calculateur!V135*Calculateur!X135*VLOOKUP('Données projet'!$B$9,Paramètres!$A$1:$I$89,3,0)*0.475*44/12</f>
        <v>2.0703894089474373</v>
      </c>
      <c r="AB135" s="21">
        <f>EXP(-LN(2)/2)*AB134+(1-EXP(-LN(2)/2))/(LN(2)/2)*V135*Y135*VLOOKUP('Données projet'!$B$9,Paramètres!$A$1:$I$89,3,0)*0.475*44/12</f>
        <v>4.1616113133047528E-3</v>
      </c>
      <c r="AC135" s="22">
        <f t="shared" si="111"/>
        <v>56.87237568362773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971.99999999999977</v>
      </c>
      <c r="AJ135" s="13">
        <f>AI135*VLOOKUP('Données projet'!$B$10,Paramètres!$A$1:$I$89,3,0)*VLOOKUP('Données projet'!$B$10,Paramètres!$A$1:$I$89,5,0)</f>
        <v>581.25599999999986</v>
      </c>
      <c r="AK135" s="13">
        <f t="shared" si="143"/>
        <v>127.68713506014205</v>
      </c>
      <c r="AL135" s="20">
        <f t="shared" si="112"/>
        <v>1234.7426268964139</v>
      </c>
      <c r="AM135" s="59">
        <f t="shared" si="113"/>
        <v>1528.0759602297471</v>
      </c>
      <c r="AN135" s="59">
        <f ca="1">AVERAGE(OFFSET($AM$3,0,0,'Données projet'!$E$10+1,1))-AVERAGE(OFFSET($H$3,0,0,'Données projet'!$E$10+1,1))</f>
        <v>465.77577582457678</v>
      </c>
      <c r="AO135" s="59">
        <f t="shared" si="144"/>
        <v>301.15495784503042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15.342722200190009</v>
      </c>
      <c r="AV135" s="21">
        <f>EXP(-LN(2)/25)*AV134+(1-EXP(-LN(2)/25))/(LN(2)/25)*Calculateur!AQ135*Calculateur!AS135*VLOOKUP('Données projet'!$B$10,Paramètres!$A$1:$I$89,3,0)*0.475*44/12</f>
        <v>5.365591977502234</v>
      </c>
      <c r="AW135" s="21">
        <f>EXP(-LN(2)/2)*AW134+(1-EXP(-LN(2)/2))/(LN(2)/2)*AQ135*AT135*VLOOKUP('Données projet'!$B$10,Paramètres!$A$1:$I$89,3,0)*0.475*44/12</f>
        <v>7.5716538963582797E-10</v>
      </c>
      <c r="AX135" s="21">
        <f t="shared" si="114"/>
        <v>20.70831417844941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273.00000000000023</v>
      </c>
      <c r="BE135" s="13">
        <f>BD135*VLOOKUP('Données projet'!$B$11,Paramètres!$A$1:$I$89,3,0)*VLOOKUP('Données projet'!$B$11,Paramètres!$A$1:$I$89,5,0)</f>
        <v>212.9400000000002</v>
      </c>
      <c r="BF135" s="13">
        <f t="shared" si="145"/>
        <v>52.577528895212915</v>
      </c>
      <c r="BG135" s="20">
        <f t="shared" si="115"/>
        <v>462.44302949249618</v>
      </c>
      <c r="BH135" s="59">
        <f t="shared" si="116"/>
        <v>755.77636282582944</v>
      </c>
      <c r="BI135" s="59">
        <f ca="1">AVERAGE(OFFSET($BH$3,0,0,'Données projet'!$E$11+1,1))-AVERAGE(OFFSET($H$3,0,0,'Données projet'!$E$11+1,1))</f>
        <v>219.5868031007679</v>
      </c>
      <c r="BJ135" s="59">
        <f t="shared" si="146"/>
        <v>263.3830219837742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7.8432609114677616</v>
      </c>
      <c r="BQ135" s="21">
        <f>EXP(-LN(2)/25)*BQ134+(1-EXP(-LN(2)/25))/(LN(2)/25)*Calculateur!BL135*Calculateur!BN135*VLOOKUP('Données projet'!$B$11,Paramètres!$A$1:$I$89,3,0)*0.475*44/12</f>
        <v>0.80588521557288406</v>
      </c>
      <c r="BR135" s="21">
        <f>EXP(-LN(2)/2)*BR134+(1-EXP(-LN(2)/2))/(LN(2)/2)*BL135*BO135*VLOOKUP('Données projet'!$B$11,Paramètres!$A$1:$I$89,3,0)*0.475*44/12</f>
        <v>7.1512822868624876E-11</v>
      </c>
      <c r="BS135" s="22">
        <f t="shared" si="117"/>
        <v>8.649146127112159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243.99999999999989</v>
      </c>
      <c r="BZ135" s="13">
        <f>BY135*VLOOKUP('Données projet'!$B$12,Paramètres!$A$1:$I$89,3,0)*VLOOKUP('Données projet'!$B$12,Paramètres!$A$1:$I$89,5,0)</f>
        <v>262.64159999999987</v>
      </c>
      <c r="CA135" s="13">
        <f t="shared" si="147"/>
        <v>63.285128621471941</v>
      </c>
      <c r="CB135" s="20">
        <f t="shared" si="118"/>
        <v>567.65571901573003</v>
      </c>
      <c r="CC135" s="59">
        <f t="shared" si="119"/>
        <v>860.98905234906329</v>
      </c>
      <c r="CD135" s="59">
        <f ca="1">AVERAGE(OFFSET($CC$3,0,0,'Données projet'!$E$12+1,1))-AVERAGE(OFFSET($H$3,0,0,'Données projet'!$E$12+1,1))</f>
        <v>244.7364260963538</v>
      </c>
      <c r="CE135" s="59">
        <f t="shared" si="148"/>
        <v>270.32853612539299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8.5945402194781888</v>
      </c>
      <c r="CL135" s="21">
        <f>EXP(-LN(2)/25)*CL134+(1-EXP(-LN(2)/25))/(LN(2)/25)*Calculateur!CG135*Calculateur!CI135*VLOOKUP('Données projet'!$B$12,Paramètres!$A$1:$I$89,3,0)*0.475*44/12</f>
        <v>0.88744754247200708</v>
      </c>
      <c r="CM135" s="21">
        <f>EXP(-LN(2)/2)*CM134+(1-EXP(-LN(2)/2))/(LN(2)/2)*CG135*CJ135*VLOOKUP('Données projet'!$B$12,Paramètres!$A$1:$I$89,3,0)*0.475*44/12</f>
        <v>7.4149647288067788E-11</v>
      </c>
      <c r="CN135" s="22">
        <f t="shared" si="120"/>
        <v>9.481987762024346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243.99999999999989</v>
      </c>
      <c r="CU135" s="17">
        <f>CT135*VLOOKUP('Données projet'!$B$13,Paramètres!$A$1:$I$89,3,0)*VLOOKUP('Données projet'!$B$13,Paramètres!$A$1:$I$89,5,0)</f>
        <v>235.99679999999987</v>
      </c>
      <c r="CV135" s="13">
        <f t="shared" si="149"/>
        <v>57.577381127598322</v>
      </c>
      <c r="CW135" s="20">
        <f t="shared" si="121"/>
        <v>511.30836546390015</v>
      </c>
      <c r="CX135" s="59">
        <f t="shared" si="122"/>
        <v>804.6416987972334</v>
      </c>
      <c r="CY135" s="59">
        <f ca="1">AVERAGE(OFFSET($CX$3,0,0,'Données projet'!$E$13+1,1))-AVERAGE(OFFSET($H$3,0,0,'Données projet'!$E$13+1,1))</f>
        <v>216.39536568500222</v>
      </c>
      <c r="CZ135" s="59">
        <f t="shared" si="150"/>
        <v>239.44686980897467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7.7226303421398264</v>
      </c>
      <c r="DG135" s="21">
        <f>EXP(-LN(2)/25)*DG134+(1-EXP(-LN(2)/25))/(LN(2)/25)*Calculateur!DB135*Calculateur!DD135*VLOOKUP('Données projet'!$B$13,Paramètres!$A$1:$I$89,3,0)*0.475*44/12</f>
        <v>0.79741663236615046</v>
      </c>
      <c r="DH135" s="21">
        <f>EXP(-LN(2)/2)*DH134+(1-EXP(-LN(2)/2))/(LN(2)/2)*DB135*DE135*VLOOKUP('Données projet'!$B$13,Paramètres!$A$1:$I$89,3,0)*0.475*44/12</f>
        <v>6.6627219302321716E-11</v>
      </c>
      <c r="DI135" s="22">
        <f t="shared" si="123"/>
        <v>8.5200469745726046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78.84239999999977</v>
      </c>
      <c r="D136" s="11">
        <f t="shared" si="140"/>
        <v>21.853905254591357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777.30481249158072</v>
      </c>
      <c r="H136" s="67">
        <f t="shared" si="110"/>
        <v>468.71273165174614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306.99999999999994</v>
      </c>
      <c r="O136" s="13">
        <f>N136*VLOOKUP('Données projet'!$B$9,Paramètres!$A$1:$I$89,3,0)*VLOOKUP('Données projet'!$B$9,Paramètres!$A$1:$I$89,5,0)</f>
        <v>277.77359999999993</v>
      </c>
      <c r="P136" s="13">
        <f t="shared" si="141"/>
        <v>66.496288176842356</v>
      </c>
      <c r="Q136" s="20">
        <f t="shared" si="108"/>
        <v>599.60338857466706</v>
      </c>
      <c r="R136" s="59">
        <f t="shared" si="109"/>
        <v>892.93672190800044</v>
      </c>
      <c r="S136" s="59">
        <f ca="1">AVERAGE(OFFSET($R$3,0,0,'Données projet'!$E$9+1,1))-AVERAGE(OFFSET($H$3,0,0,'Données projet'!$E$9+1,1))</f>
        <v>330.30341204367602</v>
      </c>
      <c r="T136" s="59">
        <f t="shared" si="142"/>
        <v>200.36653694091007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53.723272745091123</v>
      </c>
      <c r="AA136" s="21">
        <f>EXP(-LN(2)/25)*AA135+(1-EXP(-LN(2)/25))/(LN(2)/25)*Calculateur!V136*Calculateur!X136*VLOOKUP('Données projet'!$B$9,Paramètres!$A$1:$I$89,3,0)*0.475*44/12</f>
        <v>2.0137745016827227</v>
      </c>
      <c r="AB136" s="21">
        <f>EXP(-LN(2)/2)*AB135+(1-EXP(-LN(2)/2))/(LN(2)/2)*V136*Y136*VLOOKUP('Données projet'!$B$9,Paramètres!$A$1:$I$89,3,0)*0.475*44/12</f>
        <v>2.9427035803004445E-3</v>
      </c>
      <c r="AC136" s="22">
        <f t="shared" si="111"/>
        <v>55.73998995035415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971.99999999999977</v>
      </c>
      <c r="AJ136" s="13">
        <f>AI136*VLOOKUP('Données projet'!$B$10,Paramètres!$A$1:$I$89,3,0)*VLOOKUP('Données projet'!$B$10,Paramètres!$A$1:$I$89,5,0)</f>
        <v>581.25599999999986</v>
      </c>
      <c r="AK136" s="13">
        <f t="shared" si="143"/>
        <v>127.68713506014205</v>
      </c>
      <c r="AL136" s="20">
        <f t="shared" si="112"/>
        <v>1234.7426268964139</v>
      </c>
      <c r="AM136" s="59">
        <f t="shared" si="113"/>
        <v>1528.0759602297471</v>
      </c>
      <c r="AN136" s="59">
        <f ca="1">AVERAGE(OFFSET($AM$3,0,0,'Données projet'!$E$10+1,1))-AVERAGE(OFFSET($H$3,0,0,'Données projet'!$E$10+1,1))</f>
        <v>465.77577582457678</v>
      </c>
      <c r="AO136" s="59">
        <f t="shared" si="144"/>
        <v>301.15495784503042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15.041860775980785</v>
      </c>
      <c r="AV136" s="21">
        <f>EXP(-LN(2)/25)*AV135+(1-EXP(-LN(2)/25))/(LN(2)/25)*Calculateur!AQ136*Calculateur!AS136*VLOOKUP('Données projet'!$B$10,Paramètres!$A$1:$I$89,3,0)*0.475*44/12</f>
        <v>5.218869582713217</v>
      </c>
      <c r="AW136" s="21">
        <f>EXP(-LN(2)/2)*AW135+(1-EXP(-LN(2)/2))/(LN(2)/2)*AQ136*AT136*VLOOKUP('Données projet'!$B$10,Paramètres!$A$1:$I$89,3,0)*0.475*44/12</f>
        <v>5.353967814912484E-10</v>
      </c>
      <c r="AX136" s="21">
        <f t="shared" si="114"/>
        <v>20.260730359229399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273.00000000000023</v>
      </c>
      <c r="BE136" s="13">
        <f>BD136*VLOOKUP('Données projet'!$B$11,Paramètres!$A$1:$I$89,3,0)*VLOOKUP('Données projet'!$B$11,Paramètres!$A$1:$I$89,5,0)</f>
        <v>212.9400000000002</v>
      </c>
      <c r="BF136" s="13">
        <f t="shared" si="145"/>
        <v>52.577528895212915</v>
      </c>
      <c r="BG136" s="20">
        <f t="shared" si="115"/>
        <v>462.44302949249618</v>
      </c>
      <c r="BH136" s="59">
        <f t="shared" si="116"/>
        <v>755.77636282582944</v>
      </c>
      <c r="BI136" s="59">
        <f ca="1">AVERAGE(OFFSET($BH$3,0,0,'Données projet'!$E$11+1,1))-AVERAGE(OFFSET($H$3,0,0,'Données projet'!$E$11+1,1))</f>
        <v>219.5868031007679</v>
      </c>
      <c r="BJ136" s="59">
        <f t="shared" si="146"/>
        <v>263.3830219837742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7.6894593489106624</v>
      </c>
      <c r="BQ136" s="21">
        <f>EXP(-LN(2)/25)*BQ135+(1-EXP(-LN(2)/25))/(LN(2)/25)*Calculateur!BL136*Calculateur!BN136*VLOOKUP('Données projet'!$B$11,Paramètres!$A$1:$I$89,3,0)*0.475*44/12</f>
        <v>0.78384824197338199</v>
      </c>
      <c r="BR136" s="21">
        <f>EXP(-LN(2)/2)*BR135+(1-EXP(-LN(2)/2))/(LN(2)/2)*BL136*BO136*VLOOKUP('Données projet'!$B$11,Paramètres!$A$1:$I$89,3,0)*0.475*44/12</f>
        <v>5.0567201992197063E-11</v>
      </c>
      <c r="BS136" s="22">
        <f t="shared" si="117"/>
        <v>8.4733075909346116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243.99999999999989</v>
      </c>
      <c r="BZ136" s="13">
        <f>BY136*VLOOKUP('Données projet'!$B$12,Paramètres!$A$1:$I$89,3,0)*VLOOKUP('Données projet'!$B$12,Paramètres!$A$1:$I$89,5,0)</f>
        <v>262.64159999999987</v>
      </c>
      <c r="CA136" s="13">
        <f t="shared" si="147"/>
        <v>63.285128621471941</v>
      </c>
      <c r="CB136" s="20">
        <f t="shared" si="118"/>
        <v>567.65571901573003</v>
      </c>
      <c r="CC136" s="59">
        <f t="shared" si="119"/>
        <v>860.98905234906329</v>
      </c>
      <c r="CD136" s="59">
        <f ca="1">AVERAGE(OFFSET($CC$3,0,0,'Données projet'!$E$12+1,1))-AVERAGE(OFFSET($H$3,0,0,'Données projet'!$E$12+1,1))</f>
        <v>244.7364260963538</v>
      </c>
      <c r="CE136" s="59">
        <f t="shared" si="148"/>
        <v>270.32853612539299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8.4260065279261358</v>
      </c>
      <c r="CL136" s="21">
        <f>EXP(-LN(2)/25)*CL135+(1-EXP(-LN(2)/25))/(LN(2)/25)*Calculateur!CG136*Calculateur!CI136*VLOOKUP('Données projet'!$B$12,Paramètres!$A$1:$I$89,3,0)*0.475*44/12</f>
        <v>0.86318024275427208</v>
      </c>
      <c r="CM136" s="21">
        <f>EXP(-LN(2)/2)*CM135+(1-EXP(-LN(2)/2))/(LN(2)/2)*CG136*CJ136*VLOOKUP('Données projet'!$B$12,Paramètres!$A$1:$I$89,3,0)*0.475*44/12</f>
        <v>5.2431718419983427E-11</v>
      </c>
      <c r="CN136" s="22">
        <f t="shared" si="120"/>
        <v>9.2891867707328384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243.99999999999989</v>
      </c>
      <c r="CU136" s="17">
        <f>CT136*VLOOKUP('Données projet'!$B$13,Paramètres!$A$1:$I$89,3,0)*VLOOKUP('Données projet'!$B$13,Paramètres!$A$1:$I$89,5,0)</f>
        <v>235.99679999999987</v>
      </c>
      <c r="CV136" s="13">
        <f t="shared" si="149"/>
        <v>57.577381127598322</v>
      </c>
      <c r="CW136" s="20">
        <f t="shared" si="121"/>
        <v>511.30836546390015</v>
      </c>
      <c r="CX136" s="59">
        <f t="shared" si="122"/>
        <v>804.6416987972334</v>
      </c>
      <c r="CY136" s="59">
        <f ca="1">AVERAGE(OFFSET($CX$3,0,0,'Données projet'!$E$13+1,1))-AVERAGE(OFFSET($H$3,0,0,'Données projet'!$E$13+1,1))</f>
        <v>216.39536568500222</v>
      </c>
      <c r="CZ136" s="59">
        <f t="shared" si="150"/>
        <v>239.44686980897467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7.5711942714698655</v>
      </c>
      <c r="DG136" s="21">
        <f>EXP(-LN(2)/25)*DG135+(1-EXP(-LN(2)/25))/(LN(2)/25)*Calculateur!DB136*Calculateur!DD136*VLOOKUP('Données projet'!$B$13,Paramètres!$A$1:$I$89,3,0)*0.475*44/12</f>
        <v>0.77561123261977993</v>
      </c>
      <c r="DH136" s="21">
        <f>EXP(-LN(2)/2)*DH135+(1-EXP(-LN(2)/2))/(LN(2)/2)*DB136*DE136*VLOOKUP('Données projet'!$B$13,Paramètres!$A$1:$I$89,3,0)*0.475*44/12</f>
        <v>4.7112558580274918E-11</v>
      </c>
      <c r="DI136" s="22">
        <f t="shared" si="123"/>
        <v>8.346805504136757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79.435199999999767</v>
      </c>
      <c r="D137" s="11">
        <f t="shared" si="140"/>
        <v>21.999030700035558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783.00107908799203</v>
      </c>
      <c r="H137" s="67">
        <f t="shared" si="110"/>
        <v>469.99795180256149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306.99999999999994</v>
      </c>
      <c r="O137" s="13">
        <f>N137*VLOOKUP('Données projet'!$B$9,Paramètres!$A$1:$I$89,3,0)*VLOOKUP('Données projet'!$B$9,Paramètres!$A$1:$I$89,5,0)</f>
        <v>277.77359999999993</v>
      </c>
      <c r="P137" s="13">
        <f t="shared" si="141"/>
        <v>66.496288176842356</v>
      </c>
      <c r="Q137" s="20">
        <f t="shared" si="108"/>
        <v>599.60338857466706</v>
      </c>
      <c r="R137" s="59">
        <f t="shared" si="109"/>
        <v>892.93672190800044</v>
      </c>
      <c r="S137" s="59">
        <f ca="1">AVERAGE(OFFSET($R$3,0,0,'Données projet'!$E$9+1,1))-AVERAGE(OFFSET($H$3,0,0,'Données projet'!$E$9+1,1))</f>
        <v>330.30341204367602</v>
      </c>
      <c r="T137" s="59">
        <f t="shared" si="142"/>
        <v>200.36653694091007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52.669792134520691</v>
      </c>
      <c r="AA137" s="21">
        <f>EXP(-LN(2)/25)*AA136+(1-EXP(-LN(2)/25))/(LN(2)/25)*Calculateur!V137*Calculateur!X137*VLOOKUP('Données projet'!$B$9,Paramètres!$A$1:$I$89,3,0)*0.475*44/12</f>
        <v>1.9587077320344102</v>
      </c>
      <c r="AB137" s="21">
        <f>EXP(-LN(2)/2)*AB136+(1-EXP(-LN(2)/2))/(LN(2)/2)*V137*Y137*VLOOKUP('Données projet'!$B$9,Paramètres!$A$1:$I$89,3,0)*0.475*44/12</f>
        <v>2.0808056566523764E-3</v>
      </c>
      <c r="AC137" s="22">
        <f t="shared" si="111"/>
        <v>54.630580672211757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971.99999999999977</v>
      </c>
      <c r="AJ137" s="13">
        <f>AI137*VLOOKUP('Données projet'!$B$10,Paramètres!$A$1:$I$89,3,0)*VLOOKUP('Données projet'!$B$10,Paramètres!$A$1:$I$89,5,0)</f>
        <v>581.25599999999986</v>
      </c>
      <c r="AK137" s="13">
        <f t="shared" si="143"/>
        <v>127.68713506014205</v>
      </c>
      <c r="AL137" s="20">
        <f t="shared" si="112"/>
        <v>1234.7426268964139</v>
      </c>
      <c r="AM137" s="59">
        <f t="shared" si="113"/>
        <v>1528.0759602297471</v>
      </c>
      <c r="AN137" s="59">
        <f ca="1">AVERAGE(OFFSET($AM$3,0,0,'Données projet'!$E$10+1,1))-AVERAGE(OFFSET($H$3,0,0,'Données projet'!$E$10+1,1))</f>
        <v>465.77577582457678</v>
      </c>
      <c r="AO137" s="59">
        <f t="shared" si="144"/>
        <v>301.15495784503042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14.746899060792956</v>
      </c>
      <c r="AV137" s="21">
        <f>EXP(-LN(2)/25)*AV136+(1-EXP(-LN(2)/25))/(LN(2)/25)*Calculateur!AQ137*Calculateur!AS137*VLOOKUP('Données projet'!$B$10,Paramètres!$A$1:$I$89,3,0)*0.475*44/12</f>
        <v>5.0761593195255008</v>
      </c>
      <c r="AW137" s="21">
        <f>EXP(-LN(2)/2)*AW136+(1-EXP(-LN(2)/2))/(LN(2)/2)*AQ137*AT137*VLOOKUP('Données projet'!$B$10,Paramètres!$A$1:$I$89,3,0)*0.475*44/12</f>
        <v>3.7858269481791398E-10</v>
      </c>
      <c r="AX137" s="21">
        <f t="shared" si="114"/>
        <v>19.823058380697042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273.00000000000023</v>
      </c>
      <c r="BE137" s="13">
        <f>BD137*VLOOKUP('Données projet'!$B$11,Paramètres!$A$1:$I$89,3,0)*VLOOKUP('Données projet'!$B$11,Paramètres!$A$1:$I$89,5,0)</f>
        <v>212.9400000000002</v>
      </c>
      <c r="BF137" s="13">
        <f t="shared" si="145"/>
        <v>52.577528895212915</v>
      </c>
      <c r="BG137" s="20">
        <f t="shared" si="115"/>
        <v>462.44302949249618</v>
      </c>
      <c r="BH137" s="59">
        <f t="shared" si="116"/>
        <v>755.77636282582944</v>
      </c>
      <c r="BI137" s="59">
        <f ca="1">AVERAGE(OFFSET($BH$3,0,0,'Données projet'!$E$11+1,1))-AVERAGE(OFFSET($H$3,0,0,'Données projet'!$E$11+1,1))</f>
        <v>219.5868031007679</v>
      </c>
      <c r="BJ137" s="59">
        <f t="shared" si="146"/>
        <v>263.3830219837742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7.5386737411856179</v>
      </c>
      <c r="BQ137" s="21">
        <f>EXP(-LN(2)/25)*BQ136+(1-EXP(-LN(2)/25))/(LN(2)/25)*Calculateur!BL137*Calculateur!BN137*VLOOKUP('Données projet'!$B$11,Paramètres!$A$1:$I$89,3,0)*0.475*44/12</f>
        <v>0.76241387057583232</v>
      </c>
      <c r="BR137" s="21">
        <f>EXP(-LN(2)/2)*BR136+(1-EXP(-LN(2)/2))/(LN(2)/2)*BL137*BO137*VLOOKUP('Données projet'!$B$11,Paramètres!$A$1:$I$89,3,0)*0.475*44/12</f>
        <v>3.5756411434312438E-11</v>
      </c>
      <c r="BS137" s="22">
        <f t="shared" si="117"/>
        <v>8.3010876117972057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243.99999999999989</v>
      </c>
      <c r="BZ137" s="13">
        <f>BY137*VLOOKUP('Données projet'!$B$12,Paramètres!$A$1:$I$89,3,0)*VLOOKUP('Données projet'!$B$12,Paramètres!$A$1:$I$89,5,0)</f>
        <v>262.64159999999987</v>
      </c>
      <c r="CA137" s="13">
        <f t="shared" si="147"/>
        <v>63.285128621471941</v>
      </c>
      <c r="CB137" s="20">
        <f t="shared" si="118"/>
        <v>567.65571901573003</v>
      </c>
      <c r="CC137" s="59">
        <f t="shared" si="119"/>
        <v>860.98905234906329</v>
      </c>
      <c r="CD137" s="59">
        <f ca="1">AVERAGE(OFFSET($CC$3,0,0,'Données projet'!$E$12+1,1))-AVERAGE(OFFSET($H$3,0,0,'Données projet'!$E$12+1,1))</f>
        <v>244.7364260963538</v>
      </c>
      <c r="CE137" s="59">
        <f t="shared" si="148"/>
        <v>270.32853612539299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8.2607776792700172</v>
      </c>
      <c r="CL137" s="21">
        <f>EXP(-LN(2)/25)*CL136+(1-EXP(-LN(2)/25))/(LN(2)/25)*Calculateur!CG137*Calculateur!CI137*VLOOKUP('Données projet'!$B$12,Paramètres!$A$1:$I$89,3,0)*0.475*44/12</f>
        <v>0.83957653362348039</v>
      </c>
      <c r="CM137" s="21">
        <f>EXP(-LN(2)/2)*CM136+(1-EXP(-LN(2)/2))/(LN(2)/2)*CG137*CJ137*VLOOKUP('Données projet'!$B$12,Paramètres!$A$1:$I$89,3,0)*0.475*44/12</f>
        <v>3.7074823644033894E-11</v>
      </c>
      <c r="CN137" s="22">
        <f t="shared" si="120"/>
        <v>9.1003542129305721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243.99999999999989</v>
      </c>
      <c r="CU137" s="17">
        <f>CT137*VLOOKUP('Données projet'!$B$13,Paramètres!$A$1:$I$89,3,0)*VLOOKUP('Données projet'!$B$13,Paramètres!$A$1:$I$89,5,0)</f>
        <v>235.99679999999987</v>
      </c>
      <c r="CV137" s="13">
        <f t="shared" si="149"/>
        <v>57.577381127598322</v>
      </c>
      <c r="CW137" s="20">
        <f t="shared" si="121"/>
        <v>511.30836546390015</v>
      </c>
      <c r="CX137" s="59">
        <f t="shared" si="122"/>
        <v>804.6416987972334</v>
      </c>
      <c r="CY137" s="59">
        <f ca="1">AVERAGE(OFFSET($CX$3,0,0,'Données projet'!$E$13+1,1))-AVERAGE(OFFSET($H$3,0,0,'Données projet'!$E$13+1,1))</f>
        <v>216.39536568500222</v>
      </c>
      <c r="CZ137" s="59">
        <f t="shared" si="150"/>
        <v>239.44686980897467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7.4227277697788603</v>
      </c>
      <c r="DG137" s="21">
        <f>EXP(-LN(2)/25)*DG136+(1-EXP(-LN(2)/25))/(LN(2)/25)*Calculateur!DB137*Calculateur!DD137*VLOOKUP('Données projet'!$B$13,Paramètres!$A$1:$I$89,3,0)*0.475*44/12</f>
        <v>0.75440210267617003</v>
      </c>
      <c r="DH137" s="21">
        <f>EXP(-LN(2)/2)*DH136+(1-EXP(-LN(2)/2))/(LN(2)/2)*DB137*DE137*VLOOKUP('Données projet'!$B$13,Paramètres!$A$1:$I$89,3,0)*0.475*44/12</f>
        <v>3.3313609651160858E-11</v>
      </c>
      <c r="DI137" s="22">
        <f t="shared" si="123"/>
        <v>8.1771298724883437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80.027999999999764</v>
      </c>
      <c r="D138" s="11">
        <f t="shared" si="140"/>
        <v>22.144030134787098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788.69637297028464</v>
      </c>
      <c r="H138" s="67">
        <f t="shared" si="110"/>
        <v>471.28295248475376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306.99999999999994</v>
      </c>
      <c r="O138" s="13">
        <f>N138*VLOOKUP('Données projet'!$B$9,Paramètres!$A$1:$I$89,3,0)*VLOOKUP('Données projet'!$B$9,Paramètres!$A$1:$I$89,5,0)</f>
        <v>277.77359999999993</v>
      </c>
      <c r="P138" s="13">
        <f t="shared" si="141"/>
        <v>66.496288176842356</v>
      </c>
      <c r="Q138" s="20">
        <f t="shared" si="108"/>
        <v>599.60338857466706</v>
      </c>
      <c r="R138" s="59">
        <f t="shared" si="109"/>
        <v>892.93672190800044</v>
      </c>
      <c r="S138" s="59">
        <f ca="1">AVERAGE(OFFSET($R$3,0,0,'Données projet'!$E$9+1,1))-AVERAGE(OFFSET($H$3,0,0,'Données projet'!$E$9+1,1))</f>
        <v>330.30341204367602</v>
      </c>
      <c r="T138" s="59">
        <f t="shared" si="142"/>
        <v>200.36653694091007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51.636969636163819</v>
      </c>
      <c r="AA138" s="21">
        <f>EXP(-LN(2)/25)*AA137+(1-EXP(-LN(2)/25))/(LN(2)/25)*Calculateur!V138*Calculateur!X138*VLOOKUP('Données projet'!$B$9,Paramètres!$A$1:$I$89,3,0)*0.475*44/12</f>
        <v>1.9051467660979662</v>
      </c>
      <c r="AB138" s="21">
        <f>EXP(-LN(2)/2)*AB137+(1-EXP(-LN(2)/2))/(LN(2)/2)*V138*Y138*VLOOKUP('Données projet'!$B$9,Paramètres!$A$1:$I$89,3,0)*0.475*44/12</f>
        <v>1.4713517901502222E-3</v>
      </c>
      <c r="AC138" s="22">
        <f t="shared" si="111"/>
        <v>53.543587754051934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971.99999999999977</v>
      </c>
      <c r="AJ138" s="13">
        <f>AI138*VLOOKUP('Données projet'!$B$10,Paramètres!$A$1:$I$89,3,0)*VLOOKUP('Données projet'!$B$10,Paramètres!$A$1:$I$89,5,0)</f>
        <v>581.25599999999986</v>
      </c>
      <c r="AK138" s="13">
        <f t="shared" si="143"/>
        <v>127.68713506014205</v>
      </c>
      <c r="AL138" s="20">
        <f t="shared" si="112"/>
        <v>1234.7426268964139</v>
      </c>
      <c r="AM138" s="59">
        <f t="shared" si="113"/>
        <v>1528.0759602297471</v>
      </c>
      <c r="AN138" s="59">
        <f ca="1">AVERAGE(OFFSET($AM$3,0,0,'Données projet'!$E$10+1,1))-AVERAGE(OFFSET($H$3,0,0,'Données projet'!$E$10+1,1))</f>
        <v>465.77577582457678</v>
      </c>
      <c r="AO138" s="59">
        <f t="shared" si="144"/>
        <v>301.15495784503042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14.457721364931079</v>
      </c>
      <c r="AV138" s="21">
        <f>EXP(-LN(2)/25)*AV137+(1-EXP(-LN(2)/25))/(LN(2)/25)*Calculateur!AQ138*Calculateur!AS138*VLOOKUP('Données projet'!$B$10,Paramètres!$A$1:$I$89,3,0)*0.475*44/12</f>
        <v>4.937351475989459</v>
      </c>
      <c r="AW138" s="21">
        <f>EXP(-LN(2)/2)*AW137+(1-EXP(-LN(2)/2))/(LN(2)/2)*AQ138*AT138*VLOOKUP('Données projet'!$B$10,Paramètres!$A$1:$I$89,3,0)*0.475*44/12</f>
        <v>2.676983907456242E-10</v>
      </c>
      <c r="AX138" s="21">
        <f t="shared" si="114"/>
        <v>19.395072841188234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273.00000000000023</v>
      </c>
      <c r="BE138" s="13">
        <f>BD138*VLOOKUP('Données projet'!$B$11,Paramètres!$A$1:$I$89,3,0)*VLOOKUP('Données projet'!$B$11,Paramètres!$A$1:$I$89,5,0)</f>
        <v>212.9400000000002</v>
      </c>
      <c r="BF138" s="13">
        <f t="shared" si="145"/>
        <v>52.577528895212915</v>
      </c>
      <c r="BG138" s="20">
        <f t="shared" si="115"/>
        <v>462.44302949249618</v>
      </c>
      <c r="BH138" s="59">
        <f t="shared" si="116"/>
        <v>755.77636282582944</v>
      </c>
      <c r="BI138" s="59">
        <f ca="1">AVERAGE(OFFSET($BH$3,0,0,'Données projet'!$E$11+1,1))-AVERAGE(OFFSET($H$3,0,0,'Données projet'!$E$11+1,1))</f>
        <v>219.5868031007679</v>
      </c>
      <c r="BJ138" s="59">
        <f t="shared" si="146"/>
        <v>263.3830219837742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7.3908449472579214</v>
      </c>
      <c r="BQ138" s="21">
        <f>EXP(-LN(2)/25)*BQ137+(1-EXP(-LN(2)/25))/(LN(2)/25)*Calculateur!BL138*Calculateur!BN138*VLOOKUP('Données projet'!$B$11,Paramètres!$A$1:$I$89,3,0)*0.475*44/12</f>
        <v>0.74156562319133323</v>
      </c>
      <c r="BR138" s="21">
        <f>EXP(-LN(2)/2)*BR137+(1-EXP(-LN(2)/2))/(LN(2)/2)*BL138*BO138*VLOOKUP('Données projet'!$B$11,Paramètres!$A$1:$I$89,3,0)*0.475*44/12</f>
        <v>2.5283600996098532E-11</v>
      </c>
      <c r="BS138" s="22">
        <f t="shared" si="117"/>
        <v>8.1324105704745371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243.99999999999989</v>
      </c>
      <c r="BZ138" s="13">
        <f>BY138*VLOOKUP('Données projet'!$B$12,Paramètres!$A$1:$I$89,3,0)*VLOOKUP('Données projet'!$B$12,Paramètres!$A$1:$I$89,5,0)</f>
        <v>262.64159999999987</v>
      </c>
      <c r="CA138" s="13">
        <f t="shared" si="147"/>
        <v>63.285128621471941</v>
      </c>
      <c r="CB138" s="20">
        <f t="shared" si="118"/>
        <v>567.65571901573003</v>
      </c>
      <c r="CC138" s="59">
        <f t="shared" si="119"/>
        <v>860.98905234906329</v>
      </c>
      <c r="CD138" s="59">
        <f ca="1">AVERAGE(OFFSET($CC$3,0,0,'Données projet'!$E$12+1,1))-AVERAGE(OFFSET($H$3,0,0,'Données projet'!$E$12+1,1))</f>
        <v>244.7364260963538</v>
      </c>
      <c r="CE138" s="59">
        <f t="shared" si="148"/>
        <v>270.32853612539299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8.098788867556399</v>
      </c>
      <c r="CL138" s="21">
        <f>EXP(-LN(2)/25)*CL137+(1-EXP(-LN(2)/25))/(LN(2)/25)*Calculateur!CG138*Calculateur!CI138*VLOOKUP('Données projet'!$B$12,Paramètres!$A$1:$I$89,3,0)*0.475*44/12</f>
        <v>0.81661826916013525</v>
      </c>
      <c r="CM138" s="21">
        <f>EXP(-LN(2)/2)*CM137+(1-EXP(-LN(2)/2))/(LN(2)/2)*CG138*CJ138*VLOOKUP('Données projet'!$B$12,Paramètres!$A$1:$I$89,3,0)*0.475*44/12</f>
        <v>2.6215859209991713E-11</v>
      </c>
      <c r="CN138" s="22">
        <f t="shared" si="120"/>
        <v>8.9154071367427505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243.99999999999989</v>
      </c>
      <c r="CU138" s="17">
        <f>CT138*VLOOKUP('Données projet'!$B$13,Paramètres!$A$1:$I$89,3,0)*VLOOKUP('Données projet'!$B$13,Paramètres!$A$1:$I$89,5,0)</f>
        <v>235.99679999999987</v>
      </c>
      <c r="CV138" s="13">
        <f t="shared" si="149"/>
        <v>57.577381127598322</v>
      </c>
      <c r="CW138" s="20">
        <f t="shared" si="121"/>
        <v>511.30836546390015</v>
      </c>
      <c r="CX138" s="59">
        <f t="shared" si="122"/>
        <v>804.6416987972334</v>
      </c>
      <c r="CY138" s="59">
        <f ca="1">AVERAGE(OFFSET($CX$3,0,0,'Données projet'!$E$13+1,1))-AVERAGE(OFFSET($H$3,0,0,'Données projet'!$E$13+1,1))</f>
        <v>216.39536568500222</v>
      </c>
      <c r="CZ138" s="59">
        <f t="shared" si="150"/>
        <v>239.44686980897467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7.2771726056303914</v>
      </c>
      <c r="DG138" s="21">
        <f>EXP(-LN(2)/25)*DG137+(1-EXP(-LN(2)/25))/(LN(2)/25)*Calculateur!DB138*Calculateur!DD138*VLOOKUP('Données projet'!$B$13,Paramètres!$A$1:$I$89,3,0)*0.475*44/12</f>
        <v>0.73377293750620776</v>
      </c>
      <c r="DH138" s="21">
        <f>EXP(-LN(2)/2)*DH137+(1-EXP(-LN(2)/2))/(LN(2)/2)*DB138*DE138*VLOOKUP('Données projet'!$B$13,Paramètres!$A$1:$I$89,3,0)*0.475*44/12</f>
        <v>2.3556279290137459E-11</v>
      </c>
      <c r="DI138" s="22">
        <f t="shared" si="123"/>
        <v>8.0109455431601546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80.620799999999761</v>
      </c>
      <c r="D139" s="11">
        <f t="shared" si="140"/>
        <v>22.288904600477693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794.39070217912433</v>
      </c>
      <c r="H139" s="67">
        <f t="shared" si="110"/>
        <v>472.56773551249819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306.99999999999994</v>
      </c>
      <c r="O139" s="13">
        <f>N139*VLOOKUP('Données projet'!$B$9,Paramètres!$A$1:$I$89,3,0)*VLOOKUP('Données projet'!$B$9,Paramètres!$A$1:$I$89,5,0)</f>
        <v>277.77359999999993</v>
      </c>
      <c r="P139" s="13">
        <f t="shared" si="141"/>
        <v>66.496288176842356</v>
      </c>
      <c r="Q139" s="20">
        <f t="shared" si="108"/>
        <v>599.60338857466706</v>
      </c>
      <c r="R139" s="59">
        <f t="shared" si="109"/>
        <v>892.93672190800044</v>
      </c>
      <c r="S139" s="59">
        <f ca="1">AVERAGE(OFFSET($R$3,0,0,'Données projet'!$E$9+1,1))-AVERAGE(OFFSET($H$3,0,0,'Données projet'!$E$9+1,1))</f>
        <v>330.30341204367602</v>
      </c>
      <c r="T139" s="59">
        <f t="shared" si="142"/>
        <v>200.36653694091007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50.624400157040206</v>
      </c>
      <c r="AA139" s="21">
        <f>EXP(-LN(2)/25)*AA138+(1-EXP(-LN(2)/25))/(LN(2)/25)*Calculateur!V139*Calculateur!X139*VLOOKUP('Données projet'!$B$9,Paramètres!$A$1:$I$89,3,0)*0.475*44/12</f>
        <v>1.8530504275917032</v>
      </c>
      <c r="AB139" s="21">
        <f>EXP(-LN(2)/2)*AB138+(1-EXP(-LN(2)/2))/(LN(2)/2)*V139*Y139*VLOOKUP('Données projet'!$B$9,Paramètres!$A$1:$I$89,3,0)*0.475*44/12</f>
        <v>1.0404028283261882E-3</v>
      </c>
      <c r="AC139" s="22">
        <f t="shared" si="111"/>
        <v>52.478490987460233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971.99999999999977</v>
      </c>
      <c r="AJ139" s="13">
        <f>AI139*VLOOKUP('Données projet'!$B$10,Paramètres!$A$1:$I$89,3,0)*VLOOKUP('Données projet'!$B$10,Paramètres!$A$1:$I$89,5,0)</f>
        <v>581.25599999999986</v>
      </c>
      <c r="AK139" s="13">
        <f t="shared" si="143"/>
        <v>127.68713506014205</v>
      </c>
      <c r="AL139" s="20">
        <f t="shared" si="112"/>
        <v>1234.7426268964139</v>
      </c>
      <c r="AM139" s="59">
        <f t="shared" si="113"/>
        <v>1528.0759602297471</v>
      </c>
      <c r="AN139" s="59">
        <f ca="1">AVERAGE(OFFSET($AM$3,0,0,'Données projet'!$E$10+1,1))-AVERAGE(OFFSET($H$3,0,0,'Données projet'!$E$10+1,1))</f>
        <v>465.77577582457678</v>
      </c>
      <c r="AO139" s="59">
        <f t="shared" si="144"/>
        <v>301.15495784503042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14.174214267304073</v>
      </c>
      <c r="AV139" s="21">
        <f>EXP(-LN(2)/25)*AV138+(1-EXP(-LN(2)/25))/(LN(2)/25)*Calculateur!AQ139*Calculateur!AS139*VLOOKUP('Données projet'!$B$10,Paramètres!$A$1:$I$89,3,0)*0.475*44/12</f>
        <v>4.8023393402344974</v>
      </c>
      <c r="AW139" s="21">
        <f>EXP(-LN(2)/2)*AW138+(1-EXP(-LN(2)/2))/(LN(2)/2)*AQ139*AT139*VLOOKUP('Données projet'!$B$10,Paramètres!$A$1:$I$89,3,0)*0.475*44/12</f>
        <v>1.8929134740895699E-10</v>
      </c>
      <c r="AX139" s="21">
        <f t="shared" si="114"/>
        <v>18.976553607727862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273.00000000000023</v>
      </c>
      <c r="BE139" s="13">
        <f>BD139*VLOOKUP('Données projet'!$B$11,Paramètres!$A$1:$I$89,3,0)*VLOOKUP('Données projet'!$B$11,Paramètres!$A$1:$I$89,5,0)</f>
        <v>212.9400000000002</v>
      </c>
      <c r="BF139" s="13">
        <f t="shared" si="145"/>
        <v>52.577528895212915</v>
      </c>
      <c r="BG139" s="20">
        <f t="shared" si="115"/>
        <v>462.44302949249618</v>
      </c>
      <c r="BH139" s="59">
        <f t="shared" si="116"/>
        <v>755.77636282582944</v>
      </c>
      <c r="BI139" s="59">
        <f ca="1">AVERAGE(OFFSET($BH$3,0,0,'Données projet'!$E$11+1,1))-AVERAGE(OFFSET($H$3,0,0,'Données projet'!$E$11+1,1))</f>
        <v>219.5868031007679</v>
      </c>
      <c r="BJ139" s="59">
        <f t="shared" si="146"/>
        <v>263.3830219837742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7.2459149858124867</v>
      </c>
      <c r="BQ139" s="21">
        <f>EXP(-LN(2)/25)*BQ138+(1-EXP(-LN(2)/25))/(LN(2)/25)*Calculateur!BL139*Calculateur!BN139*VLOOKUP('Données projet'!$B$11,Paramètres!$A$1:$I$89,3,0)*0.475*44/12</f>
        <v>0.721287472227925</v>
      </c>
      <c r="BR139" s="21">
        <f>EXP(-LN(2)/2)*BR138+(1-EXP(-LN(2)/2))/(LN(2)/2)*BL139*BO139*VLOOKUP('Données projet'!$B$11,Paramètres!$A$1:$I$89,3,0)*0.475*44/12</f>
        <v>1.7878205717156219E-11</v>
      </c>
      <c r="BS139" s="22">
        <f t="shared" si="117"/>
        <v>7.9672024580582894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243.99999999999989</v>
      </c>
      <c r="BZ139" s="13">
        <f>BY139*VLOOKUP('Données projet'!$B$12,Paramètres!$A$1:$I$89,3,0)*VLOOKUP('Données projet'!$B$12,Paramètres!$A$1:$I$89,5,0)</f>
        <v>262.64159999999987</v>
      </c>
      <c r="CA139" s="13">
        <f t="shared" si="147"/>
        <v>63.285128621471941</v>
      </c>
      <c r="CB139" s="20">
        <f t="shared" si="118"/>
        <v>567.65571901573003</v>
      </c>
      <c r="CC139" s="59">
        <f t="shared" si="119"/>
        <v>860.98905234906329</v>
      </c>
      <c r="CD139" s="59">
        <f ca="1">AVERAGE(OFFSET($CC$3,0,0,'Données projet'!$E$12+1,1))-AVERAGE(OFFSET($H$3,0,0,'Données projet'!$E$12+1,1))</f>
        <v>244.7364260963538</v>
      </c>
      <c r="CE139" s="59">
        <f t="shared" si="148"/>
        <v>270.32853612539299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7.9399765576370651</v>
      </c>
      <c r="CL139" s="21">
        <f>EXP(-LN(2)/25)*CL138+(1-EXP(-LN(2)/25))/(LN(2)/25)*Calculateur!CG139*Calculateur!CI139*VLOOKUP('Données projet'!$B$12,Paramètres!$A$1:$I$89,3,0)*0.475*44/12</f>
        <v>0.79428779964586294</v>
      </c>
      <c r="CM139" s="21">
        <f>EXP(-LN(2)/2)*CM138+(1-EXP(-LN(2)/2))/(LN(2)/2)*CG139*CJ139*VLOOKUP('Données projet'!$B$12,Paramètres!$A$1:$I$89,3,0)*0.475*44/12</f>
        <v>1.8537411822016947E-11</v>
      </c>
      <c r="CN139" s="22">
        <f t="shared" si="120"/>
        <v>8.7342643573014662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243.99999999999989</v>
      </c>
      <c r="CU139" s="17">
        <f>CT139*VLOOKUP('Données projet'!$B$13,Paramètres!$A$1:$I$89,3,0)*VLOOKUP('Données projet'!$B$13,Paramètres!$A$1:$I$89,5,0)</f>
        <v>235.99679999999987</v>
      </c>
      <c r="CV139" s="13">
        <f t="shared" si="149"/>
        <v>57.577381127598322</v>
      </c>
      <c r="CW139" s="20">
        <f t="shared" si="121"/>
        <v>511.30836546390015</v>
      </c>
      <c r="CX139" s="59">
        <f t="shared" si="122"/>
        <v>804.6416987972334</v>
      </c>
      <c r="CY139" s="59">
        <f ca="1">AVERAGE(OFFSET($CX$3,0,0,'Données projet'!$E$13+1,1))-AVERAGE(OFFSET($H$3,0,0,'Données projet'!$E$13+1,1))</f>
        <v>216.39536568500222</v>
      </c>
      <c r="CZ139" s="59">
        <f t="shared" si="150"/>
        <v>239.44686980897467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7.1344716894709901</v>
      </c>
      <c r="DG139" s="21">
        <f>EXP(-LN(2)/25)*DG138+(1-EXP(-LN(2)/25))/(LN(2)/25)*Calculateur!DB139*Calculateur!DD139*VLOOKUP('Données projet'!$B$13,Paramètres!$A$1:$I$89,3,0)*0.475*44/12</f>
        <v>0.71370787794265877</v>
      </c>
      <c r="DH139" s="21">
        <f>EXP(-LN(2)/2)*DH138+(1-EXP(-LN(2)/2))/(LN(2)/2)*DB139*DE139*VLOOKUP('Données projet'!$B$13,Paramètres!$A$1:$I$89,3,0)*0.475*44/12</f>
        <v>1.6656804825580429E-11</v>
      </c>
      <c r="DI139" s="22">
        <f t="shared" si="123"/>
        <v>7.8481795674303054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81.213599999999758</v>
      </c>
      <c r="D140" s="11">
        <f t="shared" si="140"/>
        <v>22.43365512253602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800.08407463010087</v>
      </c>
      <c r="H140" s="67">
        <f t="shared" si="110"/>
        <v>473.85230267174978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306.99999999999994</v>
      </c>
      <c r="O140" s="13">
        <f>N140*VLOOKUP('Données projet'!$B$9,Paramètres!$A$1:$I$89,3,0)*VLOOKUP('Données projet'!$B$9,Paramètres!$A$1:$I$89,5,0)</f>
        <v>277.77359999999993</v>
      </c>
      <c r="P140" s="13">
        <f t="shared" si="141"/>
        <v>66.496288176842356</v>
      </c>
      <c r="Q140" s="20">
        <f t="shared" si="108"/>
        <v>599.60338857466706</v>
      </c>
      <c r="R140" s="59">
        <f t="shared" si="109"/>
        <v>892.93672190800044</v>
      </c>
      <c r="S140" s="59">
        <f ca="1">AVERAGE(OFFSET($R$3,0,0,'Données projet'!$E$9+1,1))-AVERAGE(OFFSET($H$3,0,0,'Données projet'!$E$9+1,1))</f>
        <v>330.30341204367602</v>
      </c>
      <c r="T140" s="59">
        <f t="shared" si="142"/>
        <v>200.36653694091007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49.631686547795809</v>
      </c>
      <c r="AA140" s="21">
        <f>EXP(-LN(2)/25)*AA139+(1-EXP(-LN(2)/25))/(LN(2)/25)*Calculateur!V140*Calculateur!X140*VLOOKUP('Données projet'!$B$9,Paramètres!$A$1:$I$89,3,0)*0.475*44/12</f>
        <v>1.8023786662015213</v>
      </c>
      <c r="AB140" s="21">
        <f>EXP(-LN(2)/2)*AB139+(1-EXP(-LN(2)/2))/(LN(2)/2)*V140*Y140*VLOOKUP('Données projet'!$B$9,Paramètres!$A$1:$I$89,3,0)*0.475*44/12</f>
        <v>7.3567589507511112E-4</v>
      </c>
      <c r="AC140" s="22">
        <f t="shared" si="111"/>
        <v>51.434800889892401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971.99999999999977</v>
      </c>
      <c r="AJ140" s="13">
        <f>AI140*VLOOKUP('Données projet'!$B$10,Paramètres!$A$1:$I$89,3,0)*VLOOKUP('Données projet'!$B$10,Paramètres!$A$1:$I$89,5,0)</f>
        <v>581.25599999999986</v>
      </c>
      <c r="AK140" s="13">
        <f t="shared" si="143"/>
        <v>127.68713506014205</v>
      </c>
      <c r="AL140" s="20">
        <f t="shared" si="112"/>
        <v>1234.7426268964139</v>
      </c>
      <c r="AM140" s="59">
        <f t="shared" si="113"/>
        <v>1528.0759602297471</v>
      </c>
      <c r="AN140" s="59">
        <f ca="1">AVERAGE(OFFSET($AM$3,0,0,'Données projet'!$E$10+1,1))-AVERAGE(OFFSET($H$3,0,0,'Données projet'!$E$10+1,1))</f>
        <v>465.77577582457678</v>
      </c>
      <c r="AO140" s="59">
        <f t="shared" si="144"/>
        <v>301.15495784503042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13.896266570939279</v>
      </c>
      <c r="AV140" s="21">
        <f>EXP(-LN(2)/25)*AV139+(1-EXP(-LN(2)/25))/(LN(2)/25)*Calculateur!AQ140*Calculateur!AS140*VLOOKUP('Données projet'!$B$10,Paramètres!$A$1:$I$89,3,0)*0.475*44/12</f>
        <v>4.6710191184317349</v>
      </c>
      <c r="AW140" s="21">
        <f>EXP(-LN(2)/2)*AW139+(1-EXP(-LN(2)/2))/(LN(2)/2)*AQ140*AT140*VLOOKUP('Données projet'!$B$10,Paramètres!$A$1:$I$89,3,0)*0.475*44/12</f>
        <v>1.338491953728121E-10</v>
      </c>
      <c r="AX140" s="21">
        <f t="shared" si="114"/>
        <v>18.56728568950486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273.00000000000023</v>
      </c>
      <c r="BE140" s="13">
        <f>BD140*VLOOKUP('Données projet'!$B$11,Paramètres!$A$1:$I$89,3,0)*VLOOKUP('Données projet'!$B$11,Paramètres!$A$1:$I$89,5,0)</f>
        <v>212.9400000000002</v>
      </c>
      <c r="BF140" s="13">
        <f t="shared" si="145"/>
        <v>52.577528895212915</v>
      </c>
      <c r="BG140" s="20">
        <f t="shared" si="115"/>
        <v>462.44302949249618</v>
      </c>
      <c r="BH140" s="59">
        <f t="shared" si="116"/>
        <v>755.77636282582944</v>
      </c>
      <c r="BI140" s="59">
        <f ca="1">AVERAGE(OFFSET($BH$3,0,0,'Données projet'!$E$11+1,1))-AVERAGE(OFFSET($H$3,0,0,'Données projet'!$E$11+1,1))</f>
        <v>219.5868031007679</v>
      </c>
      <c r="BJ140" s="59">
        <f t="shared" si="146"/>
        <v>263.3830219837742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7.1038270125124487</v>
      </c>
      <c r="BQ140" s="21">
        <f>EXP(-LN(2)/25)*BQ139+(1-EXP(-LN(2)/25))/(LN(2)/25)*Calculateur!BL140*Calculateur!BN140*VLOOKUP('Données projet'!$B$11,Paramètres!$A$1:$I$89,3,0)*0.475*44/12</f>
        <v>0.70156382836899278</v>
      </c>
      <c r="BR140" s="21">
        <f>EXP(-LN(2)/2)*BR139+(1-EXP(-LN(2)/2))/(LN(2)/2)*BL140*BO140*VLOOKUP('Données projet'!$B$11,Paramètres!$A$1:$I$89,3,0)*0.475*44/12</f>
        <v>1.2641800498049266E-11</v>
      </c>
      <c r="BS140" s="22">
        <f t="shared" si="117"/>
        <v>7.8053908408940833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243.99999999999989</v>
      </c>
      <c r="BZ140" s="13">
        <f>BY140*VLOOKUP('Données projet'!$B$12,Paramètres!$A$1:$I$89,3,0)*VLOOKUP('Données projet'!$B$12,Paramètres!$A$1:$I$89,5,0)</f>
        <v>262.64159999999987</v>
      </c>
      <c r="CA140" s="13">
        <f t="shared" si="147"/>
        <v>63.285128621471941</v>
      </c>
      <c r="CB140" s="20">
        <f t="shared" si="118"/>
        <v>567.65571901573003</v>
      </c>
      <c r="CC140" s="59">
        <f t="shared" si="119"/>
        <v>860.98905234906329</v>
      </c>
      <c r="CD140" s="59">
        <f ca="1">AVERAGE(OFFSET($CC$3,0,0,'Données projet'!$E$12+1,1))-AVERAGE(OFFSET($H$3,0,0,'Données projet'!$E$12+1,1))</f>
        <v>244.7364260963538</v>
      </c>
      <c r="CE140" s="59">
        <f t="shared" si="148"/>
        <v>270.32853612539299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7.7842784602493049</v>
      </c>
      <c r="CL140" s="21">
        <f>EXP(-LN(2)/25)*CL139+(1-EXP(-LN(2)/25))/(LN(2)/25)*Calculateur!CG140*Calculateur!CI140*VLOOKUP('Données projet'!$B$12,Paramètres!$A$1:$I$89,3,0)*0.475*44/12</f>
        <v>0.77256795799476685</v>
      </c>
      <c r="CM140" s="21">
        <f>EXP(-LN(2)/2)*CM139+(1-EXP(-LN(2)/2))/(LN(2)/2)*CG140*CJ140*VLOOKUP('Données projet'!$B$12,Paramètres!$A$1:$I$89,3,0)*0.475*44/12</f>
        <v>1.3107929604995857E-11</v>
      </c>
      <c r="CN140" s="22">
        <f t="shared" si="120"/>
        <v>8.5568464182571802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243.99999999999989</v>
      </c>
      <c r="CU140" s="17">
        <f>CT140*VLOOKUP('Données projet'!$B$13,Paramètres!$A$1:$I$89,3,0)*VLOOKUP('Données projet'!$B$13,Paramètres!$A$1:$I$89,5,0)</f>
        <v>235.99679999999987</v>
      </c>
      <c r="CV140" s="13">
        <f t="shared" si="149"/>
        <v>57.577381127598322</v>
      </c>
      <c r="CW140" s="20">
        <f t="shared" si="121"/>
        <v>511.30836546390015</v>
      </c>
      <c r="CX140" s="59">
        <f t="shared" si="122"/>
        <v>804.6416987972334</v>
      </c>
      <c r="CY140" s="59">
        <f ca="1">AVERAGE(OFFSET($CX$3,0,0,'Données projet'!$E$13+1,1))-AVERAGE(OFFSET($H$3,0,0,'Données projet'!$E$13+1,1))</f>
        <v>216.39536568500222</v>
      </c>
      <c r="CZ140" s="59">
        <f t="shared" si="150"/>
        <v>239.44686980897467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6.9945690512385097</v>
      </c>
      <c r="DG140" s="21">
        <f>EXP(-LN(2)/25)*DG139+(1-EXP(-LN(2)/25))/(LN(2)/25)*Calculateur!DB140*Calculateur!DD140*VLOOKUP('Données projet'!$B$13,Paramètres!$A$1:$I$89,3,0)*0.475*44/12</f>
        <v>0.69419149848805062</v>
      </c>
      <c r="DH140" s="21">
        <f>EXP(-LN(2)/2)*DH139+(1-EXP(-LN(2)/2))/(LN(2)/2)*DB140*DE140*VLOOKUP('Données projet'!$B$13,Paramètres!$A$1:$I$89,3,0)*0.475*44/12</f>
        <v>1.177813964506873E-11</v>
      </c>
      <c r="DI140" s="22">
        <f t="shared" si="123"/>
        <v>7.6887605497383387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81.806399999999755</v>
      </c>
      <c r="D141" s="11">
        <f t="shared" si="140"/>
        <v>22.578282710555964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805.77649811657045</v>
      </c>
      <c r="H141" s="67">
        <f t="shared" si="110"/>
        <v>475.13665572088451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306.99999999999994</v>
      </c>
      <c r="O141" s="13">
        <f>N141*VLOOKUP('Données projet'!$B$9,Paramètres!$A$1:$I$89,3,0)*VLOOKUP('Données projet'!$B$9,Paramètres!$A$1:$I$89,5,0)</f>
        <v>277.77359999999993</v>
      </c>
      <c r="P141" s="13">
        <f t="shared" si="141"/>
        <v>66.496288176842356</v>
      </c>
      <c r="Q141" s="20">
        <f t="shared" si="108"/>
        <v>599.60338857466706</v>
      </c>
      <c r="R141" s="59">
        <f t="shared" si="109"/>
        <v>892.93672190800044</v>
      </c>
      <c r="S141" s="59">
        <f ca="1">AVERAGE(OFFSET($R$3,0,0,'Données projet'!$E$9+1,1))-AVERAGE(OFFSET($H$3,0,0,'Données projet'!$E$9+1,1))</f>
        <v>330.30341204367602</v>
      </c>
      <c r="T141" s="59">
        <f t="shared" si="142"/>
        <v>200.36653694091007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48.65843944693318</v>
      </c>
      <c r="AA141" s="21">
        <f>EXP(-LN(2)/25)*AA140+(1-EXP(-LN(2)/25))/(LN(2)/25)*Calculateur!V141*Calculateur!X141*VLOOKUP('Données projet'!$B$9,Paramètres!$A$1:$I$89,3,0)*0.475*44/12</f>
        <v>1.753092526791266</v>
      </c>
      <c r="AB141" s="21">
        <f>EXP(-LN(2)/2)*AB140+(1-EXP(-LN(2)/2))/(LN(2)/2)*V141*Y141*VLOOKUP('Données projet'!$B$9,Paramètres!$A$1:$I$89,3,0)*0.475*44/12</f>
        <v>5.2020141416309409E-4</v>
      </c>
      <c r="AC141" s="22">
        <f t="shared" si="111"/>
        <v>50.412052175138605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971.99999999999977</v>
      </c>
      <c r="AJ141" s="13">
        <f>AI141*VLOOKUP('Données projet'!$B$10,Paramètres!$A$1:$I$89,3,0)*VLOOKUP('Données projet'!$B$10,Paramètres!$A$1:$I$89,5,0)</f>
        <v>581.25599999999986</v>
      </c>
      <c r="AK141" s="13">
        <f t="shared" si="143"/>
        <v>127.68713506014205</v>
      </c>
      <c r="AL141" s="20">
        <f t="shared" si="112"/>
        <v>1234.7426268964139</v>
      </c>
      <c r="AM141" s="59">
        <f t="shared" si="113"/>
        <v>1528.0759602297471</v>
      </c>
      <c r="AN141" s="59">
        <f ca="1">AVERAGE(OFFSET($AM$3,0,0,'Données projet'!$E$10+1,1))-AVERAGE(OFFSET($H$3,0,0,'Données projet'!$E$10+1,1))</f>
        <v>465.77577582457678</v>
      </c>
      <c r="AO141" s="59">
        <f t="shared" si="144"/>
        <v>301.15495784503042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13.623769259368844</v>
      </c>
      <c r="AV141" s="21">
        <f>EXP(-LN(2)/25)*AV140+(1-EXP(-LN(2)/25))/(LN(2)/25)*Calculateur!AQ141*Calculateur!AS141*VLOOKUP('Données projet'!$B$10,Paramètres!$A$1:$I$89,3,0)*0.475*44/12</f>
        <v>4.5432898549999994</v>
      </c>
      <c r="AW141" s="21">
        <f>EXP(-LN(2)/2)*AW140+(1-EXP(-LN(2)/2))/(LN(2)/2)*AQ141*AT141*VLOOKUP('Données projet'!$B$10,Paramètres!$A$1:$I$89,3,0)*0.475*44/12</f>
        <v>9.4645673704478496E-11</v>
      </c>
      <c r="AX141" s="21">
        <f t="shared" si="114"/>
        <v>18.167059114463488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273.00000000000023</v>
      </c>
      <c r="BE141" s="13">
        <f>BD141*VLOOKUP('Données projet'!$B$11,Paramètres!$A$1:$I$89,3,0)*VLOOKUP('Données projet'!$B$11,Paramètres!$A$1:$I$89,5,0)</f>
        <v>212.9400000000002</v>
      </c>
      <c r="BF141" s="13">
        <f t="shared" si="145"/>
        <v>52.577528895212915</v>
      </c>
      <c r="BG141" s="20">
        <f t="shared" si="115"/>
        <v>462.44302949249618</v>
      </c>
      <c r="BH141" s="59">
        <f t="shared" si="116"/>
        <v>755.77636282582944</v>
      </c>
      <c r="BI141" s="59">
        <f ca="1">AVERAGE(OFFSET($BH$3,0,0,'Données projet'!$E$11+1,1))-AVERAGE(OFFSET($H$3,0,0,'Données projet'!$E$11+1,1))</f>
        <v>219.5868031007679</v>
      </c>
      <c r="BJ141" s="59">
        <f t="shared" si="146"/>
        <v>263.3830219837742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6.9645252977037186</v>
      </c>
      <c r="BQ141" s="21">
        <f>EXP(-LN(2)/25)*BQ140+(1-EXP(-LN(2)/25))/(LN(2)/25)*Calculateur!BL141*Calculateur!BN141*VLOOKUP('Données projet'!$B$11,Paramètres!$A$1:$I$89,3,0)*0.475*44/12</f>
        <v>0.6823795285886044</v>
      </c>
      <c r="BR141" s="21">
        <f>EXP(-LN(2)/2)*BR140+(1-EXP(-LN(2)/2))/(LN(2)/2)*BL141*BO141*VLOOKUP('Données projet'!$B$11,Paramètres!$A$1:$I$89,3,0)*0.475*44/12</f>
        <v>8.9391028585781095E-12</v>
      </c>
      <c r="BS141" s="22">
        <f t="shared" si="117"/>
        <v>7.6469048263012622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243.99999999999989</v>
      </c>
      <c r="BZ141" s="13">
        <f>BY141*VLOOKUP('Données projet'!$B$12,Paramètres!$A$1:$I$89,3,0)*VLOOKUP('Données projet'!$B$12,Paramètres!$A$1:$I$89,5,0)</f>
        <v>262.64159999999987</v>
      </c>
      <c r="CA141" s="13">
        <f t="shared" si="147"/>
        <v>63.285128621471941</v>
      </c>
      <c r="CB141" s="20">
        <f t="shared" si="118"/>
        <v>567.65571901573003</v>
      </c>
      <c r="CC141" s="59">
        <f t="shared" si="119"/>
        <v>860.98905234906329</v>
      </c>
      <c r="CD141" s="59">
        <f ca="1">AVERAGE(OFFSET($CC$3,0,0,'Données projet'!$E$12+1,1))-AVERAGE(OFFSET($H$3,0,0,'Données projet'!$E$12+1,1))</f>
        <v>244.7364260963538</v>
      </c>
      <c r="CE141" s="59">
        <f t="shared" si="148"/>
        <v>270.32853612539299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7.6316335075848567</v>
      </c>
      <c r="CL141" s="21">
        <f>EXP(-LN(2)/25)*CL140+(1-EXP(-LN(2)/25))/(LN(2)/25)*Calculateur!CG141*Calculateur!CI141*VLOOKUP('Données projet'!$B$12,Paramètres!$A$1:$I$89,3,0)*0.475*44/12</f>
        <v>0.75144204655581681</v>
      </c>
      <c r="CM141" s="21">
        <f>EXP(-LN(2)/2)*CM140+(1-EXP(-LN(2)/2))/(LN(2)/2)*CG141*CJ141*VLOOKUP('Données projet'!$B$12,Paramètres!$A$1:$I$89,3,0)*0.475*44/12</f>
        <v>9.2687059110084735E-12</v>
      </c>
      <c r="CN141" s="22">
        <f t="shared" si="120"/>
        <v>8.3830755541499418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243.99999999999989</v>
      </c>
      <c r="CU141" s="17">
        <f>CT141*VLOOKUP('Données projet'!$B$13,Paramètres!$A$1:$I$89,3,0)*VLOOKUP('Données projet'!$B$13,Paramètres!$A$1:$I$89,5,0)</f>
        <v>235.99679999999987</v>
      </c>
      <c r="CV141" s="13">
        <f t="shared" si="149"/>
        <v>57.577381127598322</v>
      </c>
      <c r="CW141" s="20">
        <f t="shared" si="121"/>
        <v>511.30836546390015</v>
      </c>
      <c r="CX141" s="59">
        <f t="shared" si="122"/>
        <v>804.6416987972334</v>
      </c>
      <c r="CY141" s="59">
        <f ca="1">AVERAGE(OFFSET($CX$3,0,0,'Données projet'!$E$13+1,1))-AVERAGE(OFFSET($H$3,0,0,'Données projet'!$E$13+1,1))</f>
        <v>216.39536568500222</v>
      </c>
      <c r="CZ141" s="59">
        <f t="shared" si="150"/>
        <v>239.44686980897467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6.8574098184095851</v>
      </c>
      <c r="DG141" s="21">
        <f>EXP(-LN(2)/25)*DG140+(1-EXP(-LN(2)/25))/(LN(2)/25)*Calculateur!DB141*Calculateur!DD141*VLOOKUP('Données projet'!$B$13,Paramètres!$A$1:$I$89,3,0)*0.475*44/12</f>
        <v>0.67520879545595058</v>
      </c>
      <c r="DH141" s="21">
        <f>EXP(-LN(2)/2)*DH140+(1-EXP(-LN(2)/2))/(LN(2)/2)*DB141*DE141*VLOOKUP('Données projet'!$B$13,Paramètres!$A$1:$I$89,3,0)*0.475*44/12</f>
        <v>8.3284024127902145E-12</v>
      </c>
      <c r="DI141" s="22">
        <f t="shared" si="123"/>
        <v>7.532618613873864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82.399199999999752</v>
      </c>
      <c r="D142" s="11">
        <f t="shared" si="140"/>
        <v>22.722788358654274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811.4679803124169</v>
      </c>
      <c r="H142" s="67">
        <f t="shared" si="110"/>
        <v>476.42079639132237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306.99999999999994</v>
      </c>
      <c r="O142" s="13">
        <f>N142*VLOOKUP('Données projet'!$B$9,Paramètres!$A$1:$I$89,3,0)*VLOOKUP('Données projet'!$B$9,Paramètres!$A$1:$I$89,5,0)</f>
        <v>277.77359999999993</v>
      </c>
      <c r="P142" s="13">
        <f t="shared" si="141"/>
        <v>66.496288176842356</v>
      </c>
      <c r="Q142" s="20">
        <f t="shared" si="108"/>
        <v>599.60338857466706</v>
      </c>
      <c r="R142" s="59">
        <f t="shared" si="109"/>
        <v>892.93672190800044</v>
      </c>
      <c r="S142" s="59">
        <f ca="1">AVERAGE(OFFSET($R$3,0,0,'Données projet'!$E$9+1,1))-AVERAGE(OFFSET($H$3,0,0,'Données projet'!$E$9+1,1))</f>
        <v>330.30341204367602</v>
      </c>
      <c r="T142" s="59">
        <f t="shared" si="142"/>
        <v>200.36653694091007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47.704277128096351</v>
      </c>
      <c r="AA142" s="21">
        <f>EXP(-LN(2)/25)*AA141+(1-EXP(-LN(2)/25))/(LN(2)/25)*Calculateur!V142*Calculateur!X142*VLOOKUP('Données projet'!$B$9,Paramètres!$A$1:$I$89,3,0)*0.475*44/12</f>
        <v>1.7051541194550297</v>
      </c>
      <c r="AB142" s="21">
        <f>EXP(-LN(2)/2)*AB141+(1-EXP(-LN(2)/2))/(LN(2)/2)*V142*Y142*VLOOKUP('Données projet'!$B$9,Paramètres!$A$1:$I$89,3,0)*0.475*44/12</f>
        <v>3.6783794753755556E-4</v>
      </c>
      <c r="AC142" s="22">
        <f t="shared" si="111"/>
        <v>49.409799085498918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971.99999999999977</v>
      </c>
      <c r="AJ142" s="13">
        <f>AI142*VLOOKUP('Données projet'!$B$10,Paramètres!$A$1:$I$89,3,0)*VLOOKUP('Données projet'!$B$10,Paramètres!$A$1:$I$89,5,0)</f>
        <v>581.25599999999986</v>
      </c>
      <c r="AK142" s="13">
        <f t="shared" si="143"/>
        <v>127.68713506014205</v>
      </c>
      <c r="AL142" s="20">
        <f t="shared" si="112"/>
        <v>1234.7426268964139</v>
      </c>
      <c r="AM142" s="59">
        <f t="shared" si="113"/>
        <v>1528.0759602297471</v>
      </c>
      <c r="AN142" s="59">
        <f ca="1">AVERAGE(OFFSET($AM$3,0,0,'Données projet'!$E$10+1,1))-AVERAGE(OFFSET($H$3,0,0,'Données projet'!$E$10+1,1))</f>
        <v>465.77577582457678</v>
      </c>
      <c r="AO142" s="59">
        <f t="shared" si="144"/>
        <v>301.15495784503042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13.356615453871356</v>
      </c>
      <c r="AV142" s="21">
        <f>EXP(-LN(2)/25)*AV141+(1-EXP(-LN(2)/25))/(LN(2)/25)*Calculateur!AQ142*Calculateur!AS142*VLOOKUP('Données projet'!$B$10,Paramètres!$A$1:$I$89,3,0)*0.475*44/12</f>
        <v>4.4190533549937951</v>
      </c>
      <c r="AW142" s="21">
        <f>EXP(-LN(2)/2)*AW141+(1-EXP(-LN(2)/2))/(LN(2)/2)*AQ142*AT142*VLOOKUP('Données projet'!$B$10,Paramètres!$A$1:$I$89,3,0)*0.475*44/12</f>
        <v>6.692459768640605E-11</v>
      </c>
      <c r="AX142" s="21">
        <f t="shared" si="114"/>
        <v>17.775668808932078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273.00000000000023</v>
      </c>
      <c r="BE142" s="13">
        <f>BD142*VLOOKUP('Données projet'!$B$11,Paramètres!$A$1:$I$89,3,0)*VLOOKUP('Données projet'!$B$11,Paramètres!$A$1:$I$89,5,0)</f>
        <v>212.9400000000002</v>
      </c>
      <c r="BF142" s="13">
        <f t="shared" si="145"/>
        <v>52.577528895212915</v>
      </c>
      <c r="BG142" s="20">
        <f t="shared" si="115"/>
        <v>462.44302949249618</v>
      </c>
      <c r="BH142" s="59">
        <f t="shared" si="116"/>
        <v>755.77636282582944</v>
      </c>
      <c r="BI142" s="59">
        <f ca="1">AVERAGE(OFFSET($BH$3,0,0,'Données projet'!$E$11+1,1))-AVERAGE(OFFSET($H$3,0,0,'Données projet'!$E$11+1,1))</f>
        <v>219.5868031007679</v>
      </c>
      <c r="BJ142" s="59">
        <f t="shared" si="146"/>
        <v>263.3830219837742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6.8279552045567309</v>
      </c>
      <c r="BQ142" s="21">
        <f>EXP(-LN(2)/25)*BQ141+(1-EXP(-LN(2)/25))/(LN(2)/25)*Calculateur!BL142*Calculateur!BN142*VLOOKUP('Données projet'!$B$11,Paramètres!$A$1:$I$89,3,0)*0.475*44/12</f>
        <v>0.66371982449456923</v>
      </c>
      <c r="BR142" s="21">
        <f>EXP(-LN(2)/2)*BR141+(1-EXP(-LN(2)/2))/(LN(2)/2)*BL142*BO142*VLOOKUP('Données projet'!$B$11,Paramètres!$A$1:$I$89,3,0)*0.475*44/12</f>
        <v>6.3209002490246329E-12</v>
      </c>
      <c r="BS142" s="22">
        <f t="shared" si="117"/>
        <v>7.4916750290576211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243.99999999999989</v>
      </c>
      <c r="BZ142" s="13">
        <f>BY142*VLOOKUP('Données projet'!$B$12,Paramètres!$A$1:$I$89,3,0)*VLOOKUP('Données projet'!$B$12,Paramètres!$A$1:$I$89,5,0)</f>
        <v>262.64159999999987</v>
      </c>
      <c r="CA142" s="13">
        <f t="shared" si="147"/>
        <v>63.285128621471941</v>
      </c>
      <c r="CB142" s="20">
        <f t="shared" si="118"/>
        <v>567.65571901573003</v>
      </c>
      <c r="CC142" s="59">
        <f t="shared" si="119"/>
        <v>860.98905234906329</v>
      </c>
      <c r="CD142" s="59">
        <f ca="1">AVERAGE(OFFSET($CC$3,0,0,'Données projet'!$E$12+1,1))-AVERAGE(OFFSET($H$3,0,0,'Données projet'!$E$12+1,1))</f>
        <v>244.7364260963538</v>
      </c>
      <c r="CE142" s="59">
        <f t="shared" si="148"/>
        <v>270.32853612539299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7.4819818293379301</v>
      </c>
      <c r="CL142" s="21">
        <f>EXP(-LN(2)/25)*CL141+(1-EXP(-LN(2)/25))/(LN(2)/25)*Calculateur!CG142*Calculateur!CI142*VLOOKUP('Données projet'!$B$12,Paramètres!$A$1:$I$89,3,0)*0.475*44/12</f>
        <v>0.73089382427612826</v>
      </c>
      <c r="CM142" s="21">
        <f>EXP(-LN(2)/2)*CM141+(1-EXP(-LN(2)/2))/(LN(2)/2)*CG142*CJ142*VLOOKUP('Données projet'!$B$12,Paramètres!$A$1:$I$89,3,0)*0.475*44/12</f>
        <v>6.5539648024979284E-12</v>
      </c>
      <c r="CN142" s="22">
        <f t="shared" si="120"/>
        <v>8.212875653620614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243.99999999999989</v>
      </c>
      <c r="CU142" s="17">
        <f>CT142*VLOOKUP('Données projet'!$B$13,Paramètres!$A$1:$I$89,3,0)*VLOOKUP('Données projet'!$B$13,Paramètres!$A$1:$I$89,5,0)</f>
        <v>235.99679999999987</v>
      </c>
      <c r="CV142" s="13">
        <f t="shared" si="149"/>
        <v>57.577381127598322</v>
      </c>
      <c r="CW142" s="20">
        <f t="shared" si="121"/>
        <v>511.30836546390015</v>
      </c>
      <c r="CX142" s="59">
        <f t="shared" si="122"/>
        <v>804.6416987972334</v>
      </c>
      <c r="CY142" s="59">
        <f ca="1">AVERAGE(OFFSET($CX$3,0,0,'Données projet'!$E$13+1,1))-AVERAGE(OFFSET($H$3,0,0,'Données projet'!$E$13+1,1))</f>
        <v>216.39536568500222</v>
      </c>
      <c r="CZ142" s="59">
        <f t="shared" si="150"/>
        <v>239.44686980897467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6.7229401944775642</v>
      </c>
      <c r="DG142" s="21">
        <f>EXP(-LN(2)/25)*DG141+(1-EXP(-LN(2)/25))/(LN(2)/25)*Calculateur!DB142*Calculateur!DD142*VLOOKUP('Données projet'!$B$13,Paramètres!$A$1:$I$89,3,0)*0.475*44/12</f>
        <v>0.65674517543652022</v>
      </c>
      <c r="DH142" s="21">
        <f>EXP(-LN(2)/2)*DH141+(1-EXP(-LN(2)/2))/(LN(2)/2)*DB142*DE142*VLOOKUP('Données projet'!$B$13,Paramètres!$A$1:$I$89,3,0)*0.475*44/12</f>
        <v>5.8890698225343648E-12</v>
      </c>
      <c r="DI142" s="22">
        <f t="shared" si="123"/>
        <v>7.379685369919974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82.991999999999749</v>
      </c>
      <c r="D143" s="11">
        <f t="shared" si="140"/>
        <v>22.867173045817253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817.15852877472787</v>
      </c>
      <c r="H143" s="67">
        <f t="shared" si="110"/>
        <v>477.70472638813123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306.99999999999994</v>
      </c>
      <c r="O143" s="13">
        <f>N143*VLOOKUP('Données projet'!$B$9,Paramètres!$A$1:$I$89,3,0)*VLOOKUP('Données projet'!$B$9,Paramètres!$A$1:$I$89,5,0)</f>
        <v>277.77359999999993</v>
      </c>
      <c r="P143" s="13">
        <f t="shared" si="141"/>
        <v>66.496288176842356</v>
      </c>
      <c r="Q143" s="20">
        <f t="shared" si="108"/>
        <v>599.60338857466706</v>
      </c>
      <c r="R143" s="59">
        <f t="shared" si="109"/>
        <v>892.93672190800044</v>
      </c>
      <c r="S143" s="59">
        <f ca="1">AVERAGE(OFFSET($R$3,0,0,'Données projet'!$E$9+1,1))-AVERAGE(OFFSET($H$3,0,0,'Données projet'!$E$9+1,1))</f>
        <v>330.30341204367602</v>
      </c>
      <c r="T143" s="59">
        <f t="shared" si="142"/>
        <v>200.36653694091007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46.768825350350369</v>
      </c>
      <c r="AA143" s="21">
        <f>EXP(-LN(2)/25)*AA142+(1-EXP(-LN(2)/25))/(LN(2)/25)*Calculateur!V143*Calculateur!X143*VLOOKUP('Données projet'!$B$9,Paramètres!$A$1:$I$89,3,0)*0.475*44/12</f>
        <v>1.6585265903883739</v>
      </c>
      <c r="AB143" s="21">
        <f>EXP(-LN(2)/2)*AB142+(1-EXP(-LN(2)/2))/(LN(2)/2)*V143*Y143*VLOOKUP('Données projet'!$B$9,Paramètres!$A$1:$I$89,3,0)*0.475*44/12</f>
        <v>2.6010070708154705E-4</v>
      </c>
      <c r="AC143" s="22">
        <f t="shared" si="111"/>
        <v>48.427612041445826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971.99999999999977</v>
      </c>
      <c r="AJ143" s="13">
        <f>AI143*VLOOKUP('Données projet'!$B$10,Paramètres!$A$1:$I$89,3,0)*VLOOKUP('Données projet'!$B$10,Paramètres!$A$1:$I$89,5,0)</f>
        <v>581.25599999999986</v>
      </c>
      <c r="AK143" s="13">
        <f t="shared" si="143"/>
        <v>127.68713506014205</v>
      </c>
      <c r="AL143" s="20">
        <f t="shared" si="112"/>
        <v>1234.7426268964139</v>
      </c>
      <c r="AM143" s="59">
        <f t="shared" si="113"/>
        <v>1528.0759602297471</v>
      </c>
      <c r="AN143" s="59">
        <f ca="1">AVERAGE(OFFSET($AM$3,0,0,'Données projet'!$E$10+1,1))-AVERAGE(OFFSET($H$3,0,0,'Données projet'!$E$10+1,1))</f>
        <v>465.77577582457678</v>
      </c>
      <c r="AO143" s="59">
        <f t="shared" si="144"/>
        <v>301.15495784503042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13.094700371551943</v>
      </c>
      <c r="AV143" s="21">
        <f>EXP(-LN(2)/25)*AV142+(1-EXP(-LN(2)/25))/(LN(2)/25)*Calculateur!AQ143*Calculateur!AS143*VLOOKUP('Données projet'!$B$10,Paramètres!$A$1:$I$89,3,0)*0.475*44/12</f>
        <v>4.2982141086135739</v>
      </c>
      <c r="AW143" s="21">
        <f>EXP(-LN(2)/2)*AW142+(1-EXP(-LN(2)/2))/(LN(2)/2)*AQ143*AT143*VLOOKUP('Données projet'!$B$10,Paramètres!$A$1:$I$89,3,0)*0.475*44/12</f>
        <v>4.7322836852239248E-11</v>
      </c>
      <c r="AX143" s="21">
        <f t="shared" si="114"/>
        <v>17.392914480212838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273.00000000000023</v>
      </c>
      <c r="BE143" s="13">
        <f>BD143*VLOOKUP('Données projet'!$B$11,Paramètres!$A$1:$I$89,3,0)*VLOOKUP('Données projet'!$B$11,Paramètres!$A$1:$I$89,5,0)</f>
        <v>212.9400000000002</v>
      </c>
      <c r="BF143" s="13">
        <f t="shared" si="145"/>
        <v>52.577528895212915</v>
      </c>
      <c r="BG143" s="20">
        <f t="shared" si="115"/>
        <v>462.44302949249618</v>
      </c>
      <c r="BH143" s="59">
        <f t="shared" si="116"/>
        <v>755.77636282582944</v>
      </c>
      <c r="BI143" s="59">
        <f ca="1">AVERAGE(OFFSET($BH$3,0,0,'Données projet'!$E$11+1,1))-AVERAGE(OFFSET($H$3,0,0,'Données projet'!$E$11+1,1))</f>
        <v>219.5868031007679</v>
      </c>
      <c r="BJ143" s="59">
        <f t="shared" si="146"/>
        <v>263.3830219837742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6.6940631676368243</v>
      </c>
      <c r="BQ143" s="21">
        <f>EXP(-LN(2)/25)*BQ142+(1-EXP(-LN(2)/25))/(LN(2)/25)*Calculateur!BL143*Calculateur!BN143*VLOOKUP('Données projet'!$B$11,Paramètres!$A$1:$I$89,3,0)*0.475*44/12</f>
        <v>0.6455703709902566</v>
      </c>
      <c r="BR143" s="21">
        <f>EXP(-LN(2)/2)*BR142+(1-EXP(-LN(2)/2))/(LN(2)/2)*BL143*BO143*VLOOKUP('Données projet'!$B$11,Paramètres!$A$1:$I$89,3,0)*0.475*44/12</f>
        <v>4.4695514292890548E-12</v>
      </c>
      <c r="BS143" s="22">
        <f t="shared" si="117"/>
        <v>7.3396335386315501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243.99999999999989</v>
      </c>
      <c r="BZ143" s="13">
        <f>BY143*VLOOKUP('Données projet'!$B$12,Paramètres!$A$1:$I$89,3,0)*VLOOKUP('Données projet'!$B$12,Paramètres!$A$1:$I$89,5,0)</f>
        <v>262.64159999999987</v>
      </c>
      <c r="CA143" s="13">
        <f t="shared" si="147"/>
        <v>63.285128621471941</v>
      </c>
      <c r="CB143" s="20">
        <f t="shared" si="118"/>
        <v>567.65571901573003</v>
      </c>
      <c r="CC143" s="59">
        <f t="shared" si="119"/>
        <v>860.98905234906329</v>
      </c>
      <c r="CD143" s="59">
        <f ca="1">AVERAGE(OFFSET($CC$3,0,0,'Données projet'!$E$12+1,1))-AVERAGE(OFFSET($H$3,0,0,'Données projet'!$E$12+1,1))</f>
        <v>244.7364260963538</v>
      </c>
      <c r="CE143" s="59">
        <f t="shared" si="148"/>
        <v>270.32853612539299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7.3352647292229154</v>
      </c>
      <c r="CL143" s="21">
        <f>EXP(-LN(2)/25)*CL142+(1-EXP(-LN(2)/25))/(LN(2)/25)*Calculateur!CG143*Calculateur!CI143*VLOOKUP('Données projet'!$B$12,Paramètres!$A$1:$I$89,3,0)*0.475*44/12</f>
        <v>0.71090749421526178</v>
      </c>
      <c r="CM143" s="21">
        <f>EXP(-LN(2)/2)*CM142+(1-EXP(-LN(2)/2))/(LN(2)/2)*CG143*CJ143*VLOOKUP('Données projet'!$B$12,Paramètres!$A$1:$I$89,3,0)*0.475*44/12</f>
        <v>4.6343529555042367E-12</v>
      </c>
      <c r="CN143" s="22">
        <f t="shared" si="120"/>
        <v>8.0461722234428112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243.99999999999989</v>
      </c>
      <c r="CU143" s="17">
        <f>CT143*VLOOKUP('Données projet'!$B$13,Paramètres!$A$1:$I$89,3,0)*VLOOKUP('Données projet'!$B$13,Paramètres!$A$1:$I$89,5,0)</f>
        <v>235.99679999999987</v>
      </c>
      <c r="CV143" s="13">
        <f t="shared" si="149"/>
        <v>57.577381127598322</v>
      </c>
      <c r="CW143" s="20">
        <f t="shared" si="121"/>
        <v>511.30836546390015</v>
      </c>
      <c r="CX143" s="59">
        <f t="shared" si="122"/>
        <v>804.6416987972334</v>
      </c>
      <c r="CY143" s="59">
        <f ca="1">AVERAGE(OFFSET($CX$3,0,0,'Données projet'!$E$13+1,1))-AVERAGE(OFFSET($H$3,0,0,'Données projet'!$E$13+1,1))</f>
        <v>216.39536568500222</v>
      </c>
      <c r="CZ143" s="59">
        <f t="shared" si="150"/>
        <v>239.44686980897467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6.5911074378524779</v>
      </c>
      <c r="DG143" s="21">
        <f>EXP(-LN(2)/25)*DG142+(1-EXP(-LN(2)/25))/(LN(2)/25)*Calculateur!DB143*Calculateur!DD143*VLOOKUP('Données projet'!$B$13,Paramètres!$A$1:$I$89,3,0)*0.475*44/12</f>
        <v>0.63878644407748086</v>
      </c>
      <c r="DH143" s="21">
        <f>EXP(-LN(2)/2)*DH142+(1-EXP(-LN(2)/2))/(LN(2)/2)*DB143*DE143*VLOOKUP('Données projet'!$B$13,Paramètres!$A$1:$I$89,3,0)*0.475*44/12</f>
        <v>4.1642012063951072E-12</v>
      </c>
      <c r="DI143" s="22">
        <f t="shared" si="123"/>
        <v>7.2298938819341227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83.584799999999746</v>
      </c>
      <c r="D144" s="11">
        <f t="shared" si="140"/>
        <v>23.011437736237546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822.84815094639316</v>
      </c>
      <c r="H144" s="67">
        <f t="shared" si="110"/>
        <v>478.98844739061326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306.99999999999994</v>
      </c>
      <c r="O144" s="13">
        <f>N144*VLOOKUP('Données projet'!$B$9,Paramètres!$A$1:$I$89,3,0)*VLOOKUP('Données projet'!$B$9,Paramètres!$A$1:$I$89,5,0)</f>
        <v>277.77359999999993</v>
      </c>
      <c r="P144" s="13">
        <f t="shared" si="141"/>
        <v>66.496288176842356</v>
      </c>
      <c r="Q144" s="20">
        <f t="shared" si="108"/>
        <v>599.60338857466706</v>
      </c>
      <c r="R144" s="59">
        <f t="shared" si="109"/>
        <v>892.93672190800044</v>
      </c>
      <c r="S144" s="59">
        <f ca="1">AVERAGE(OFFSET($R$3,0,0,'Données projet'!$E$9+1,1))-AVERAGE(OFFSET($H$3,0,0,'Données projet'!$E$9+1,1))</f>
        <v>330.30341204367602</v>
      </c>
      <c r="T144" s="59">
        <f t="shared" si="142"/>
        <v>200.36653694091007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45.851717211396739</v>
      </c>
      <c r="AA144" s="21">
        <f>EXP(-LN(2)/25)*AA143+(1-EXP(-LN(2)/25))/(LN(2)/25)*Calculateur!V144*Calculateur!X144*VLOOKUP('Données projet'!$B$9,Paramètres!$A$1:$I$89,3,0)*0.475*44/12</f>
        <v>1.613174093556081</v>
      </c>
      <c r="AB144" s="21">
        <f>EXP(-LN(2)/2)*AB143+(1-EXP(-LN(2)/2))/(LN(2)/2)*V144*Y144*VLOOKUP('Données projet'!$B$9,Paramètres!$A$1:$I$89,3,0)*0.475*44/12</f>
        <v>1.8391897376877778E-4</v>
      </c>
      <c r="AC144" s="22">
        <f t="shared" si="111"/>
        <v>47.46507522392659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971.99999999999977</v>
      </c>
      <c r="AJ144" s="13">
        <f>AI144*VLOOKUP('Données projet'!$B$10,Paramètres!$A$1:$I$89,3,0)*VLOOKUP('Données projet'!$B$10,Paramètres!$A$1:$I$89,5,0)</f>
        <v>581.25599999999986</v>
      </c>
      <c r="AK144" s="13">
        <f t="shared" si="143"/>
        <v>127.68713506014205</v>
      </c>
      <c r="AL144" s="20">
        <f t="shared" si="112"/>
        <v>1234.7426268964139</v>
      </c>
      <c r="AM144" s="59">
        <f t="shared" si="113"/>
        <v>1528.0759602297471</v>
      </c>
      <c r="AN144" s="59">
        <f ca="1">AVERAGE(OFFSET($AM$3,0,0,'Données projet'!$E$10+1,1))-AVERAGE(OFFSET($H$3,0,0,'Données projet'!$E$10+1,1))</f>
        <v>465.77577582457678</v>
      </c>
      <c r="AO144" s="59">
        <f t="shared" si="144"/>
        <v>301.15495784503042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12.837921284244388</v>
      </c>
      <c r="AV144" s="21">
        <f>EXP(-LN(2)/25)*AV143+(1-EXP(-LN(2)/25))/(LN(2)/25)*Calculateur!AQ144*Calculateur!AS144*VLOOKUP('Données projet'!$B$10,Paramètres!$A$1:$I$89,3,0)*0.475*44/12</f>
        <v>4.1806792177802796</v>
      </c>
      <c r="AW144" s="21">
        <f>EXP(-LN(2)/2)*AW143+(1-EXP(-LN(2)/2))/(LN(2)/2)*AQ144*AT144*VLOOKUP('Données projet'!$B$10,Paramètres!$A$1:$I$89,3,0)*0.475*44/12</f>
        <v>3.3462298843203025E-11</v>
      </c>
      <c r="AX144" s="21">
        <f t="shared" si="114"/>
        <v>17.018600502058131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273.00000000000023</v>
      </c>
      <c r="BE144" s="13">
        <f>BD144*VLOOKUP('Données projet'!$B$11,Paramètres!$A$1:$I$89,3,0)*VLOOKUP('Données projet'!$B$11,Paramètres!$A$1:$I$89,5,0)</f>
        <v>212.9400000000002</v>
      </c>
      <c r="BF144" s="13">
        <f t="shared" si="145"/>
        <v>52.577528895212915</v>
      </c>
      <c r="BG144" s="20">
        <f t="shared" si="115"/>
        <v>462.44302949249618</v>
      </c>
      <c r="BH144" s="59">
        <f t="shared" si="116"/>
        <v>755.77636282582944</v>
      </c>
      <c r="BI144" s="59">
        <f ca="1">AVERAGE(OFFSET($BH$3,0,0,'Données projet'!$E$11+1,1))-AVERAGE(OFFSET($H$3,0,0,'Données projet'!$E$11+1,1))</f>
        <v>219.5868031007679</v>
      </c>
      <c r="BJ144" s="59">
        <f t="shared" si="146"/>
        <v>263.3830219837742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6.5627966718948381</v>
      </c>
      <c r="BQ144" s="21">
        <f>EXP(-LN(2)/25)*BQ143+(1-EXP(-LN(2)/25))/(LN(2)/25)*Calculateur!BL144*Calculateur!BN144*VLOOKUP('Données projet'!$B$11,Paramètres!$A$1:$I$89,3,0)*0.475*44/12</f>
        <v>0.62791721524645772</v>
      </c>
      <c r="BR144" s="21">
        <f>EXP(-LN(2)/2)*BR143+(1-EXP(-LN(2)/2))/(LN(2)/2)*BL144*BO144*VLOOKUP('Données projet'!$B$11,Paramètres!$A$1:$I$89,3,0)*0.475*44/12</f>
        <v>3.1604501245123164E-12</v>
      </c>
      <c r="BS144" s="22">
        <f t="shared" si="117"/>
        <v>7.1907138871444563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243.99999999999989</v>
      </c>
      <c r="BZ144" s="13">
        <f>BY144*VLOOKUP('Données projet'!$B$12,Paramètres!$A$1:$I$89,3,0)*VLOOKUP('Données projet'!$B$12,Paramètres!$A$1:$I$89,5,0)</f>
        <v>262.64159999999987</v>
      </c>
      <c r="CA144" s="13">
        <f t="shared" si="147"/>
        <v>63.285128621471941</v>
      </c>
      <c r="CB144" s="20">
        <f t="shared" si="118"/>
        <v>567.65571901573003</v>
      </c>
      <c r="CC144" s="59">
        <f t="shared" si="119"/>
        <v>860.98905234906329</v>
      </c>
      <c r="CD144" s="59">
        <f ca="1">AVERAGE(OFFSET($CC$3,0,0,'Données projet'!$E$12+1,1))-AVERAGE(OFFSET($H$3,0,0,'Données projet'!$E$12+1,1))</f>
        <v>244.7364260963538</v>
      </c>
      <c r="CE144" s="59">
        <f t="shared" si="148"/>
        <v>270.32853612539299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7.1914246619525608</v>
      </c>
      <c r="CL144" s="21">
        <f>EXP(-LN(2)/25)*CL143+(1-EXP(-LN(2)/25))/(LN(2)/25)*Calculateur!CG144*Calculateur!CI144*VLOOKUP('Données projet'!$B$12,Paramètres!$A$1:$I$89,3,0)*0.475*44/12</f>
        <v>0.69146769140094511</v>
      </c>
      <c r="CM144" s="21">
        <f>EXP(-LN(2)/2)*CM143+(1-EXP(-LN(2)/2))/(LN(2)/2)*CG144*CJ144*VLOOKUP('Données projet'!$B$12,Paramètres!$A$1:$I$89,3,0)*0.475*44/12</f>
        <v>3.2769824012489642E-12</v>
      </c>
      <c r="CN144" s="22">
        <f t="shared" si="120"/>
        <v>7.882892353356783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243.99999999999989</v>
      </c>
      <c r="CU144" s="17">
        <f>CT144*VLOOKUP('Données projet'!$B$13,Paramètres!$A$1:$I$89,3,0)*VLOOKUP('Données projet'!$B$13,Paramètres!$A$1:$I$89,5,0)</f>
        <v>235.99679999999987</v>
      </c>
      <c r="CV144" s="13">
        <f t="shared" si="149"/>
        <v>57.577381127598322</v>
      </c>
      <c r="CW144" s="20">
        <f t="shared" si="121"/>
        <v>511.30836546390015</v>
      </c>
      <c r="CX144" s="59">
        <f t="shared" si="122"/>
        <v>804.6416987972334</v>
      </c>
      <c r="CY144" s="59">
        <f ca="1">AVERAGE(OFFSET($CX$3,0,0,'Données projet'!$E$13+1,1))-AVERAGE(OFFSET($H$3,0,0,'Données projet'!$E$13+1,1))</f>
        <v>216.39536568500222</v>
      </c>
      <c r="CZ144" s="59">
        <f t="shared" si="150"/>
        <v>239.44686980897467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6.4618598411747685</v>
      </c>
      <c r="DG144" s="21">
        <f>EXP(-LN(2)/25)*DG143+(1-EXP(-LN(2)/25))/(LN(2)/25)*Calculateur!DB144*Calculateur!DD144*VLOOKUP('Données projet'!$B$13,Paramètres!$A$1:$I$89,3,0)*0.475*44/12</f>
        <v>0.62131879517186306</v>
      </c>
      <c r="DH144" s="21">
        <f>EXP(-LN(2)/2)*DH143+(1-EXP(-LN(2)/2))/(LN(2)/2)*DB144*DE144*VLOOKUP('Données projet'!$B$13,Paramètres!$A$1:$I$89,3,0)*0.475*44/12</f>
        <v>2.9445349112671824E-12</v>
      </c>
      <c r="DI144" s="22">
        <f t="shared" si="123"/>
        <v>7.0831786363495759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84.177599999999742</v>
      </c>
      <c r="D145" s="11">
        <f t="shared" si="140"/>
        <v>23.155583379640923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828.53685415862981</v>
      </c>
      <c r="H145" s="67">
        <f t="shared" si="110"/>
        <v>480.27196105287413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306.99999999999994</v>
      </c>
      <c r="O145" s="13">
        <f>N145*VLOOKUP('Données projet'!$B$9,Paramètres!$A$1:$I$89,3,0)*VLOOKUP('Données projet'!$B$9,Paramètres!$A$1:$I$89,5,0)</f>
        <v>277.77359999999993</v>
      </c>
      <c r="P145" s="13">
        <f t="shared" si="141"/>
        <v>66.496288176842356</v>
      </c>
      <c r="Q145" s="20">
        <f t="shared" si="108"/>
        <v>599.60338857466706</v>
      </c>
      <c r="R145" s="59">
        <f t="shared" si="109"/>
        <v>892.93672190800044</v>
      </c>
      <c r="S145" s="59">
        <f ca="1">AVERAGE(OFFSET($R$3,0,0,'Données projet'!$E$9+1,1))-AVERAGE(OFFSET($H$3,0,0,'Données projet'!$E$9+1,1))</f>
        <v>330.30341204367602</v>
      </c>
      <c r="T145" s="59">
        <f t="shared" si="142"/>
        <v>200.36653694091007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44.952593003667261</v>
      </c>
      <c r="AA145" s="21">
        <f>EXP(-LN(2)/25)*AA144+(1-EXP(-LN(2)/25))/(LN(2)/25)*Calculateur!V145*Calculateur!X145*VLOOKUP('Données projet'!$B$9,Paramètres!$A$1:$I$89,3,0)*0.475*44/12</f>
        <v>1.5690617631346513</v>
      </c>
      <c r="AB145" s="21">
        <f>EXP(-LN(2)/2)*AB144+(1-EXP(-LN(2)/2))/(LN(2)/2)*V145*Y145*VLOOKUP('Données projet'!$B$9,Paramètres!$A$1:$I$89,3,0)*0.475*44/12</f>
        <v>1.3005035354077352E-4</v>
      </c>
      <c r="AC145" s="22">
        <f t="shared" si="111"/>
        <v>46.521784817155449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971.99999999999977</v>
      </c>
      <c r="AJ145" s="13">
        <f>AI145*VLOOKUP('Données projet'!$B$10,Paramètres!$A$1:$I$89,3,0)*VLOOKUP('Données projet'!$B$10,Paramètres!$A$1:$I$89,5,0)</f>
        <v>581.25599999999986</v>
      </c>
      <c r="AK145" s="13">
        <f t="shared" si="143"/>
        <v>127.68713506014205</v>
      </c>
      <c r="AL145" s="20">
        <f t="shared" si="112"/>
        <v>1234.7426268964139</v>
      </c>
      <c r="AM145" s="59">
        <f t="shared" si="113"/>
        <v>1528.0759602297471</v>
      </c>
      <c r="AN145" s="59">
        <f ca="1">AVERAGE(OFFSET($AM$3,0,0,'Données projet'!$E$10+1,1))-AVERAGE(OFFSET($H$3,0,0,'Données projet'!$E$10+1,1))</f>
        <v>465.77577582457678</v>
      </c>
      <c r="AO145" s="59">
        <f t="shared" si="144"/>
        <v>301.15495784503042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12.586177478219154</v>
      </c>
      <c r="AV145" s="21">
        <f>EXP(-LN(2)/25)*AV144+(1-EXP(-LN(2)/25))/(LN(2)/25)*Calculateur!AQ145*Calculateur!AS145*VLOOKUP('Données projet'!$B$10,Paramètres!$A$1:$I$89,3,0)*0.475*44/12</f>
        <v>4.0663583247177133</v>
      </c>
      <c r="AW145" s="21">
        <f>EXP(-LN(2)/2)*AW144+(1-EXP(-LN(2)/2))/(LN(2)/2)*AQ145*AT145*VLOOKUP('Données projet'!$B$10,Paramètres!$A$1:$I$89,3,0)*0.475*44/12</f>
        <v>2.3661418426119624E-11</v>
      </c>
      <c r="AX145" s="21">
        <f t="shared" si="114"/>
        <v>16.652535802960529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273.00000000000023</v>
      </c>
      <c r="BE145" s="13">
        <f>BD145*VLOOKUP('Données projet'!$B$11,Paramètres!$A$1:$I$89,3,0)*VLOOKUP('Données projet'!$B$11,Paramètres!$A$1:$I$89,5,0)</f>
        <v>212.9400000000002</v>
      </c>
      <c r="BF145" s="13">
        <f t="shared" si="145"/>
        <v>52.577528895212915</v>
      </c>
      <c r="BG145" s="20">
        <f t="shared" si="115"/>
        <v>462.44302949249618</v>
      </c>
      <c r="BH145" s="59">
        <f t="shared" si="116"/>
        <v>755.77636282582944</v>
      </c>
      <c r="BI145" s="59">
        <f ca="1">AVERAGE(OFFSET($BH$3,0,0,'Données projet'!$E$11+1,1))-AVERAGE(OFFSET($H$3,0,0,'Données projet'!$E$11+1,1))</f>
        <v>219.5868031007679</v>
      </c>
      <c r="BJ145" s="59">
        <f t="shared" si="146"/>
        <v>263.3830219837742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6.4341042320696955</v>
      </c>
      <c r="BQ145" s="21">
        <f>EXP(-LN(2)/25)*BQ144+(1-EXP(-LN(2)/25))/(LN(2)/25)*Calculateur!BL145*Calculateur!BN145*VLOOKUP('Données projet'!$B$11,Paramètres!$A$1:$I$89,3,0)*0.475*44/12</f>
        <v>0.61074678597481213</v>
      </c>
      <c r="BR145" s="21">
        <f>EXP(-LN(2)/2)*BR144+(1-EXP(-LN(2)/2))/(LN(2)/2)*BL145*BO145*VLOOKUP('Données projet'!$B$11,Paramètres!$A$1:$I$89,3,0)*0.475*44/12</f>
        <v>2.2347757146445274E-12</v>
      </c>
      <c r="BS145" s="22">
        <f t="shared" si="117"/>
        <v>7.0448510180467423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243.99999999999989</v>
      </c>
      <c r="BZ145" s="13">
        <f>BY145*VLOOKUP('Données projet'!$B$12,Paramètres!$A$1:$I$89,3,0)*VLOOKUP('Données projet'!$B$12,Paramètres!$A$1:$I$89,5,0)</f>
        <v>262.64159999999987</v>
      </c>
      <c r="CA145" s="13">
        <f t="shared" si="147"/>
        <v>63.285128621471941</v>
      </c>
      <c r="CB145" s="20">
        <f t="shared" si="118"/>
        <v>567.65571901573003</v>
      </c>
      <c r="CC145" s="59">
        <f t="shared" si="119"/>
        <v>860.98905234906329</v>
      </c>
      <c r="CD145" s="59">
        <f ca="1">AVERAGE(OFFSET($CC$3,0,0,'Données projet'!$E$12+1,1))-AVERAGE(OFFSET($H$3,0,0,'Données projet'!$E$12+1,1))</f>
        <v>244.7364260963538</v>
      </c>
      <c r="CE145" s="59">
        <f t="shared" si="148"/>
        <v>270.32853612539299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7.0504052106676003</v>
      </c>
      <c r="CL145" s="21">
        <f>EXP(-LN(2)/25)*CL144+(1-EXP(-LN(2)/25))/(LN(2)/25)*Calculateur!CG145*Calculateur!CI145*VLOOKUP('Données projet'!$B$12,Paramètres!$A$1:$I$89,3,0)*0.475*44/12</f>
        <v>0.67255947101688074</v>
      </c>
      <c r="CM145" s="21">
        <f>EXP(-LN(2)/2)*CM144+(1-EXP(-LN(2)/2))/(LN(2)/2)*CG145*CJ145*VLOOKUP('Données projet'!$B$12,Paramètres!$A$1:$I$89,3,0)*0.475*44/12</f>
        <v>2.3171764777521184E-12</v>
      </c>
      <c r="CN145" s="22">
        <f t="shared" si="120"/>
        <v>7.7229646816867978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243.99999999999989</v>
      </c>
      <c r="CU145" s="17">
        <f>CT145*VLOOKUP('Données projet'!$B$13,Paramètres!$A$1:$I$89,3,0)*VLOOKUP('Données projet'!$B$13,Paramètres!$A$1:$I$89,5,0)</f>
        <v>235.99679999999987</v>
      </c>
      <c r="CV145" s="13">
        <f t="shared" si="149"/>
        <v>57.577381127598322</v>
      </c>
      <c r="CW145" s="20">
        <f t="shared" si="121"/>
        <v>511.30836546390015</v>
      </c>
      <c r="CX145" s="59">
        <f t="shared" si="122"/>
        <v>804.6416987972334</v>
      </c>
      <c r="CY145" s="59">
        <f ca="1">AVERAGE(OFFSET($CX$3,0,0,'Données projet'!$E$13+1,1))-AVERAGE(OFFSET($H$3,0,0,'Données projet'!$E$13+1,1))</f>
        <v>216.39536568500222</v>
      </c>
      <c r="CZ145" s="59">
        <f t="shared" si="150"/>
        <v>239.44686980897467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6.3351467110346587</v>
      </c>
      <c r="DG145" s="21">
        <f>EXP(-LN(2)/25)*DG144+(1-EXP(-LN(2)/25))/(LN(2)/25)*Calculateur!DB145*Calculateur!DD145*VLOOKUP('Données projet'!$B$13,Paramètres!$A$1:$I$89,3,0)*0.475*44/12</f>
        <v>0.60432880004415301</v>
      </c>
      <c r="DH145" s="21">
        <f>EXP(-LN(2)/2)*DH144+(1-EXP(-LN(2)/2))/(LN(2)/2)*DB145*DE145*VLOOKUP('Données projet'!$B$13,Paramètres!$A$1:$I$89,3,0)*0.475*44/12</f>
        <v>2.0821006031975536E-12</v>
      </c>
      <c r="DI145" s="22">
        <f t="shared" si="123"/>
        <v>6.9394755110808939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84.770399999999739</v>
      </c>
      <c r="D146" s="11">
        <f t="shared" si="140"/>
        <v>23.299610911603711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834.2246456334301</v>
      </c>
      <c r="H146" s="67">
        <f t="shared" si="110"/>
        <v>481.55526900437599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306.99999999999994</v>
      </c>
      <c r="O146" s="13">
        <f>N146*VLOOKUP('Données projet'!$B$9,Paramètres!$A$1:$I$89,3,0)*VLOOKUP('Données projet'!$B$9,Paramètres!$A$1:$I$89,5,0)</f>
        <v>277.77359999999993</v>
      </c>
      <c r="P146" s="13">
        <f t="shared" si="141"/>
        <v>66.496288176842356</v>
      </c>
      <c r="Q146" s="20">
        <f t="shared" si="108"/>
        <v>599.60338857466706</v>
      </c>
      <c r="R146" s="59">
        <f t="shared" si="109"/>
        <v>892.93672190800044</v>
      </c>
      <c r="S146" s="59">
        <f ca="1">AVERAGE(OFFSET($R$3,0,0,'Données projet'!$E$9+1,1))-AVERAGE(OFFSET($H$3,0,0,'Données projet'!$E$9+1,1))</f>
        <v>330.30341204367602</v>
      </c>
      <c r="T146" s="59">
        <f t="shared" si="142"/>
        <v>200.36653694091007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44.071100073239741</v>
      </c>
      <c r="AA146" s="21">
        <f>EXP(-LN(2)/25)*AA145+(1-EXP(-LN(2)/25))/(LN(2)/25)*Calculateur!V146*Calculateur!X146*VLOOKUP('Données projet'!$B$9,Paramètres!$A$1:$I$89,3,0)*0.475*44/12</f>
        <v>1.5261556867083623</v>
      </c>
      <c r="AB146" s="21">
        <f>EXP(-LN(2)/2)*AB145+(1-EXP(-LN(2)/2))/(LN(2)/2)*V146*Y146*VLOOKUP('Données projet'!$B$9,Paramètres!$A$1:$I$89,3,0)*0.475*44/12</f>
        <v>9.195948688438889E-5</v>
      </c>
      <c r="AC146" s="22">
        <f t="shared" si="111"/>
        <v>45.597347719434993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971.99999999999977</v>
      </c>
      <c r="AJ146" s="13">
        <f>AI146*VLOOKUP('Données projet'!$B$10,Paramètres!$A$1:$I$89,3,0)*VLOOKUP('Données projet'!$B$10,Paramètres!$A$1:$I$89,5,0)</f>
        <v>581.25599999999986</v>
      </c>
      <c r="AK146" s="13">
        <f t="shared" si="143"/>
        <v>127.68713506014205</v>
      </c>
      <c r="AL146" s="20">
        <f t="shared" si="112"/>
        <v>1234.7426268964139</v>
      </c>
      <c r="AM146" s="59">
        <f t="shared" si="113"/>
        <v>1528.0759602297471</v>
      </c>
      <c r="AN146" s="59">
        <f ca="1">AVERAGE(OFFSET($AM$3,0,0,'Données projet'!$E$10+1,1))-AVERAGE(OFFSET($H$3,0,0,'Données projet'!$E$10+1,1))</f>
        <v>465.77577582457678</v>
      </c>
      <c r="AO146" s="59">
        <f t="shared" si="144"/>
        <v>301.15495784503042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12.339370214681516</v>
      </c>
      <c r="AV146" s="21">
        <f>EXP(-LN(2)/25)*AV145+(1-EXP(-LN(2)/25))/(LN(2)/25)*Calculateur!AQ146*Calculateur!AS146*VLOOKUP('Données projet'!$B$10,Paramètres!$A$1:$I$89,3,0)*0.475*44/12</f>
        <v>3.9551635424878171</v>
      </c>
      <c r="AW146" s="21">
        <f>EXP(-LN(2)/2)*AW145+(1-EXP(-LN(2)/2))/(LN(2)/2)*AQ146*AT146*VLOOKUP('Données projet'!$B$10,Paramètres!$A$1:$I$89,3,0)*0.475*44/12</f>
        <v>1.6731149421601513E-11</v>
      </c>
      <c r="AX146" s="21">
        <f t="shared" si="114"/>
        <v>16.294533757186063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273.00000000000023</v>
      </c>
      <c r="BE146" s="13">
        <f>BD146*VLOOKUP('Données projet'!$B$11,Paramètres!$A$1:$I$89,3,0)*VLOOKUP('Données projet'!$B$11,Paramètres!$A$1:$I$89,5,0)</f>
        <v>212.9400000000002</v>
      </c>
      <c r="BF146" s="13">
        <f t="shared" si="145"/>
        <v>52.577528895212915</v>
      </c>
      <c r="BG146" s="20">
        <f t="shared" si="115"/>
        <v>462.44302949249618</v>
      </c>
      <c r="BH146" s="59">
        <f t="shared" si="116"/>
        <v>755.77636282582944</v>
      </c>
      <c r="BI146" s="59">
        <f ca="1">AVERAGE(OFFSET($BH$3,0,0,'Données projet'!$E$11+1,1))-AVERAGE(OFFSET($H$3,0,0,'Données projet'!$E$11+1,1))</f>
        <v>219.5868031007679</v>
      </c>
      <c r="BJ146" s="59">
        <f t="shared" si="146"/>
        <v>263.3830219837742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6.3079353724948861</v>
      </c>
      <c r="BQ146" s="21">
        <f>EXP(-LN(2)/25)*BQ145+(1-EXP(-LN(2)/25))/(LN(2)/25)*Calculateur!BL146*Calculateur!BN146*VLOOKUP('Données projet'!$B$11,Paramètres!$A$1:$I$89,3,0)*0.475*44/12</f>
        <v>0.5940458829945533</v>
      </c>
      <c r="BR146" s="21">
        <f>EXP(-LN(2)/2)*BR145+(1-EXP(-LN(2)/2))/(LN(2)/2)*BL146*BO146*VLOOKUP('Données projet'!$B$11,Paramètres!$A$1:$I$89,3,0)*0.475*44/12</f>
        <v>1.5802250622561582E-12</v>
      </c>
      <c r="BS146" s="22">
        <f t="shared" si="117"/>
        <v>6.9019812554910196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243.99999999999989</v>
      </c>
      <c r="BZ146" s="13">
        <f>BY146*VLOOKUP('Données projet'!$B$12,Paramètres!$A$1:$I$89,3,0)*VLOOKUP('Données projet'!$B$12,Paramètres!$A$1:$I$89,5,0)</f>
        <v>262.64159999999987</v>
      </c>
      <c r="CA146" s="13">
        <f t="shared" si="147"/>
        <v>63.285128621471941</v>
      </c>
      <c r="CB146" s="20">
        <f t="shared" si="118"/>
        <v>567.65571901573003</v>
      </c>
      <c r="CC146" s="59">
        <f t="shared" si="119"/>
        <v>860.98905234906329</v>
      </c>
      <c r="CD146" s="59">
        <f ca="1">AVERAGE(OFFSET($CC$3,0,0,'Données projet'!$E$12+1,1))-AVERAGE(OFFSET($H$3,0,0,'Données projet'!$E$12+1,1))</f>
        <v>244.7364260963538</v>
      </c>
      <c r="CE146" s="59">
        <f t="shared" si="148"/>
        <v>270.32853612539299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6.9121510648089659</v>
      </c>
      <c r="CL146" s="21">
        <f>EXP(-LN(2)/25)*CL145+(1-EXP(-LN(2)/25))/(LN(2)/25)*Calculateur!CG146*Calculateur!CI146*VLOOKUP('Données projet'!$B$12,Paramètres!$A$1:$I$89,3,0)*0.475*44/12</f>
        <v>0.65416829691355871</v>
      </c>
      <c r="CM146" s="21">
        <f>EXP(-LN(2)/2)*CM145+(1-EXP(-LN(2)/2))/(LN(2)/2)*CG146*CJ146*VLOOKUP('Données projet'!$B$12,Paramètres!$A$1:$I$89,3,0)*0.475*44/12</f>
        <v>1.6384912006244821E-12</v>
      </c>
      <c r="CN146" s="22">
        <f t="shared" si="120"/>
        <v>7.5663193617241635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243.99999999999989</v>
      </c>
      <c r="CU146" s="17">
        <f>CT146*VLOOKUP('Données projet'!$B$13,Paramètres!$A$1:$I$89,3,0)*VLOOKUP('Données projet'!$B$13,Paramètres!$A$1:$I$89,5,0)</f>
        <v>235.99679999999987</v>
      </c>
      <c r="CV146" s="13">
        <f t="shared" si="149"/>
        <v>57.577381127598322</v>
      </c>
      <c r="CW146" s="20">
        <f t="shared" si="121"/>
        <v>511.30836546390015</v>
      </c>
      <c r="CX146" s="59">
        <f t="shared" si="122"/>
        <v>804.6416987972334</v>
      </c>
      <c r="CY146" s="59">
        <f ca="1">AVERAGE(OFFSET($CX$3,0,0,'Données projet'!$E$13+1,1))-AVERAGE(OFFSET($H$3,0,0,'Données projet'!$E$13+1,1))</f>
        <v>216.39536568500222</v>
      </c>
      <c r="CZ146" s="59">
        <f t="shared" si="150"/>
        <v>239.44686980897467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6.2109183480892183</v>
      </c>
      <c r="DG146" s="21">
        <f>EXP(-LN(2)/25)*DG145+(1-EXP(-LN(2)/25))/(LN(2)/25)*Calculateur!DB146*Calculateur!DD146*VLOOKUP('Données projet'!$B$13,Paramètres!$A$1:$I$89,3,0)*0.475*44/12</f>
        <v>0.58780339722667529</v>
      </c>
      <c r="DH146" s="21">
        <f>EXP(-LN(2)/2)*DH145+(1-EXP(-LN(2)/2))/(LN(2)/2)*DB146*DE146*VLOOKUP('Données projet'!$B$13,Paramètres!$A$1:$I$89,3,0)*0.475*44/12</f>
        <v>1.4722674556335912E-12</v>
      </c>
      <c r="DI146" s="22">
        <f t="shared" si="123"/>
        <v>6.7987217453173665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85.363199999999736</v>
      </c>
      <c r="D147" s="11">
        <f t="shared" si="140"/>
        <v>23.443521253860958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839.9115324859423</v>
      </c>
      <c r="H147" s="67">
        <f t="shared" si="110"/>
        <v>482.838372850474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306.99999999999994</v>
      </c>
      <c r="O147" s="13">
        <f>N147*VLOOKUP('Données projet'!$B$9,Paramètres!$A$1:$I$89,3,0)*VLOOKUP('Données projet'!$B$9,Paramètres!$A$1:$I$89,5,0)</f>
        <v>277.77359999999993</v>
      </c>
      <c r="P147" s="13">
        <f t="shared" si="141"/>
        <v>66.496288176842356</v>
      </c>
      <c r="Q147" s="20">
        <f t="shared" si="108"/>
        <v>599.60338857466706</v>
      </c>
      <c r="R147" s="59">
        <f t="shared" si="109"/>
        <v>892.93672190800044</v>
      </c>
      <c r="S147" s="59">
        <f ca="1">AVERAGE(OFFSET($R$3,0,0,'Données projet'!$E$9+1,1))-AVERAGE(OFFSET($H$3,0,0,'Données projet'!$E$9+1,1))</f>
        <v>330.30341204367602</v>
      </c>
      <c r="T147" s="59">
        <f t="shared" si="142"/>
        <v>200.36653694091007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43.206892681520301</v>
      </c>
      <c r="AA147" s="21">
        <f>EXP(-LN(2)/25)*AA146+(1-EXP(-LN(2)/25))/(LN(2)/25)*Calculateur!V147*Calculateur!X147*VLOOKUP('Données projet'!$B$9,Paramètres!$A$1:$I$89,3,0)*0.475*44/12</f>
        <v>1.4844228791982828</v>
      </c>
      <c r="AB147" s="21">
        <f>EXP(-LN(2)/2)*AB146+(1-EXP(-LN(2)/2))/(LN(2)/2)*V147*Y147*VLOOKUP('Données projet'!$B$9,Paramètres!$A$1:$I$89,3,0)*0.475*44/12</f>
        <v>6.5025176770386762E-5</v>
      </c>
      <c r="AC147" s="22">
        <f t="shared" si="111"/>
        <v>44.691380585895359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971.99999999999977</v>
      </c>
      <c r="AJ147" s="13">
        <f>AI147*VLOOKUP('Données projet'!$B$10,Paramètres!$A$1:$I$89,3,0)*VLOOKUP('Données projet'!$B$10,Paramètres!$A$1:$I$89,5,0)</f>
        <v>581.25599999999986</v>
      </c>
      <c r="AK147" s="13">
        <f t="shared" si="143"/>
        <v>127.68713506014205</v>
      </c>
      <c r="AL147" s="20">
        <f t="shared" si="112"/>
        <v>1234.7426268964139</v>
      </c>
      <c r="AM147" s="59">
        <f t="shared" si="113"/>
        <v>1528.0759602297471</v>
      </c>
      <c r="AN147" s="59">
        <f ca="1">AVERAGE(OFFSET($AM$3,0,0,'Données projet'!$E$10+1,1))-AVERAGE(OFFSET($H$3,0,0,'Données projet'!$E$10+1,1))</f>
        <v>465.77577582457678</v>
      </c>
      <c r="AO147" s="59">
        <f t="shared" si="144"/>
        <v>301.15495784503042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12.097402691044284</v>
      </c>
      <c r="AV147" s="21">
        <f>EXP(-LN(2)/25)*AV146+(1-EXP(-LN(2)/25))/(LN(2)/25)*Calculateur!AQ147*Calculateur!AS147*VLOOKUP('Données projet'!$B$10,Paramètres!$A$1:$I$89,3,0)*0.475*44/12</f>
        <v>3.8470093874254765</v>
      </c>
      <c r="AW147" s="21">
        <f>EXP(-LN(2)/2)*AW146+(1-EXP(-LN(2)/2))/(LN(2)/2)*AQ147*AT147*VLOOKUP('Données projet'!$B$10,Paramètres!$A$1:$I$89,3,0)*0.475*44/12</f>
        <v>1.1830709213059812E-11</v>
      </c>
      <c r="AX147" s="21">
        <f t="shared" si="114"/>
        <v>15.944412078481591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273.00000000000023</v>
      </c>
      <c r="BE147" s="13">
        <f>BD147*VLOOKUP('Données projet'!$B$11,Paramètres!$A$1:$I$89,3,0)*VLOOKUP('Données projet'!$B$11,Paramètres!$A$1:$I$89,5,0)</f>
        <v>212.9400000000002</v>
      </c>
      <c r="BF147" s="13">
        <f t="shared" si="145"/>
        <v>52.577528895212915</v>
      </c>
      <c r="BG147" s="20">
        <f t="shared" si="115"/>
        <v>462.44302949249618</v>
      </c>
      <c r="BH147" s="59">
        <f t="shared" si="116"/>
        <v>755.77636282582944</v>
      </c>
      <c r="BI147" s="59">
        <f ca="1">AVERAGE(OFFSET($BH$3,0,0,'Données projet'!$E$11+1,1))-AVERAGE(OFFSET($H$3,0,0,'Données projet'!$E$11+1,1))</f>
        <v>219.5868031007679</v>
      </c>
      <c r="BJ147" s="59">
        <f t="shared" si="146"/>
        <v>263.3830219837742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6.1842406073009331</v>
      </c>
      <c r="BQ147" s="21">
        <f>EXP(-LN(2)/25)*BQ146+(1-EXP(-LN(2)/25))/(LN(2)/25)*Calculateur!BL147*Calculateur!BN147*VLOOKUP('Données projet'!$B$11,Paramètres!$A$1:$I$89,3,0)*0.475*44/12</f>
        <v>0.57780166708455194</v>
      </c>
      <c r="BR147" s="21">
        <f>EXP(-LN(2)/2)*BR146+(1-EXP(-LN(2)/2))/(LN(2)/2)*BL147*BO147*VLOOKUP('Données projet'!$B$11,Paramètres!$A$1:$I$89,3,0)*0.475*44/12</f>
        <v>1.1173878573222637E-12</v>
      </c>
      <c r="BS147" s="22">
        <f t="shared" si="117"/>
        <v>6.7620422743866024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243.99999999999989</v>
      </c>
      <c r="BZ147" s="13">
        <f>BY147*VLOOKUP('Données projet'!$B$12,Paramètres!$A$1:$I$89,3,0)*VLOOKUP('Données projet'!$B$12,Paramètres!$A$1:$I$89,5,0)</f>
        <v>262.64159999999987</v>
      </c>
      <c r="CA147" s="13">
        <f t="shared" si="147"/>
        <v>63.285128621471941</v>
      </c>
      <c r="CB147" s="20">
        <f t="shared" si="118"/>
        <v>567.65571901573003</v>
      </c>
      <c r="CC147" s="59">
        <f t="shared" si="119"/>
        <v>860.98905234906329</v>
      </c>
      <c r="CD147" s="59">
        <f ca="1">AVERAGE(OFFSET($CC$3,0,0,'Données projet'!$E$12+1,1))-AVERAGE(OFFSET($H$3,0,0,'Données projet'!$E$12+1,1))</f>
        <v>244.7364260963538</v>
      </c>
      <c r="CE147" s="59">
        <f t="shared" si="148"/>
        <v>270.32853612539299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6.7766079984239163</v>
      </c>
      <c r="CL147" s="21">
        <f>EXP(-LN(2)/25)*CL146+(1-EXP(-LN(2)/25))/(LN(2)/25)*Calculateur!CG147*Calculateur!CI147*VLOOKUP('Données projet'!$B$12,Paramètres!$A$1:$I$89,3,0)*0.475*44/12</f>
        <v>0.63628003043324188</v>
      </c>
      <c r="CM147" s="21">
        <f>EXP(-LN(2)/2)*CM146+(1-EXP(-LN(2)/2))/(LN(2)/2)*CG147*CJ147*VLOOKUP('Données projet'!$B$12,Paramètres!$A$1:$I$89,3,0)*0.475*44/12</f>
        <v>1.1585882388760592E-12</v>
      </c>
      <c r="CN147" s="22">
        <f t="shared" si="120"/>
        <v>7.4128880288583163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243.99999999999989</v>
      </c>
      <c r="CU147" s="17">
        <f>CT147*VLOOKUP('Données projet'!$B$13,Paramètres!$A$1:$I$89,3,0)*VLOOKUP('Données projet'!$B$13,Paramètres!$A$1:$I$89,5,0)</f>
        <v>235.99679999999987</v>
      </c>
      <c r="CV147" s="13">
        <f t="shared" si="149"/>
        <v>57.577381127598322</v>
      </c>
      <c r="CW147" s="20">
        <f t="shared" si="121"/>
        <v>511.30836546390015</v>
      </c>
      <c r="CX147" s="59">
        <f t="shared" si="122"/>
        <v>804.6416987972334</v>
      </c>
      <c r="CY147" s="59">
        <f ca="1">AVERAGE(OFFSET($CX$3,0,0,'Données projet'!$E$13+1,1))-AVERAGE(OFFSET($H$3,0,0,'Données projet'!$E$13+1,1))</f>
        <v>216.39536568500222</v>
      </c>
      <c r="CZ147" s="59">
        <f t="shared" si="150"/>
        <v>239.44686980897467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6.0891260275693186</v>
      </c>
      <c r="DG147" s="21">
        <f>EXP(-LN(2)/25)*DG146+(1-EXP(-LN(2)/25))/(LN(2)/25)*Calculateur!DB147*Calculateur!DD147*VLOOKUP('Données projet'!$B$13,Paramètres!$A$1:$I$89,3,0)*0.475*44/12</f>
        <v>0.5717298824182746</v>
      </c>
      <c r="DH147" s="21">
        <f>EXP(-LN(2)/2)*DH146+(1-EXP(-LN(2)/2))/(LN(2)/2)*DB147*DE147*VLOOKUP('Données projet'!$B$13,Paramètres!$A$1:$I$89,3,0)*0.475*44/12</f>
        <v>1.0410503015987768E-12</v>
      </c>
      <c r="DI147" s="22">
        <f t="shared" si="123"/>
        <v>6.6608559099886344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85.955999999999733</v>
      </c>
      <c r="D148" s="11">
        <f t="shared" si="140"/>
        <v>23.587315314605984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845.597521726781</v>
      </c>
      <c r="H148" s="67">
        <f t="shared" si="110"/>
        <v>484.12127417293829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306.99999999999994</v>
      </c>
      <c r="O148" s="13">
        <f>N148*VLOOKUP('Données projet'!$B$9,Paramètres!$A$1:$I$89,3,0)*VLOOKUP('Données projet'!$B$9,Paramètres!$A$1:$I$89,5,0)</f>
        <v>277.77359999999993</v>
      </c>
      <c r="P148" s="13">
        <f t="shared" si="141"/>
        <v>66.496288176842356</v>
      </c>
      <c r="Q148" s="20">
        <f t="shared" si="108"/>
        <v>599.60338857466706</v>
      </c>
      <c r="R148" s="59">
        <f t="shared" si="109"/>
        <v>892.93672190800044</v>
      </c>
      <c r="S148" s="59">
        <f ca="1">AVERAGE(OFFSET($R$3,0,0,'Données projet'!$E$9+1,1))-AVERAGE(OFFSET($H$3,0,0,'Données projet'!$E$9+1,1))</f>
        <v>330.30341204367602</v>
      </c>
      <c r="T148" s="59">
        <f t="shared" si="142"/>
        <v>200.36653694091007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42.359631869638022</v>
      </c>
      <c r="AA148" s="21">
        <f>EXP(-LN(2)/25)*AA147+(1-EXP(-LN(2)/25))/(LN(2)/25)*Calculateur!V148*Calculateur!X148*VLOOKUP('Données projet'!$B$9,Paramètres!$A$1:$I$89,3,0)*0.475*44/12</f>
        <v>1.4438312575041992</v>
      </c>
      <c r="AB148" s="21">
        <f>EXP(-LN(2)/2)*AB147+(1-EXP(-LN(2)/2))/(LN(2)/2)*V148*Y148*VLOOKUP('Données projet'!$B$9,Paramètres!$A$1:$I$89,3,0)*0.475*44/12</f>
        <v>4.5979743442194445E-5</v>
      </c>
      <c r="AC148" s="22">
        <f t="shared" si="111"/>
        <v>43.803509106885663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971.99999999999977</v>
      </c>
      <c r="AJ148" s="13">
        <f>AI148*VLOOKUP('Données projet'!$B$10,Paramètres!$A$1:$I$89,3,0)*VLOOKUP('Données projet'!$B$10,Paramètres!$A$1:$I$89,5,0)</f>
        <v>581.25599999999986</v>
      </c>
      <c r="AK148" s="13">
        <f t="shared" si="143"/>
        <v>127.68713506014205</v>
      </c>
      <c r="AL148" s="20">
        <f t="shared" si="112"/>
        <v>1234.7426268964139</v>
      </c>
      <c r="AM148" s="59">
        <f t="shared" si="113"/>
        <v>1528.0759602297471</v>
      </c>
      <c r="AN148" s="59">
        <f ca="1">AVERAGE(OFFSET($AM$3,0,0,'Données projet'!$E$10+1,1))-AVERAGE(OFFSET($H$3,0,0,'Données projet'!$E$10+1,1))</f>
        <v>465.77577582457678</v>
      </c>
      <c r="AO148" s="59">
        <f t="shared" si="144"/>
        <v>301.15495784503042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11.860180002959963</v>
      </c>
      <c r="AV148" s="21">
        <f>EXP(-LN(2)/25)*AV147+(1-EXP(-LN(2)/25))/(LN(2)/25)*Calculateur!AQ148*Calculateur!AS148*VLOOKUP('Données projet'!$B$10,Paramètres!$A$1:$I$89,3,0)*0.475*44/12</f>
        <v>3.7418127134208956</v>
      </c>
      <c r="AW148" s="21">
        <f>EXP(-LN(2)/2)*AW147+(1-EXP(-LN(2)/2))/(LN(2)/2)*AQ148*AT148*VLOOKUP('Données projet'!$B$10,Paramètres!$A$1:$I$89,3,0)*0.475*44/12</f>
        <v>8.3655747108007563E-12</v>
      </c>
      <c r="AX148" s="21">
        <f t="shared" si="114"/>
        <v>15.601992716389223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273.00000000000023</v>
      </c>
      <c r="BE148" s="13">
        <f>BD148*VLOOKUP('Données projet'!$B$11,Paramètres!$A$1:$I$89,3,0)*VLOOKUP('Données projet'!$B$11,Paramètres!$A$1:$I$89,5,0)</f>
        <v>212.9400000000002</v>
      </c>
      <c r="BF148" s="13">
        <f t="shared" si="145"/>
        <v>52.577528895212915</v>
      </c>
      <c r="BG148" s="20">
        <f t="shared" si="115"/>
        <v>462.44302949249618</v>
      </c>
      <c r="BH148" s="59">
        <f t="shared" si="116"/>
        <v>755.77636282582944</v>
      </c>
      <c r="BI148" s="59">
        <f ca="1">AVERAGE(OFFSET($BH$3,0,0,'Données projet'!$E$11+1,1))-AVERAGE(OFFSET($H$3,0,0,'Données projet'!$E$11+1,1))</f>
        <v>219.5868031007679</v>
      </c>
      <c r="BJ148" s="59">
        <f t="shared" si="146"/>
        <v>263.3830219837742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6.0629714210060763</v>
      </c>
      <c r="BQ148" s="21">
        <f>EXP(-LN(2)/25)*BQ147+(1-EXP(-LN(2)/25))/(LN(2)/25)*Calculateur!BL148*Calculateur!BN148*VLOOKUP('Données projet'!$B$11,Paramètres!$A$1:$I$89,3,0)*0.475*44/12</f>
        <v>0.56200165011285574</v>
      </c>
      <c r="BR148" s="21">
        <f>EXP(-LN(2)/2)*BR147+(1-EXP(-LN(2)/2))/(LN(2)/2)*BL148*BO148*VLOOKUP('Données projet'!$B$11,Paramètres!$A$1:$I$89,3,0)*0.475*44/12</f>
        <v>7.9011253112807911E-13</v>
      </c>
      <c r="BS148" s="22">
        <f t="shared" si="117"/>
        <v>6.6249730711197223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243.99999999999989</v>
      </c>
      <c r="BZ148" s="13">
        <f>BY148*VLOOKUP('Données projet'!$B$12,Paramètres!$A$1:$I$89,3,0)*VLOOKUP('Données projet'!$B$12,Paramètres!$A$1:$I$89,5,0)</f>
        <v>262.64159999999987</v>
      </c>
      <c r="CA148" s="13">
        <f t="shared" si="147"/>
        <v>63.285128621471941</v>
      </c>
      <c r="CB148" s="20">
        <f t="shared" si="118"/>
        <v>567.65571901573003</v>
      </c>
      <c r="CC148" s="59">
        <f t="shared" si="119"/>
        <v>860.98905234906329</v>
      </c>
      <c r="CD148" s="59">
        <f ca="1">AVERAGE(OFFSET($CC$3,0,0,'Données projet'!$E$12+1,1))-AVERAGE(OFFSET($H$3,0,0,'Données projet'!$E$12+1,1))</f>
        <v>244.7364260963538</v>
      </c>
      <c r="CE148" s="59">
        <f t="shared" si="148"/>
        <v>270.32853612539299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6.6437228488975704</v>
      </c>
      <c r="CL148" s="21">
        <f>EXP(-LN(2)/25)*CL147+(1-EXP(-LN(2)/25))/(LN(2)/25)*Calculateur!CG148*Calculateur!CI148*VLOOKUP('Données projet'!$B$12,Paramètres!$A$1:$I$89,3,0)*0.475*44/12</f>
        <v>0.61888091954053237</v>
      </c>
      <c r="CM148" s="21">
        <f>EXP(-LN(2)/2)*CM147+(1-EXP(-LN(2)/2))/(LN(2)/2)*CG148*CJ148*VLOOKUP('Données projet'!$B$12,Paramètres!$A$1:$I$89,3,0)*0.475*44/12</f>
        <v>8.1924560031224104E-13</v>
      </c>
      <c r="CN148" s="22">
        <f t="shared" si="120"/>
        <v>7.2626037684389217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243.99999999999989</v>
      </c>
      <c r="CU148" s="17">
        <f>CT148*VLOOKUP('Données projet'!$B$13,Paramètres!$A$1:$I$89,3,0)*VLOOKUP('Données projet'!$B$13,Paramètres!$A$1:$I$89,5,0)</f>
        <v>235.99679999999987</v>
      </c>
      <c r="CV148" s="13">
        <f t="shared" si="149"/>
        <v>57.577381127598322</v>
      </c>
      <c r="CW148" s="20">
        <f t="shared" si="121"/>
        <v>511.30836546390015</v>
      </c>
      <c r="CX148" s="59">
        <f t="shared" si="122"/>
        <v>804.6416987972334</v>
      </c>
      <c r="CY148" s="59">
        <f ca="1">AVERAGE(OFFSET($CX$3,0,0,'Données projet'!$E$13+1,1))-AVERAGE(OFFSET($H$3,0,0,'Données projet'!$E$13+1,1))</f>
        <v>216.39536568500222</v>
      </c>
      <c r="CZ148" s="59">
        <f t="shared" si="150"/>
        <v>239.44686980897467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5.9697219801688339</v>
      </c>
      <c r="DG148" s="21">
        <f>EXP(-LN(2)/25)*DG147+(1-EXP(-LN(2)/25))/(LN(2)/25)*Calculateur!DB148*Calculateur!DD148*VLOOKUP('Données projet'!$B$13,Paramètres!$A$1:$I$89,3,0)*0.475*44/12</f>
        <v>0.55609589871757903</v>
      </c>
      <c r="DH148" s="21">
        <f>EXP(-LN(2)/2)*DH147+(1-EXP(-LN(2)/2))/(LN(2)/2)*DB148*DE148*VLOOKUP('Données projet'!$B$13,Paramètres!$A$1:$I$89,3,0)*0.475*44/12</f>
        <v>7.361337278167956E-13</v>
      </c>
      <c r="DI148" s="22">
        <f t="shared" si="123"/>
        <v>6.5258178788871488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86.54879999999973</v>
      </c>
      <c r="D149" s="11">
        <f t="shared" si="140"/>
        <v>23.73099398878119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851.28262026427376</v>
      </c>
      <c r="H149" s="67">
        <f t="shared" si="110"/>
        <v>485.40397453046012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306.99999999999994</v>
      </c>
      <c r="O149" s="13">
        <f>N149*VLOOKUP('Données projet'!$B$9,Paramètres!$A$1:$I$89,3,0)*VLOOKUP('Données projet'!$B$9,Paramètres!$A$1:$I$89,5,0)</f>
        <v>277.77359999999993</v>
      </c>
      <c r="P149" s="13">
        <f t="shared" si="141"/>
        <v>66.496288176842356</v>
      </c>
      <c r="Q149" s="20">
        <f t="shared" si="108"/>
        <v>599.60338857466706</v>
      </c>
      <c r="R149" s="59">
        <f t="shared" si="109"/>
        <v>892.93672190800044</v>
      </c>
      <c r="S149" s="59">
        <f ca="1">AVERAGE(OFFSET($R$3,0,0,'Données projet'!$E$9+1,1))-AVERAGE(OFFSET($H$3,0,0,'Données projet'!$E$9+1,1))</f>
        <v>330.30341204367602</v>
      </c>
      <c r="T149" s="59">
        <f t="shared" si="142"/>
        <v>200.36653694091007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41.528985325498688</v>
      </c>
      <c r="AA149" s="21">
        <f>EXP(-LN(2)/25)*AA148+(1-EXP(-LN(2)/25))/(LN(2)/25)*Calculateur!V149*Calculateur!X149*VLOOKUP('Données projet'!$B$9,Paramètres!$A$1:$I$89,3,0)*0.475*44/12</f>
        <v>1.4043496158399609</v>
      </c>
      <c r="AB149" s="21">
        <f>EXP(-LN(2)/2)*AB148+(1-EXP(-LN(2)/2))/(LN(2)/2)*V149*Y149*VLOOKUP('Données projet'!$B$9,Paramètres!$A$1:$I$89,3,0)*0.475*44/12</f>
        <v>3.2512588385193381E-5</v>
      </c>
      <c r="AC149" s="22">
        <f t="shared" si="111"/>
        <v>42.933367453927033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971.99999999999977</v>
      </c>
      <c r="AJ149" s="13">
        <f>AI149*VLOOKUP('Données projet'!$B$10,Paramètres!$A$1:$I$89,3,0)*VLOOKUP('Données projet'!$B$10,Paramètres!$A$1:$I$89,5,0)</f>
        <v>581.25599999999986</v>
      </c>
      <c r="AK149" s="13">
        <f t="shared" si="143"/>
        <v>127.68713506014205</v>
      </c>
      <c r="AL149" s="20">
        <f t="shared" si="112"/>
        <v>1234.7426268964139</v>
      </c>
      <c r="AM149" s="59">
        <f t="shared" si="113"/>
        <v>1528.0759602297471</v>
      </c>
      <c r="AN149" s="59">
        <f ca="1">AVERAGE(OFFSET($AM$3,0,0,'Données projet'!$E$10+1,1))-AVERAGE(OFFSET($H$3,0,0,'Données projet'!$E$10+1,1))</f>
        <v>465.77577582457678</v>
      </c>
      <c r="AO149" s="59">
        <f t="shared" si="144"/>
        <v>301.15495784503042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11.627609107097422</v>
      </c>
      <c r="AV149" s="21">
        <f>EXP(-LN(2)/25)*AV148+(1-EXP(-LN(2)/25))/(LN(2)/25)*Calculateur!AQ149*Calculateur!AS149*VLOOKUP('Données projet'!$B$10,Paramètres!$A$1:$I$89,3,0)*0.475*44/12</f>
        <v>3.6394926479990226</v>
      </c>
      <c r="AW149" s="21">
        <f>EXP(-LN(2)/2)*AW148+(1-EXP(-LN(2)/2))/(LN(2)/2)*AQ149*AT149*VLOOKUP('Données projet'!$B$10,Paramètres!$A$1:$I$89,3,0)*0.475*44/12</f>
        <v>5.915354606529906E-12</v>
      </c>
      <c r="AX149" s="21">
        <f t="shared" si="114"/>
        <v>15.26710175510236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273.00000000000023</v>
      </c>
      <c r="BE149" s="13">
        <f>BD149*VLOOKUP('Données projet'!$B$11,Paramètres!$A$1:$I$89,3,0)*VLOOKUP('Données projet'!$B$11,Paramètres!$A$1:$I$89,5,0)</f>
        <v>212.9400000000002</v>
      </c>
      <c r="BF149" s="13">
        <f t="shared" si="145"/>
        <v>52.577528895212915</v>
      </c>
      <c r="BG149" s="20">
        <f t="shared" si="115"/>
        <v>462.44302949249618</v>
      </c>
      <c r="BH149" s="59">
        <f t="shared" si="116"/>
        <v>755.77636282582944</v>
      </c>
      <c r="BI149" s="59">
        <f ca="1">AVERAGE(OFFSET($BH$3,0,0,'Données projet'!$E$11+1,1))-AVERAGE(OFFSET($H$3,0,0,'Données projet'!$E$11+1,1))</f>
        <v>219.5868031007679</v>
      </c>
      <c r="BJ149" s="59">
        <f t="shared" si="146"/>
        <v>263.3830219837742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5.9440802494875618</v>
      </c>
      <c r="BQ149" s="21">
        <f>EXP(-LN(2)/25)*BQ148+(1-EXP(-LN(2)/25))/(LN(2)/25)*Calculateur!BL149*Calculateur!BN149*VLOOKUP('Données projet'!$B$11,Paramètres!$A$1:$I$89,3,0)*0.475*44/12</f>
        <v>0.54663368543613744</v>
      </c>
      <c r="BR149" s="21">
        <f>EXP(-LN(2)/2)*BR148+(1-EXP(-LN(2)/2))/(LN(2)/2)*BL149*BO149*VLOOKUP('Données projet'!$B$11,Paramètres!$A$1:$I$89,3,0)*0.475*44/12</f>
        <v>5.5869392866113184E-13</v>
      </c>
      <c r="BS149" s="22">
        <f t="shared" si="117"/>
        <v>6.4907139349242575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243.99999999999989</v>
      </c>
      <c r="BZ149" s="13">
        <f>BY149*VLOOKUP('Données projet'!$B$12,Paramètres!$A$1:$I$89,3,0)*VLOOKUP('Données projet'!$B$12,Paramètres!$A$1:$I$89,5,0)</f>
        <v>262.64159999999987</v>
      </c>
      <c r="CA149" s="13">
        <f t="shared" si="147"/>
        <v>63.285128621471941</v>
      </c>
      <c r="CB149" s="20">
        <f t="shared" si="118"/>
        <v>567.65571901573003</v>
      </c>
      <c r="CC149" s="59">
        <f t="shared" si="119"/>
        <v>860.98905234906329</v>
      </c>
      <c r="CD149" s="59">
        <f ca="1">AVERAGE(OFFSET($CC$3,0,0,'Données projet'!$E$12+1,1))-AVERAGE(OFFSET($H$3,0,0,'Données projet'!$E$12+1,1))</f>
        <v>244.7364260963538</v>
      </c>
      <c r="CE149" s="59">
        <f t="shared" si="148"/>
        <v>270.32853612539299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6.5134434961014982</v>
      </c>
      <c r="CL149" s="21">
        <f>EXP(-LN(2)/25)*CL148+(1-EXP(-LN(2)/25))/(LN(2)/25)*Calculateur!CG149*Calculateur!CI149*VLOOKUP('Données projet'!$B$12,Paramètres!$A$1:$I$89,3,0)*0.475*44/12</f>
        <v>0.60195758825016343</v>
      </c>
      <c r="CM149" s="21">
        <f>EXP(-LN(2)/2)*CM148+(1-EXP(-LN(2)/2))/(LN(2)/2)*CG149*CJ149*VLOOKUP('Données projet'!$B$12,Paramètres!$A$1:$I$89,3,0)*0.475*44/12</f>
        <v>5.7929411943802959E-13</v>
      </c>
      <c r="CN149" s="22">
        <f t="shared" si="120"/>
        <v>7.1154010843522411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243.99999999999989</v>
      </c>
      <c r="CU149" s="17">
        <f>CT149*VLOOKUP('Données projet'!$B$13,Paramètres!$A$1:$I$89,3,0)*VLOOKUP('Données projet'!$B$13,Paramètres!$A$1:$I$89,5,0)</f>
        <v>235.99679999999987</v>
      </c>
      <c r="CV149" s="13">
        <f t="shared" si="149"/>
        <v>57.577381127598322</v>
      </c>
      <c r="CW149" s="20">
        <f t="shared" si="121"/>
        <v>511.30836546390015</v>
      </c>
      <c r="CX149" s="59">
        <f t="shared" si="122"/>
        <v>804.6416987972334</v>
      </c>
      <c r="CY149" s="59">
        <f ca="1">AVERAGE(OFFSET($CX$3,0,0,'Données projet'!$E$13+1,1))-AVERAGE(OFFSET($H$3,0,0,'Données projet'!$E$13+1,1))</f>
        <v>216.39536568500222</v>
      </c>
      <c r="CZ149" s="59">
        <f t="shared" si="150"/>
        <v>239.44686980897467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5.8526593733085956</v>
      </c>
      <c r="DG149" s="21">
        <f>EXP(-LN(2)/25)*DG148+(1-EXP(-LN(2)/25))/(LN(2)/25)*Calculateur!DB149*Calculateur!DD149*VLOOKUP('Données projet'!$B$13,Paramètres!$A$1:$I$89,3,0)*0.475*44/12</f>
        <v>0.54088942712333454</v>
      </c>
      <c r="DH149" s="21">
        <f>EXP(-LN(2)/2)*DH148+(1-EXP(-LN(2)/2))/(LN(2)/2)*DB149*DE149*VLOOKUP('Données projet'!$B$13,Paramètres!$A$1:$I$89,3,0)*0.475*44/12</f>
        <v>5.2052515079938841E-13</v>
      </c>
      <c r="DI149" s="22">
        <f t="shared" si="123"/>
        <v>6.393548800432451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87.141599999999727</v>
      </c>
      <c r="D150" s="11">
        <f t="shared" si="140"/>
        <v>23.874558158360891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856.96683490664338</v>
      </c>
      <c r="H150" s="67">
        <f t="shared" si="110"/>
        <v>486.68647545914467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306.99999999999994</v>
      </c>
      <c r="O150" s="13">
        <f>N150*VLOOKUP('Données projet'!$B$9,Paramètres!$A$1:$I$89,3,0)*VLOOKUP('Données projet'!$B$9,Paramètres!$A$1:$I$89,5,0)</f>
        <v>277.77359999999993</v>
      </c>
      <c r="P150" s="13">
        <f t="shared" si="141"/>
        <v>66.496288176842356</v>
      </c>
      <c r="Q150" s="20">
        <f t="shared" si="108"/>
        <v>599.60338857466706</v>
      </c>
      <c r="R150" s="59">
        <f t="shared" si="109"/>
        <v>892.93672190800044</v>
      </c>
      <c r="S150" s="59">
        <f ca="1">AVERAGE(OFFSET($R$3,0,0,'Données projet'!$E$9+1,1))-AVERAGE(OFFSET($H$3,0,0,'Données projet'!$E$9+1,1))</f>
        <v>330.30341204367602</v>
      </c>
      <c r="T150" s="59">
        <f t="shared" si="142"/>
        <v>200.36653694091007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40.714627253445563</v>
      </c>
      <c r="AA150" s="21">
        <f>EXP(-LN(2)/25)*AA149+(1-EXP(-LN(2)/25))/(LN(2)/25)*Calculateur!V150*Calculateur!X150*VLOOKUP('Données projet'!$B$9,Paramètres!$A$1:$I$89,3,0)*0.475*44/12</f>
        <v>1.3659476017432806</v>
      </c>
      <c r="AB150" s="21">
        <f>EXP(-LN(2)/2)*AB149+(1-EXP(-LN(2)/2))/(LN(2)/2)*V150*Y150*VLOOKUP('Données projet'!$B$9,Paramètres!$A$1:$I$89,3,0)*0.475*44/12</f>
        <v>2.2989871721097223E-5</v>
      </c>
      <c r="AC150" s="22">
        <f t="shared" si="111"/>
        <v>42.080597845060566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971.99999999999977</v>
      </c>
      <c r="AJ150" s="13">
        <f>AI150*VLOOKUP('Données projet'!$B$10,Paramètres!$A$1:$I$89,3,0)*VLOOKUP('Données projet'!$B$10,Paramètres!$A$1:$I$89,5,0)</f>
        <v>581.25599999999986</v>
      </c>
      <c r="AK150" s="13">
        <f t="shared" si="143"/>
        <v>127.68713506014205</v>
      </c>
      <c r="AL150" s="20">
        <f t="shared" si="112"/>
        <v>1234.7426268964139</v>
      </c>
      <c r="AM150" s="59">
        <f t="shared" si="113"/>
        <v>1528.0759602297471</v>
      </c>
      <c r="AN150" s="59">
        <f ca="1">AVERAGE(OFFSET($AM$3,0,0,'Données projet'!$E$10+1,1))-AVERAGE(OFFSET($H$3,0,0,'Données projet'!$E$10+1,1))</f>
        <v>465.77577582457678</v>
      </c>
      <c r="AO150" s="59">
        <f t="shared" si="144"/>
        <v>301.15495784503042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11.399598784648505</v>
      </c>
      <c r="AV150" s="21">
        <f>EXP(-LN(2)/25)*AV149+(1-EXP(-LN(2)/25))/(LN(2)/25)*Calculateur!AQ150*Calculateur!AS150*VLOOKUP('Données projet'!$B$10,Paramètres!$A$1:$I$89,3,0)*0.475*44/12</f>
        <v>3.5399705301468893</v>
      </c>
      <c r="AW150" s="21">
        <f>EXP(-LN(2)/2)*AW149+(1-EXP(-LN(2)/2))/(LN(2)/2)*AQ150*AT150*VLOOKUP('Données projet'!$B$10,Paramètres!$A$1:$I$89,3,0)*0.475*44/12</f>
        <v>4.1827873554003782E-12</v>
      </c>
      <c r="AX150" s="21">
        <f t="shared" si="114"/>
        <v>14.939569314799579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273.00000000000023</v>
      </c>
      <c r="BE150" s="13">
        <f>BD150*VLOOKUP('Données projet'!$B$11,Paramètres!$A$1:$I$89,3,0)*VLOOKUP('Données projet'!$B$11,Paramètres!$A$1:$I$89,5,0)</f>
        <v>212.9400000000002</v>
      </c>
      <c r="BF150" s="13">
        <f t="shared" si="145"/>
        <v>52.577528895212915</v>
      </c>
      <c r="BG150" s="20">
        <f t="shared" si="115"/>
        <v>462.44302949249618</v>
      </c>
      <c r="BH150" s="59">
        <f t="shared" si="116"/>
        <v>755.77636282582944</v>
      </c>
      <c r="BI150" s="59">
        <f ca="1">AVERAGE(OFFSET($BH$3,0,0,'Données projet'!$E$11+1,1))-AVERAGE(OFFSET($H$3,0,0,'Données projet'!$E$11+1,1))</f>
        <v>219.5868031007679</v>
      </c>
      <c r="BJ150" s="59">
        <f t="shared" si="146"/>
        <v>263.3830219837742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5.8275204613260714</v>
      </c>
      <c r="BQ150" s="21">
        <f>EXP(-LN(2)/25)*BQ149+(1-EXP(-LN(2)/25))/(LN(2)/25)*Calculateur!BL150*Calculateur!BN150*VLOOKUP('Données projet'!$B$11,Paramètres!$A$1:$I$89,3,0)*0.475*44/12</f>
        <v>0.53168595856167011</v>
      </c>
      <c r="BR150" s="21">
        <f>EXP(-LN(2)/2)*BR149+(1-EXP(-LN(2)/2))/(LN(2)/2)*BL150*BO150*VLOOKUP('Données projet'!$B$11,Paramètres!$A$1:$I$89,3,0)*0.475*44/12</f>
        <v>3.9505626556403956E-13</v>
      </c>
      <c r="BS150" s="22">
        <f t="shared" si="117"/>
        <v>6.3592064198881371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243.99999999999989</v>
      </c>
      <c r="BZ150" s="13">
        <f>BY150*VLOOKUP('Données projet'!$B$12,Paramètres!$A$1:$I$89,3,0)*VLOOKUP('Données projet'!$B$12,Paramètres!$A$1:$I$89,5,0)</f>
        <v>262.64159999999987</v>
      </c>
      <c r="CA150" s="13">
        <f t="shared" si="147"/>
        <v>63.285128621471941</v>
      </c>
      <c r="CB150" s="20">
        <f t="shared" si="118"/>
        <v>567.65571901573003</v>
      </c>
      <c r="CC150" s="59">
        <f t="shared" si="119"/>
        <v>860.98905234906329</v>
      </c>
      <c r="CD150" s="59">
        <f ca="1">AVERAGE(OFFSET($CC$3,0,0,'Données projet'!$E$12+1,1))-AVERAGE(OFFSET($H$3,0,0,'Données projet'!$E$12+1,1))</f>
        <v>244.7364260963538</v>
      </c>
      <c r="CE150" s="59">
        <f t="shared" si="148"/>
        <v>270.32853612539299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6.3857188419511983</v>
      </c>
      <c r="CL150" s="21">
        <f>EXP(-LN(2)/25)*CL149+(1-EXP(-LN(2)/25))/(LN(2)/25)*Calculateur!CG150*Calculateur!CI150*VLOOKUP('Données projet'!$B$12,Paramètres!$A$1:$I$89,3,0)*0.475*44/12</f>
        <v>0.58549702634388889</v>
      </c>
      <c r="CM150" s="21">
        <f>EXP(-LN(2)/2)*CM149+(1-EXP(-LN(2)/2))/(LN(2)/2)*CG150*CJ150*VLOOKUP('Données projet'!$B$12,Paramètres!$A$1:$I$89,3,0)*0.475*44/12</f>
        <v>4.0962280015612052E-13</v>
      </c>
      <c r="CN150" s="22">
        <f t="shared" si="120"/>
        <v>6.9712158682954968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243.99999999999989</v>
      </c>
      <c r="CU150" s="17">
        <f>CT150*VLOOKUP('Données projet'!$B$13,Paramètres!$A$1:$I$89,3,0)*VLOOKUP('Données projet'!$B$13,Paramètres!$A$1:$I$89,5,0)</f>
        <v>235.99679999999987</v>
      </c>
      <c r="CV150" s="13">
        <f t="shared" si="149"/>
        <v>57.577381127598322</v>
      </c>
      <c r="CW150" s="20">
        <f t="shared" si="121"/>
        <v>511.30836546390015</v>
      </c>
      <c r="CX150" s="59">
        <f t="shared" si="122"/>
        <v>804.6416987972334</v>
      </c>
      <c r="CY150" s="59">
        <f ca="1">AVERAGE(OFFSET($CX$3,0,0,'Données projet'!$E$13+1,1))-AVERAGE(OFFSET($H$3,0,0,'Données projet'!$E$13+1,1))</f>
        <v>216.39536568500222</v>
      </c>
      <c r="CZ150" s="59">
        <f t="shared" si="150"/>
        <v>239.44686980897467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5.7378922927677465</v>
      </c>
      <c r="DG150" s="21">
        <f>EXP(-LN(2)/25)*DG149+(1-EXP(-LN(2)/25))/(LN(2)/25)*Calculateur!DB150*Calculateur!DD150*VLOOKUP('Données projet'!$B$13,Paramètres!$A$1:$I$89,3,0)*0.475*44/12</f>
        <v>0.52609877729450816</v>
      </c>
      <c r="DH150" s="21">
        <f>EXP(-LN(2)/2)*DH149+(1-EXP(-LN(2)/2))/(LN(2)/2)*DB150*DE150*VLOOKUP('Données projet'!$B$13,Paramètres!$A$1:$I$89,3,0)*0.475*44/12</f>
        <v>3.680668639083978E-13</v>
      </c>
      <c r="DI150" s="22">
        <f t="shared" si="123"/>
        <v>6.2639910700626222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87.734399999999724</v>
      </c>
      <c r="D151" s="11">
        <f t="shared" si="140"/>
        <v>24.018008692626115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862.65017236412939</v>
      </c>
      <c r="H151" s="67">
        <f t="shared" si="110"/>
        <v>487.96877847298998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306.99999999999994</v>
      </c>
      <c r="O151" s="13">
        <f>N151*VLOOKUP('Données projet'!$B$9,Paramètres!$A$1:$I$89,3,0)*VLOOKUP('Données projet'!$B$9,Paramètres!$A$1:$I$89,5,0)</f>
        <v>277.77359999999993</v>
      </c>
      <c r="P151" s="13">
        <f t="shared" si="141"/>
        <v>66.496288176842356</v>
      </c>
      <c r="Q151" s="20">
        <f t="shared" si="108"/>
        <v>599.60338857466706</v>
      </c>
      <c r="R151" s="59">
        <f t="shared" si="109"/>
        <v>892.93672190800044</v>
      </c>
      <c r="S151" s="59">
        <f ca="1">AVERAGE(OFFSET($R$3,0,0,'Données projet'!$E$9+1,1))-AVERAGE(OFFSET($H$3,0,0,'Données projet'!$E$9+1,1))</f>
        <v>330.30341204367602</v>
      </c>
      <c r="T151" s="59">
        <f t="shared" si="142"/>
        <v>200.36653694091007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39.91623824647602</v>
      </c>
      <c r="AA151" s="21">
        <f>EXP(-LN(2)/25)*AA150+(1-EXP(-LN(2)/25))/(LN(2)/25)*Calculateur!V151*Calculateur!X151*VLOOKUP('Données projet'!$B$9,Paramètres!$A$1:$I$89,3,0)*0.475*44/12</f>
        <v>1.3285956927415481</v>
      </c>
      <c r="AB151" s="21">
        <f>EXP(-LN(2)/2)*AB150+(1-EXP(-LN(2)/2))/(LN(2)/2)*V151*Y151*VLOOKUP('Données projet'!$B$9,Paramètres!$A$1:$I$89,3,0)*0.475*44/12</f>
        <v>1.625629419259669E-5</v>
      </c>
      <c r="AC151" s="22">
        <f t="shared" si="111"/>
        <v>41.244850195511766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971.99999999999977</v>
      </c>
      <c r="AJ151" s="13">
        <f>AI151*VLOOKUP('Données projet'!$B$10,Paramètres!$A$1:$I$89,3,0)*VLOOKUP('Données projet'!$B$10,Paramètres!$A$1:$I$89,5,0)</f>
        <v>581.25599999999986</v>
      </c>
      <c r="AK151" s="13">
        <f t="shared" si="143"/>
        <v>127.68713506014205</v>
      </c>
      <c r="AL151" s="20">
        <f t="shared" si="112"/>
        <v>1234.7426268964139</v>
      </c>
      <c r="AM151" s="59">
        <f t="shared" si="113"/>
        <v>1528.0759602297471</v>
      </c>
      <c r="AN151" s="59">
        <f ca="1">AVERAGE(OFFSET($AM$3,0,0,'Données projet'!$E$10+1,1))-AVERAGE(OFFSET($H$3,0,0,'Données projet'!$E$10+1,1))</f>
        <v>465.77577582457678</v>
      </c>
      <c r="AO151" s="59">
        <f t="shared" si="144"/>
        <v>301.15495784503042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11.176059605550249</v>
      </c>
      <c r="AV151" s="21">
        <f>EXP(-LN(2)/25)*AV150+(1-EXP(-LN(2)/25))/(LN(2)/25)*Calculateur!AQ151*Calculateur!AS151*VLOOKUP('Données projet'!$B$10,Paramètres!$A$1:$I$89,3,0)*0.475*44/12</f>
        <v>3.443169849841063</v>
      </c>
      <c r="AW151" s="21">
        <f>EXP(-LN(2)/2)*AW150+(1-EXP(-LN(2)/2))/(LN(2)/2)*AQ151*AT151*VLOOKUP('Données projet'!$B$10,Paramètres!$A$1:$I$89,3,0)*0.475*44/12</f>
        <v>2.957677303264953E-12</v>
      </c>
      <c r="AX151" s="21">
        <f t="shared" si="114"/>
        <v>14.619229455394269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273.00000000000023</v>
      </c>
      <c r="BE151" s="13">
        <f>BD151*VLOOKUP('Données projet'!$B$11,Paramètres!$A$1:$I$89,3,0)*VLOOKUP('Données projet'!$B$11,Paramètres!$A$1:$I$89,5,0)</f>
        <v>212.9400000000002</v>
      </c>
      <c r="BF151" s="13">
        <f t="shared" si="145"/>
        <v>52.577528895212915</v>
      </c>
      <c r="BG151" s="20">
        <f t="shared" si="115"/>
        <v>462.44302949249618</v>
      </c>
      <c r="BH151" s="59">
        <f t="shared" si="116"/>
        <v>755.77636282582944</v>
      </c>
      <c r="BI151" s="59">
        <f ca="1">AVERAGE(OFFSET($BH$3,0,0,'Données projet'!$E$11+1,1))-AVERAGE(OFFSET($H$3,0,0,'Données projet'!$E$11+1,1))</f>
        <v>219.5868031007679</v>
      </c>
      <c r="BJ151" s="59">
        <f t="shared" si="146"/>
        <v>263.3830219837742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5.7132463395159769</v>
      </c>
      <c r="BQ151" s="21">
        <f>EXP(-LN(2)/25)*BQ150+(1-EXP(-LN(2)/25))/(LN(2)/25)*Calculateur!BL151*Calculateur!BN151*VLOOKUP('Données projet'!$B$11,Paramètres!$A$1:$I$89,3,0)*0.475*44/12</f>
        <v>0.51714697806465182</v>
      </c>
      <c r="BR151" s="21">
        <f>EXP(-LN(2)/2)*BR150+(1-EXP(-LN(2)/2))/(LN(2)/2)*BL151*BO151*VLOOKUP('Données projet'!$B$11,Paramètres!$A$1:$I$89,3,0)*0.475*44/12</f>
        <v>2.7934696433056592E-13</v>
      </c>
      <c r="BS151" s="22">
        <f t="shared" si="117"/>
        <v>6.2303933175809085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243.99999999999989</v>
      </c>
      <c r="BZ151" s="13">
        <f>BY151*VLOOKUP('Données projet'!$B$12,Paramètres!$A$1:$I$89,3,0)*VLOOKUP('Données projet'!$B$12,Paramètres!$A$1:$I$89,5,0)</f>
        <v>262.64159999999987</v>
      </c>
      <c r="CA151" s="13">
        <f t="shared" si="147"/>
        <v>63.285128621471941</v>
      </c>
      <c r="CB151" s="20">
        <f t="shared" si="118"/>
        <v>567.65571901573003</v>
      </c>
      <c r="CC151" s="59">
        <f t="shared" si="119"/>
        <v>860.98905234906329</v>
      </c>
      <c r="CD151" s="59">
        <f ca="1">AVERAGE(OFFSET($CC$3,0,0,'Données projet'!$E$12+1,1))-AVERAGE(OFFSET($H$3,0,0,'Données projet'!$E$12+1,1))</f>
        <v>244.7364260963538</v>
      </c>
      <c r="CE151" s="59">
        <f t="shared" si="148"/>
        <v>270.32853612539299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6.2604987903644389</v>
      </c>
      <c r="CL151" s="21">
        <f>EXP(-LN(2)/25)*CL150+(1-EXP(-LN(2)/25))/(LN(2)/25)*Calculateur!CG151*Calculateur!CI151*VLOOKUP('Données projet'!$B$12,Paramètres!$A$1:$I$89,3,0)*0.475*44/12</f>
        <v>0.56948657936856484</v>
      </c>
      <c r="CM151" s="21">
        <f>EXP(-LN(2)/2)*CM150+(1-EXP(-LN(2)/2))/(LN(2)/2)*CG151*CJ151*VLOOKUP('Données projet'!$B$12,Paramètres!$A$1:$I$89,3,0)*0.475*44/12</f>
        <v>2.896470597190148E-13</v>
      </c>
      <c r="CN151" s="22">
        <f t="shared" si="120"/>
        <v>6.8299853697332935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243.99999999999989</v>
      </c>
      <c r="CU151" s="17">
        <f>CT151*VLOOKUP('Données projet'!$B$13,Paramètres!$A$1:$I$89,3,0)*VLOOKUP('Données projet'!$B$13,Paramètres!$A$1:$I$89,5,0)</f>
        <v>235.99679999999987</v>
      </c>
      <c r="CV151" s="13">
        <f t="shared" si="149"/>
        <v>57.577381127598322</v>
      </c>
      <c r="CW151" s="20">
        <f t="shared" si="121"/>
        <v>511.30836546390015</v>
      </c>
      <c r="CX151" s="59">
        <f t="shared" si="122"/>
        <v>804.6416987972334</v>
      </c>
      <c r="CY151" s="59">
        <f ca="1">AVERAGE(OFFSET($CX$3,0,0,'Données projet'!$E$13+1,1))-AVERAGE(OFFSET($H$3,0,0,'Données projet'!$E$13+1,1))</f>
        <v>216.39536568500222</v>
      </c>
      <c r="CZ151" s="59">
        <f t="shared" si="150"/>
        <v>239.44686980897467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5.6253757246752958</v>
      </c>
      <c r="DG151" s="21">
        <f>EXP(-LN(2)/25)*DG150+(1-EXP(-LN(2)/25))/(LN(2)/25)*Calculateur!DB151*Calculateur!DD151*VLOOKUP('Données projet'!$B$13,Paramètres!$A$1:$I$89,3,0)*0.475*44/12</f>
        <v>0.51171257856305752</v>
      </c>
      <c r="DH151" s="21">
        <f>EXP(-LN(2)/2)*DH150+(1-EXP(-LN(2)/2))/(LN(2)/2)*DB151*DE151*VLOOKUP('Données projet'!$B$13,Paramètres!$A$1:$I$89,3,0)*0.475*44/12</f>
        <v>2.602625753996942E-13</v>
      </c>
      <c r="DI151" s="22">
        <f t="shared" si="123"/>
        <v>6.1370883032386132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88.327199999999721</v>
      </c>
      <c r="D152" s="11">
        <f t="shared" si="140"/>
        <v>24.16134644843174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868.33263925104995</v>
      </c>
      <c r="H152" s="67">
        <f t="shared" si="110"/>
        <v>489.25088506435145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306.99999999999994</v>
      </c>
      <c r="O152" s="13">
        <f>N152*VLOOKUP('Données projet'!$B$9,Paramètres!$A$1:$I$89,3,0)*VLOOKUP('Données projet'!$B$9,Paramètres!$A$1:$I$89,5,0)</f>
        <v>277.77359999999993</v>
      </c>
      <c r="P152" s="13">
        <f t="shared" si="141"/>
        <v>66.496288176842356</v>
      </c>
      <c r="Q152" s="20">
        <f t="shared" si="108"/>
        <v>599.60338857466706</v>
      </c>
      <c r="R152" s="59">
        <f t="shared" si="109"/>
        <v>892.93672190800044</v>
      </c>
      <c r="S152" s="59">
        <f ca="1">AVERAGE(OFFSET($R$3,0,0,'Données projet'!$E$9+1,1))-AVERAGE(OFFSET($H$3,0,0,'Données projet'!$E$9+1,1))</f>
        <v>330.30341204367602</v>
      </c>
      <c r="T152" s="59">
        <f t="shared" si="142"/>
        <v>200.36653694091007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39.133505160963935</v>
      </c>
      <c r="AA152" s="21">
        <f>EXP(-LN(2)/25)*AA151+(1-EXP(-LN(2)/25))/(LN(2)/25)*Calculateur!V152*Calculateur!X152*VLOOKUP('Données projet'!$B$9,Paramètres!$A$1:$I$89,3,0)*0.475*44/12</f>
        <v>1.2922651736557196</v>
      </c>
      <c r="AB152" s="21">
        <f>EXP(-LN(2)/2)*AB151+(1-EXP(-LN(2)/2))/(LN(2)/2)*V152*Y152*VLOOKUP('Données projet'!$B$9,Paramètres!$A$1:$I$89,3,0)*0.475*44/12</f>
        <v>1.1494935860548611E-5</v>
      </c>
      <c r="AC152" s="22">
        <f t="shared" si="111"/>
        <v>40.425781829555518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971.99999999999977</v>
      </c>
      <c r="AJ152" s="13">
        <f>AI152*VLOOKUP('Données projet'!$B$10,Paramètres!$A$1:$I$89,3,0)*VLOOKUP('Données projet'!$B$10,Paramètres!$A$1:$I$89,5,0)</f>
        <v>581.25599999999986</v>
      </c>
      <c r="AK152" s="13">
        <f t="shared" si="143"/>
        <v>127.68713506014205</v>
      </c>
      <c r="AL152" s="20">
        <f t="shared" si="112"/>
        <v>1234.7426268964139</v>
      </c>
      <c r="AM152" s="59">
        <f t="shared" si="113"/>
        <v>1528.0759602297471</v>
      </c>
      <c r="AN152" s="59">
        <f ca="1">AVERAGE(OFFSET($AM$3,0,0,'Données projet'!$E$10+1,1))-AVERAGE(OFFSET($H$3,0,0,'Données projet'!$E$10+1,1))</f>
        <v>465.77577582457678</v>
      </c>
      <c r="AO152" s="59">
        <f t="shared" si="144"/>
        <v>301.15495784503042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10.956903893408672</v>
      </c>
      <c r="AV152" s="21">
        <f>EXP(-LN(2)/25)*AV151+(1-EXP(-LN(2)/25))/(LN(2)/25)*Calculateur!AQ152*Calculateur!AS152*VLOOKUP('Données projet'!$B$10,Paramètres!$A$1:$I$89,3,0)*0.475*44/12</f>
        <v>3.3490161892287262</v>
      </c>
      <c r="AW152" s="21">
        <f>EXP(-LN(2)/2)*AW151+(1-EXP(-LN(2)/2))/(LN(2)/2)*AQ152*AT152*VLOOKUP('Données projet'!$B$10,Paramètres!$A$1:$I$89,3,0)*0.475*44/12</f>
        <v>2.0913936777001891E-12</v>
      </c>
      <c r="AX152" s="21">
        <f t="shared" si="114"/>
        <v>14.305920082639489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273.00000000000023</v>
      </c>
      <c r="BE152" s="13">
        <f>BD152*VLOOKUP('Données projet'!$B$11,Paramètres!$A$1:$I$89,3,0)*VLOOKUP('Données projet'!$B$11,Paramètres!$A$1:$I$89,5,0)</f>
        <v>212.9400000000002</v>
      </c>
      <c r="BF152" s="13">
        <f t="shared" si="145"/>
        <v>52.577528895212915</v>
      </c>
      <c r="BG152" s="20">
        <f t="shared" si="115"/>
        <v>462.44302949249618</v>
      </c>
      <c r="BH152" s="59">
        <f t="shared" si="116"/>
        <v>755.77636282582944</v>
      </c>
      <c r="BI152" s="59">
        <f ca="1">AVERAGE(OFFSET($BH$3,0,0,'Données projet'!$E$11+1,1))-AVERAGE(OFFSET($H$3,0,0,'Données projet'!$E$11+1,1))</f>
        <v>219.5868031007679</v>
      </c>
      <c r="BJ152" s="59">
        <f t="shared" si="146"/>
        <v>263.3830219837742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5.6012130635342467</v>
      </c>
      <c r="BQ152" s="21">
        <f>EXP(-LN(2)/25)*BQ151+(1-EXP(-LN(2)/25))/(LN(2)/25)*Calculateur!BL152*Calculateur!BN152*VLOOKUP('Données projet'!$B$11,Paramètres!$A$1:$I$89,3,0)*0.475*44/12</f>
        <v>0.50300556675389629</v>
      </c>
      <c r="BR152" s="21">
        <f>EXP(-LN(2)/2)*BR151+(1-EXP(-LN(2)/2))/(LN(2)/2)*BL152*BO152*VLOOKUP('Données projet'!$B$11,Paramètres!$A$1:$I$89,3,0)*0.475*44/12</f>
        <v>1.9752813278201978E-13</v>
      </c>
      <c r="BS152" s="22">
        <f t="shared" si="117"/>
        <v>6.1042186302883401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243.99999999999989</v>
      </c>
      <c r="BZ152" s="13">
        <f>BY152*VLOOKUP('Données projet'!$B$12,Paramètres!$A$1:$I$89,3,0)*VLOOKUP('Données projet'!$B$12,Paramètres!$A$1:$I$89,5,0)</f>
        <v>262.64159999999987</v>
      </c>
      <c r="CA152" s="13">
        <f t="shared" si="147"/>
        <v>63.285128621471941</v>
      </c>
      <c r="CB152" s="20">
        <f t="shared" si="118"/>
        <v>567.65571901573003</v>
      </c>
      <c r="CC152" s="59">
        <f t="shared" si="119"/>
        <v>860.98905234906329</v>
      </c>
      <c r="CD152" s="59">
        <f ca="1">AVERAGE(OFFSET($CC$3,0,0,'Données projet'!$E$12+1,1))-AVERAGE(OFFSET($H$3,0,0,'Données projet'!$E$12+1,1))</f>
        <v>244.7364260963538</v>
      </c>
      <c r="CE152" s="59">
        <f t="shared" si="148"/>
        <v>270.32853612539299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6.1377342276126061</v>
      </c>
      <c r="CL152" s="21">
        <f>EXP(-LN(2)/25)*CL151+(1-EXP(-LN(2)/25))/(LN(2)/25)*Calculateur!CG152*Calculateur!CI152*VLOOKUP('Données projet'!$B$12,Paramètres!$A$1:$I$89,3,0)*0.475*44/12</f>
        <v>0.55391393890773377</v>
      </c>
      <c r="CM152" s="21">
        <f>EXP(-LN(2)/2)*CM151+(1-EXP(-LN(2)/2))/(LN(2)/2)*CG152*CJ152*VLOOKUP('Données projet'!$B$12,Paramètres!$A$1:$I$89,3,0)*0.475*44/12</f>
        <v>2.0481140007806026E-13</v>
      </c>
      <c r="CN152" s="22">
        <f t="shared" si="120"/>
        <v>6.6916481665205447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243.99999999999989</v>
      </c>
      <c r="CU152" s="17">
        <f>CT152*VLOOKUP('Données projet'!$B$13,Paramètres!$A$1:$I$89,3,0)*VLOOKUP('Données projet'!$B$13,Paramètres!$A$1:$I$89,5,0)</f>
        <v>235.99679999999987</v>
      </c>
      <c r="CV152" s="13">
        <f t="shared" si="149"/>
        <v>57.577381127598322</v>
      </c>
      <c r="CW152" s="20">
        <f t="shared" si="121"/>
        <v>511.30836546390015</v>
      </c>
      <c r="CX152" s="59">
        <f t="shared" si="122"/>
        <v>804.6416987972334</v>
      </c>
      <c r="CY152" s="59">
        <f ca="1">AVERAGE(OFFSET($CX$3,0,0,'Données projet'!$E$13+1,1))-AVERAGE(OFFSET($H$3,0,0,'Données projet'!$E$13+1,1))</f>
        <v>216.39536568500222</v>
      </c>
      <c r="CZ152" s="59">
        <f t="shared" si="150"/>
        <v>239.44686980897467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5.5150655378548086</v>
      </c>
      <c r="DG152" s="21">
        <f>EXP(-LN(2)/25)*DG151+(1-EXP(-LN(2)/25))/(LN(2)/25)*Calculateur!DB152*Calculateur!DD152*VLOOKUP('Données projet'!$B$13,Paramètres!$A$1:$I$89,3,0)*0.475*44/12</f>
        <v>0.49771977119245575</v>
      </c>
      <c r="DH152" s="21">
        <f>EXP(-LN(2)/2)*DH151+(1-EXP(-LN(2)/2))/(LN(2)/2)*DB152*DE152*VLOOKUP('Données projet'!$B$13,Paramètres!$A$1:$I$89,3,0)*0.475*44/12</f>
        <v>1.840334319541989E-13</v>
      </c>
      <c r="DI152" s="22">
        <f t="shared" si="123"/>
        <v>6.0127853090474481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88.919999999999717</v>
      </c>
      <c r="D153" s="11">
        <f t="shared" si="140"/>
        <v>24.304572270466412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874.01424208780873</v>
      </c>
      <c r="H153" s="67">
        <f t="shared" si="110"/>
        <v>490.53279670439514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306.99999999999994</v>
      </c>
      <c r="O153" s="13">
        <f>N153*VLOOKUP('Données projet'!$B$9,Paramètres!$A$1:$I$89,3,0)*VLOOKUP('Données projet'!$B$9,Paramètres!$A$1:$I$89,5,0)</f>
        <v>277.77359999999993</v>
      </c>
      <c r="P153" s="13">
        <f t="shared" si="141"/>
        <v>66.496288176842356</v>
      </c>
      <c r="Q153" s="20">
        <f t="shared" si="108"/>
        <v>599.60338857466706</v>
      </c>
      <c r="R153" s="59">
        <f t="shared" si="109"/>
        <v>892.93672190800044</v>
      </c>
      <c r="S153" s="59">
        <f ca="1">AVERAGE(OFFSET($R$3,0,0,'Données projet'!$E$9+1,1))-AVERAGE(OFFSET($H$3,0,0,'Données projet'!$E$9+1,1))</f>
        <v>330.30341204367602</v>
      </c>
      <c r="T153" s="59">
        <f t="shared" si="142"/>
        <v>200.36653694091007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38.366120993838706</v>
      </c>
      <c r="AA153" s="21">
        <f>EXP(-LN(2)/25)*AA152+(1-EXP(-LN(2)/25))/(LN(2)/25)*Calculateur!V153*Calculateur!X153*VLOOKUP('Données projet'!$B$9,Paramètres!$A$1:$I$89,3,0)*0.475*44/12</f>
        <v>1.2569281145248319</v>
      </c>
      <c r="AB153" s="21">
        <f>EXP(-LN(2)/2)*AB152+(1-EXP(-LN(2)/2))/(LN(2)/2)*V153*Y153*VLOOKUP('Données projet'!$B$9,Paramètres!$A$1:$I$89,3,0)*0.475*44/12</f>
        <v>8.1281470962983452E-6</v>
      </c>
      <c r="AC153" s="22">
        <f t="shared" si="111"/>
        <v>39.623057236510633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971.99999999999977</v>
      </c>
      <c r="AJ153" s="13">
        <f>AI153*VLOOKUP('Données projet'!$B$10,Paramètres!$A$1:$I$89,3,0)*VLOOKUP('Données projet'!$B$10,Paramètres!$A$1:$I$89,5,0)</f>
        <v>581.25599999999986</v>
      </c>
      <c r="AK153" s="13">
        <f t="shared" si="143"/>
        <v>127.68713506014205</v>
      </c>
      <c r="AL153" s="20">
        <f t="shared" si="112"/>
        <v>1234.7426268964139</v>
      </c>
      <c r="AM153" s="59">
        <f t="shared" si="113"/>
        <v>1528.0759602297471</v>
      </c>
      <c r="AN153" s="59">
        <f ca="1">AVERAGE(OFFSET($AM$3,0,0,'Données projet'!$E$10+1,1))-AVERAGE(OFFSET($H$3,0,0,'Données projet'!$E$10+1,1))</f>
        <v>465.77577582457678</v>
      </c>
      <c r="AO153" s="59">
        <f t="shared" si="144"/>
        <v>301.15495784503042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10.742045691110407</v>
      </c>
      <c r="AV153" s="21">
        <f>EXP(-LN(2)/25)*AV152+(1-EXP(-LN(2)/25))/(LN(2)/25)*Calculateur!AQ153*Calculateur!AS153*VLOOKUP('Données projet'!$B$10,Paramètres!$A$1:$I$89,3,0)*0.475*44/12</f>
        <v>3.2574371654171594</v>
      </c>
      <c r="AW153" s="21">
        <f>EXP(-LN(2)/2)*AW152+(1-EXP(-LN(2)/2))/(LN(2)/2)*AQ153*AT153*VLOOKUP('Données projet'!$B$10,Paramètres!$A$1:$I$89,3,0)*0.475*44/12</f>
        <v>1.4788386516324765E-12</v>
      </c>
      <c r="AX153" s="21">
        <f t="shared" si="114"/>
        <v>13.999482856529047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273.00000000000023</v>
      </c>
      <c r="BE153" s="13">
        <f>BD153*VLOOKUP('Données projet'!$B$11,Paramètres!$A$1:$I$89,3,0)*VLOOKUP('Données projet'!$B$11,Paramètres!$A$1:$I$89,5,0)</f>
        <v>212.9400000000002</v>
      </c>
      <c r="BF153" s="13">
        <f t="shared" si="145"/>
        <v>52.577528895212915</v>
      </c>
      <c r="BG153" s="20">
        <f t="shared" si="115"/>
        <v>462.44302949249618</v>
      </c>
      <c r="BH153" s="59">
        <f t="shared" si="116"/>
        <v>755.77636282582944</v>
      </c>
      <c r="BI153" s="59">
        <f ca="1">AVERAGE(OFFSET($BH$3,0,0,'Données projet'!$E$11+1,1))-AVERAGE(OFFSET($H$3,0,0,'Données projet'!$E$11+1,1))</f>
        <v>219.5868031007679</v>
      </c>
      <c r="BJ153" s="59">
        <f t="shared" si="146"/>
        <v>263.3830219837742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5.4913766917609674</v>
      </c>
      <c r="BQ153" s="21">
        <f>EXP(-LN(2)/25)*BQ152+(1-EXP(-LN(2)/25))/(LN(2)/25)*Calculateur!BL153*Calculateur!BN153*VLOOKUP('Données projet'!$B$11,Paramètres!$A$1:$I$89,3,0)*0.475*44/12</f>
        <v>0.48925085307909788</v>
      </c>
      <c r="BR153" s="21">
        <f>EXP(-LN(2)/2)*BR152+(1-EXP(-LN(2)/2))/(LN(2)/2)*BL153*BO153*VLOOKUP('Données projet'!$B$11,Paramètres!$A$1:$I$89,3,0)*0.475*44/12</f>
        <v>1.3967348216528296E-13</v>
      </c>
      <c r="BS153" s="22">
        <f t="shared" si="117"/>
        <v>5.9806275448402051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243.99999999999989</v>
      </c>
      <c r="BZ153" s="13">
        <f>BY153*VLOOKUP('Données projet'!$B$12,Paramètres!$A$1:$I$89,3,0)*VLOOKUP('Données projet'!$B$12,Paramètres!$A$1:$I$89,5,0)</f>
        <v>262.64159999999987</v>
      </c>
      <c r="CA153" s="13">
        <f t="shared" si="147"/>
        <v>63.285128621471941</v>
      </c>
      <c r="CB153" s="20">
        <f t="shared" si="118"/>
        <v>567.65571901573003</v>
      </c>
      <c r="CC153" s="59">
        <f t="shared" si="119"/>
        <v>860.98905234906329</v>
      </c>
      <c r="CD153" s="59">
        <f ca="1">AVERAGE(OFFSET($CC$3,0,0,'Données projet'!$E$12+1,1))-AVERAGE(OFFSET($H$3,0,0,'Données projet'!$E$12+1,1))</f>
        <v>244.7364260963538</v>
      </c>
      <c r="CE153" s="59">
        <f t="shared" si="148"/>
        <v>270.32853612539299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6.017377003057347</v>
      </c>
      <c r="CL153" s="21">
        <f>EXP(-LN(2)/25)*CL152+(1-EXP(-LN(2)/25))/(LN(2)/25)*Calculateur!CG153*Calculateur!CI153*VLOOKUP('Données projet'!$B$12,Paramètres!$A$1:$I$89,3,0)*0.475*44/12</f>
        <v>0.53876713311923374</v>
      </c>
      <c r="CM153" s="21">
        <f>EXP(-LN(2)/2)*CM152+(1-EXP(-LN(2)/2))/(LN(2)/2)*CG153*CJ153*VLOOKUP('Données projet'!$B$12,Paramètres!$A$1:$I$89,3,0)*0.475*44/12</f>
        <v>1.448235298595074E-13</v>
      </c>
      <c r="CN153" s="22">
        <f t="shared" si="120"/>
        <v>6.5561441361767256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243.99999999999989</v>
      </c>
      <c r="CU153" s="17">
        <f>CT153*VLOOKUP('Données projet'!$B$13,Paramètres!$A$1:$I$89,3,0)*VLOOKUP('Données projet'!$B$13,Paramètres!$A$1:$I$89,5,0)</f>
        <v>235.99679999999987</v>
      </c>
      <c r="CV153" s="13">
        <f t="shared" si="149"/>
        <v>57.577381127598322</v>
      </c>
      <c r="CW153" s="20">
        <f t="shared" si="121"/>
        <v>511.30836546390015</v>
      </c>
      <c r="CX153" s="59">
        <f t="shared" si="122"/>
        <v>804.6416987972334</v>
      </c>
      <c r="CY153" s="59">
        <f ca="1">AVERAGE(OFFSET($CX$3,0,0,'Données projet'!$E$13+1,1))-AVERAGE(OFFSET($H$3,0,0,'Données projet'!$E$13+1,1))</f>
        <v>216.39536568500222</v>
      </c>
      <c r="CZ153" s="59">
        <f t="shared" si="150"/>
        <v>239.44686980897467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5.4069184665153003</v>
      </c>
      <c r="DG153" s="21">
        <f>EXP(-LN(2)/25)*DG152+(1-EXP(-LN(2)/25))/(LN(2)/25)*Calculateur!DB153*Calculateur!DD153*VLOOKUP('Données projet'!$B$13,Paramètres!$A$1:$I$89,3,0)*0.475*44/12</f>
        <v>0.48410959787525282</v>
      </c>
      <c r="DH153" s="21">
        <f>EXP(-LN(2)/2)*DH152+(1-EXP(-LN(2)/2))/(LN(2)/2)*DB153*DE153*VLOOKUP('Données projet'!$B$13,Paramètres!$A$1:$I$89,3,0)*0.475*44/12</f>
        <v>1.301312876998471E-13</v>
      </c>
      <c r="DI153" s="22">
        <f t="shared" si="123"/>
        <v>5.8910280643906834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89.512799999999714</v>
      </c>
      <c r="D154" s="11">
        <f t="shared" si="140"/>
        <v>24.447686991505069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879.69498730284397</v>
      </c>
      <c r="H154" s="67">
        <f t="shared" si="110"/>
        <v>491.81451484353744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306.99999999999994</v>
      </c>
      <c r="O154" s="13">
        <f>N154*VLOOKUP('Données projet'!$B$9,Paramètres!$A$1:$I$89,3,0)*VLOOKUP('Données projet'!$B$9,Paramètres!$A$1:$I$89,5,0)</f>
        <v>277.77359999999993</v>
      </c>
      <c r="P154" s="13">
        <f t="shared" si="141"/>
        <v>66.496288176842356</v>
      </c>
      <c r="Q154" s="20">
        <f t="shared" ref="Q154:Q203" si="162">(O154+P154)*0.475*44/12</f>
        <v>599.60338857466706</v>
      </c>
      <c r="R154" s="59">
        <f t="shared" si="109"/>
        <v>892.93672190800044</v>
      </c>
      <c r="S154" s="59">
        <f ca="1">AVERAGE(OFFSET($R$3,0,0,'Données projet'!$E$9+1,1))-AVERAGE(OFFSET($H$3,0,0,'Données projet'!$E$9+1,1))</f>
        <v>330.30341204367602</v>
      </c>
      <c r="T154" s="59">
        <f t="shared" si="142"/>
        <v>200.36653694091007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37.613784762172678</v>
      </c>
      <c r="AA154" s="21">
        <f>EXP(-LN(2)/25)*AA153+(1-EXP(-LN(2)/25))/(LN(2)/25)*Calculateur!V154*Calculateur!X154*VLOOKUP('Données projet'!$B$9,Paramètres!$A$1:$I$89,3,0)*0.475*44/12</f>
        <v>1.2225573491341735</v>
      </c>
      <c r="AB154" s="21">
        <f>EXP(-LN(2)/2)*AB153+(1-EXP(-LN(2)/2))/(LN(2)/2)*V154*Y154*VLOOKUP('Données projet'!$B$9,Paramètres!$A$1:$I$89,3,0)*0.475*44/12</f>
        <v>5.7474679302743056E-6</v>
      </c>
      <c r="AC154" s="22">
        <f t="shared" ref="AC154:AC203" si="163">SUM(Z154:AB154)</f>
        <v>38.836347858774779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971.99999999999977</v>
      </c>
      <c r="AJ154" s="13">
        <f>AI154*VLOOKUP('Données projet'!$B$10,Paramètres!$A$1:$I$89,3,0)*VLOOKUP('Données projet'!$B$10,Paramètres!$A$1:$I$89,5,0)</f>
        <v>581.25599999999986</v>
      </c>
      <c r="AK154" s="13">
        <f t="shared" ref="AK154:AK203" si="164">EXP(-1.0587+0.8836*LN(AJ154)+0.284)</f>
        <v>127.68713506014205</v>
      </c>
      <c r="AL154" s="20">
        <f t="shared" ref="AL154:AL203" si="165">(AJ154+AK154)*0.475*44/12</f>
        <v>1234.7426268964139</v>
      </c>
      <c r="AM154" s="59">
        <f t="shared" si="113"/>
        <v>1528.0759602297471</v>
      </c>
      <c r="AN154" s="59">
        <f ca="1">AVERAGE(OFFSET($AM$3,0,0,'Données projet'!$E$10+1,1))-AVERAGE(OFFSET($H$3,0,0,'Données projet'!$E$10+1,1))</f>
        <v>465.77577582457678</v>
      </c>
      <c r="AO154" s="59">
        <f t="shared" si="144"/>
        <v>301.15495784503042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10.531400727108647</v>
      </c>
      <c r="AV154" s="21">
        <f>EXP(-LN(2)/25)*AV153+(1-EXP(-LN(2)/25))/(LN(2)/25)*Calculateur!AQ154*Calculateur!AS154*VLOOKUP('Données projet'!$B$10,Paramètres!$A$1:$I$89,3,0)*0.475*44/12</f>
        <v>3.1683623748276517</v>
      </c>
      <c r="AW154" s="21">
        <f>EXP(-LN(2)/2)*AW153+(1-EXP(-LN(2)/2))/(LN(2)/2)*AQ154*AT154*VLOOKUP('Données projet'!$B$10,Paramètres!$A$1:$I$89,3,0)*0.475*44/12</f>
        <v>1.0456968388500945E-12</v>
      </c>
      <c r="AX154" s="21">
        <f t="shared" ref="AX154:AX203" si="166">SUM(AU154:AW154)</f>
        <v>13.699763101937345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273.00000000000023</v>
      </c>
      <c r="BE154" s="13">
        <f>BD154*VLOOKUP('Données projet'!$B$11,Paramètres!$A$1:$I$89,3,0)*VLOOKUP('Données projet'!$B$11,Paramètres!$A$1:$I$89,5,0)</f>
        <v>212.9400000000002</v>
      </c>
      <c r="BF154" s="13">
        <f t="shared" ref="BF154:BF203" si="167">EXP(-1.0587+0.8836*LN(BE154)+0.284)</f>
        <v>52.577528895212915</v>
      </c>
      <c r="BG154" s="20">
        <f t="shared" ref="BG154:BG203" si="168">(BE154+BF154)*0.475*44/12</f>
        <v>462.44302949249618</v>
      </c>
      <c r="BH154" s="59">
        <f t="shared" si="116"/>
        <v>755.77636282582944</v>
      </c>
      <c r="BI154" s="59">
        <f ca="1">AVERAGE(OFFSET($BH$3,0,0,'Données projet'!$E$11+1,1))-AVERAGE(OFFSET($H$3,0,0,'Données projet'!$E$11+1,1))</f>
        <v>219.5868031007679</v>
      </c>
      <c r="BJ154" s="59">
        <f t="shared" si="146"/>
        <v>263.3830219837742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5.3836941442445898</v>
      </c>
      <c r="BQ154" s="21">
        <f>EXP(-LN(2)/25)*BQ153+(1-EXP(-LN(2)/25))/(LN(2)/25)*Calculateur!BL154*Calculateur!BN154*VLOOKUP('Données projet'!$B$11,Paramètres!$A$1:$I$89,3,0)*0.475*44/12</f>
        <v>0.47587226277306577</v>
      </c>
      <c r="BR154" s="21">
        <f>EXP(-LN(2)/2)*BR153+(1-EXP(-LN(2)/2))/(LN(2)/2)*BL154*BO154*VLOOKUP('Données projet'!$B$11,Paramètres!$A$1:$I$89,3,0)*0.475*44/12</f>
        <v>9.8764066391009889E-14</v>
      </c>
      <c r="BS154" s="22">
        <f t="shared" ref="BS154:BS203" si="169">SUM(BP154:BR154)</f>
        <v>5.8595664070177538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243.99999999999989</v>
      </c>
      <c r="BZ154" s="13">
        <f>BY154*VLOOKUP('Données projet'!$B$12,Paramètres!$A$1:$I$89,3,0)*VLOOKUP('Données projet'!$B$12,Paramètres!$A$1:$I$89,5,0)</f>
        <v>262.64159999999987</v>
      </c>
      <c r="CA154" s="13">
        <f t="shared" ref="CA154:CA203" si="170">EXP(-1.0587+0.8836*LN(BZ154)+0.284)</f>
        <v>63.285128621471941</v>
      </c>
      <c r="CB154" s="20">
        <f t="shared" ref="CB154:CB203" si="171">(BZ154+CA154)*0.475*44/12</f>
        <v>567.65571901573003</v>
      </c>
      <c r="CC154" s="59">
        <f t="shared" si="119"/>
        <v>860.98905234906329</v>
      </c>
      <c r="CD154" s="59">
        <f ca="1">AVERAGE(OFFSET($CC$3,0,0,'Données projet'!$E$12+1,1))-AVERAGE(OFFSET($H$3,0,0,'Données projet'!$E$12+1,1))</f>
        <v>244.7364260963538</v>
      </c>
      <c r="CE154" s="59">
        <f t="shared" si="148"/>
        <v>270.32853612539299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5.8993799102649582</v>
      </c>
      <c r="CL154" s="21">
        <f>EXP(-LN(2)/25)*CL153+(1-EXP(-LN(2)/25))/(LN(2)/25)*Calculateur!CG154*Calculateur!CI154*VLOOKUP('Données projet'!$B$12,Paramètres!$A$1:$I$89,3,0)*0.475*44/12</f>
        <v>0.52403451753155617</v>
      </c>
      <c r="CM154" s="21">
        <f>EXP(-LN(2)/2)*CM153+(1-EXP(-LN(2)/2))/(LN(2)/2)*CG154*CJ154*VLOOKUP('Données projet'!$B$12,Paramètres!$A$1:$I$89,3,0)*0.475*44/12</f>
        <v>1.0240570003903013E-13</v>
      </c>
      <c r="CN154" s="22">
        <f t="shared" ref="CN154:CN203" si="172">SUM(CK154:CM154)</f>
        <v>6.4234144277966161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243.99999999999989</v>
      </c>
      <c r="CU154" s="17">
        <f>CT154*VLOOKUP('Données projet'!$B$13,Paramètres!$A$1:$I$89,3,0)*VLOOKUP('Données projet'!$B$13,Paramètres!$A$1:$I$89,5,0)</f>
        <v>235.99679999999987</v>
      </c>
      <c r="CV154" s="13">
        <f t="shared" ref="CV154:CV203" si="173">EXP(-1.0587+0.8836*LN(CU154)+0.284)</f>
        <v>57.577381127598322</v>
      </c>
      <c r="CW154" s="20">
        <f t="shared" ref="CW154:CW203" si="174">(CU154+CV154)*0.475*44/12</f>
        <v>511.30836546390015</v>
      </c>
      <c r="CX154" s="59">
        <f t="shared" si="122"/>
        <v>804.6416987972334</v>
      </c>
      <c r="CY154" s="59">
        <f ca="1">AVERAGE(OFFSET($CX$3,0,0,'Données projet'!$E$13+1,1))-AVERAGE(OFFSET($H$3,0,0,'Données projet'!$E$13+1,1))</f>
        <v>216.39536568500222</v>
      </c>
      <c r="CZ154" s="59">
        <f t="shared" si="150"/>
        <v>239.44686980897467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5.3008920932815595</v>
      </c>
      <c r="DG154" s="21">
        <f>EXP(-LN(2)/25)*DG153+(1-EXP(-LN(2)/25))/(LN(2)/25)*Calculateur!DB154*Calculateur!DD154*VLOOKUP('Données projet'!$B$13,Paramètres!$A$1:$I$89,3,0)*0.475*44/12</f>
        <v>0.47087159546313673</v>
      </c>
      <c r="DH154" s="21">
        <f>EXP(-LN(2)/2)*DH153+(1-EXP(-LN(2)/2))/(LN(2)/2)*DB154*DE154*VLOOKUP('Données projet'!$B$13,Paramètres!$A$1:$I$89,3,0)*0.475*44/12</f>
        <v>9.201671597709945E-14</v>
      </c>
      <c r="DI154" s="22">
        <f t="shared" ref="DI154:DI203" si="175">SUM(DF154:DH154)</f>
        <v>5.7717636887447883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90.105599999999711</v>
      </c>
      <c r="D155" s="11">
        <f t="shared" si="140"/>
        <v>24.590691432654811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885.37488123452613</v>
      </c>
      <c r="H155" s="67">
        <f t="shared" si="110"/>
        <v>493.09604091187327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306.99999999999994</v>
      </c>
      <c r="O155" s="13">
        <f>N155*VLOOKUP('Données projet'!$B$9,Paramètres!$A$1:$I$89,3,0)*VLOOKUP('Données projet'!$B$9,Paramètres!$A$1:$I$89,5,0)</f>
        <v>277.77359999999993</v>
      </c>
      <c r="P155" s="13">
        <f t="shared" si="141"/>
        <v>66.496288176842356</v>
      </c>
      <c r="Q155" s="20">
        <f t="shared" si="162"/>
        <v>599.60338857466706</v>
      </c>
      <c r="R155" s="59">
        <f t="shared" si="109"/>
        <v>892.93672190800044</v>
      </c>
      <c r="S155" s="59">
        <f ca="1">AVERAGE(OFFSET($R$3,0,0,'Données projet'!$E$9+1,1))-AVERAGE(OFFSET($H$3,0,0,'Données projet'!$E$9+1,1))</f>
        <v>330.30341204367602</v>
      </c>
      <c r="T155" s="59">
        <f t="shared" si="142"/>
        <v>200.36653694091007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36.876201385129825</v>
      </c>
      <c r="AA155" s="21">
        <f>EXP(-LN(2)/25)*AA154+(1-EXP(-LN(2)/25))/(LN(2)/25)*Calculateur!V155*Calculateur!X155*VLOOKUP('Données projet'!$B$9,Paramètres!$A$1:$I$89,3,0)*0.475*44/12</f>
        <v>1.1891264541306026</v>
      </c>
      <c r="AB155" s="21">
        <f>EXP(-LN(2)/2)*AB154+(1-EXP(-LN(2)/2))/(LN(2)/2)*V155*Y155*VLOOKUP('Données projet'!$B$9,Paramètres!$A$1:$I$89,3,0)*0.475*44/12</f>
        <v>4.0640735481491726E-6</v>
      </c>
      <c r="AC155" s="22">
        <f t="shared" si="163"/>
        <v>38.065331903333977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971.99999999999977</v>
      </c>
      <c r="AJ155" s="13">
        <f>AI155*VLOOKUP('Données projet'!$B$10,Paramètres!$A$1:$I$89,3,0)*VLOOKUP('Données projet'!$B$10,Paramètres!$A$1:$I$89,5,0)</f>
        <v>581.25599999999986</v>
      </c>
      <c r="AK155" s="13">
        <f t="shared" si="164"/>
        <v>127.68713506014205</v>
      </c>
      <c r="AL155" s="20">
        <f t="shared" si="165"/>
        <v>1234.7426268964139</v>
      </c>
      <c r="AM155" s="59">
        <f t="shared" si="113"/>
        <v>1528.0759602297471</v>
      </c>
      <c r="AN155" s="59">
        <f ca="1">AVERAGE(OFFSET($AM$3,0,0,'Données projet'!$E$10+1,1))-AVERAGE(OFFSET($H$3,0,0,'Données projet'!$E$10+1,1))</f>
        <v>465.77577582457678</v>
      </c>
      <c r="AO155" s="59">
        <f t="shared" si="144"/>
        <v>301.15495784503042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10.32488638237022</v>
      </c>
      <c r="AV155" s="21">
        <f>EXP(-LN(2)/25)*AV154+(1-EXP(-LN(2)/25))/(LN(2)/25)*Calculateur!AQ155*Calculateur!AS155*VLOOKUP('Données projet'!$B$10,Paramètres!$A$1:$I$89,3,0)*0.475*44/12</f>
        <v>3.0817233390710537</v>
      </c>
      <c r="AW155" s="21">
        <f>EXP(-LN(2)/2)*AW154+(1-EXP(-LN(2)/2))/(LN(2)/2)*AQ155*AT155*VLOOKUP('Données projet'!$B$10,Paramètres!$A$1:$I$89,3,0)*0.475*44/12</f>
        <v>7.3941932581623825E-13</v>
      </c>
      <c r="AX155" s="21">
        <f t="shared" si="166"/>
        <v>13.406609721442013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273.00000000000023</v>
      </c>
      <c r="BE155" s="13">
        <f>BD155*VLOOKUP('Données projet'!$B$11,Paramètres!$A$1:$I$89,3,0)*VLOOKUP('Données projet'!$B$11,Paramètres!$A$1:$I$89,5,0)</f>
        <v>212.9400000000002</v>
      </c>
      <c r="BF155" s="13">
        <f t="shared" si="167"/>
        <v>52.577528895212915</v>
      </c>
      <c r="BG155" s="20">
        <f t="shared" si="168"/>
        <v>462.44302949249618</v>
      </c>
      <c r="BH155" s="59">
        <f t="shared" si="116"/>
        <v>755.77636282582944</v>
      </c>
      <c r="BI155" s="59">
        <f ca="1">AVERAGE(OFFSET($BH$3,0,0,'Données projet'!$E$11+1,1))-AVERAGE(OFFSET($H$3,0,0,'Données projet'!$E$11+1,1))</f>
        <v>219.5868031007679</v>
      </c>
      <c r="BJ155" s="59">
        <f t="shared" si="146"/>
        <v>263.3830219837742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5.2781231858051401</v>
      </c>
      <c r="BQ155" s="21">
        <f>EXP(-LN(2)/25)*BQ154+(1-EXP(-LN(2)/25))/(LN(2)/25)*Calculateur!BL155*Calculateur!BN155*VLOOKUP('Données projet'!$B$11,Paramètres!$A$1:$I$89,3,0)*0.475*44/12</f>
        <v>0.46285951072250159</v>
      </c>
      <c r="BR155" s="21">
        <f>EXP(-LN(2)/2)*BR154+(1-EXP(-LN(2)/2))/(LN(2)/2)*BL155*BO155*VLOOKUP('Données projet'!$B$11,Paramètres!$A$1:$I$89,3,0)*0.475*44/12</f>
        <v>6.9836741082641481E-14</v>
      </c>
      <c r="BS155" s="22">
        <f t="shared" si="169"/>
        <v>5.7409826965277118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243.99999999999989</v>
      </c>
      <c r="BZ155" s="13">
        <f>BY155*VLOOKUP('Données projet'!$B$12,Paramètres!$A$1:$I$89,3,0)*VLOOKUP('Données projet'!$B$12,Paramètres!$A$1:$I$89,5,0)</f>
        <v>262.64159999999987</v>
      </c>
      <c r="CA155" s="13">
        <f t="shared" si="170"/>
        <v>63.285128621471941</v>
      </c>
      <c r="CB155" s="20">
        <f t="shared" si="171"/>
        <v>567.65571901573003</v>
      </c>
      <c r="CC155" s="59">
        <f t="shared" si="119"/>
        <v>860.98905234906329</v>
      </c>
      <c r="CD155" s="59">
        <f ca="1">AVERAGE(OFFSET($CC$3,0,0,'Données projet'!$E$12+1,1))-AVERAGE(OFFSET($H$3,0,0,'Données projet'!$E$12+1,1))</f>
        <v>244.7364260963538</v>
      </c>
      <c r="CE155" s="59">
        <f t="shared" si="148"/>
        <v>270.32853612539299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5.7836966684911086</v>
      </c>
      <c r="CL155" s="21">
        <f>EXP(-LN(2)/25)*CL154+(1-EXP(-LN(2)/25))/(LN(2)/25)*Calculateur!CG155*Calculateur!CI155*VLOOKUP('Données projet'!$B$12,Paramètres!$A$1:$I$89,3,0)*0.475*44/12</f>
        <v>0.5097047660918782</v>
      </c>
      <c r="CM155" s="21">
        <f>EXP(-LN(2)/2)*CM154+(1-EXP(-LN(2)/2))/(LN(2)/2)*CG155*CJ155*VLOOKUP('Données projet'!$B$12,Paramètres!$A$1:$I$89,3,0)*0.475*44/12</f>
        <v>7.2411764929753699E-14</v>
      </c>
      <c r="CN155" s="22">
        <f t="shared" si="172"/>
        <v>6.2934014345830596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243.99999999999989</v>
      </c>
      <c r="CU155" s="17">
        <f>CT155*VLOOKUP('Données projet'!$B$13,Paramètres!$A$1:$I$89,3,0)*VLOOKUP('Données projet'!$B$13,Paramètres!$A$1:$I$89,5,0)</f>
        <v>235.99679999999987</v>
      </c>
      <c r="CV155" s="13">
        <f t="shared" si="173"/>
        <v>57.577381127598322</v>
      </c>
      <c r="CW155" s="20">
        <f t="shared" si="174"/>
        <v>511.30836546390015</v>
      </c>
      <c r="CX155" s="59">
        <f t="shared" si="122"/>
        <v>804.6416987972334</v>
      </c>
      <c r="CY155" s="59">
        <f ca="1">AVERAGE(OFFSET($CX$3,0,0,'Données projet'!$E$13+1,1))-AVERAGE(OFFSET($H$3,0,0,'Données projet'!$E$13+1,1))</f>
        <v>216.39536568500222</v>
      </c>
      <c r="CZ155" s="59">
        <f t="shared" si="150"/>
        <v>239.44686980897467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5.1969448325572305</v>
      </c>
      <c r="DG155" s="21">
        <f>EXP(-LN(2)/25)*DG154+(1-EXP(-LN(2)/25))/(LN(2)/25)*Calculateur!DB155*Calculateur!DD155*VLOOKUP('Données projet'!$B$13,Paramètres!$A$1:$I$89,3,0)*0.475*44/12</f>
        <v>0.45799558692313624</v>
      </c>
      <c r="DH155" s="21">
        <f>EXP(-LN(2)/2)*DH154+(1-EXP(-LN(2)/2))/(LN(2)/2)*DB155*DE155*VLOOKUP('Données projet'!$B$13,Paramètres!$A$1:$I$89,3,0)*0.475*44/12</f>
        <v>6.5065643849923551E-14</v>
      </c>
      <c r="DI155" s="22">
        <f t="shared" si="175"/>
        <v>5.6549404194804316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90.698399999999708</v>
      </c>
      <c r="D156" s="11">
        <f t="shared" si="140"/>
        <v>24.733586403594121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891.053930133005</v>
      </c>
      <c r="H156" s="67">
        <f t="shared" si="110"/>
        <v>494.37737631959254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306.99999999999994</v>
      </c>
      <c r="O156" s="13">
        <f>N156*VLOOKUP('Données projet'!$B$9,Paramètres!$A$1:$I$89,3,0)*VLOOKUP('Données projet'!$B$9,Paramètres!$A$1:$I$89,5,0)</f>
        <v>277.77359999999993</v>
      </c>
      <c r="P156" s="13">
        <f t="shared" si="141"/>
        <v>66.496288176842356</v>
      </c>
      <c r="Q156" s="20">
        <f t="shared" si="162"/>
        <v>599.60338857466706</v>
      </c>
      <c r="R156" s="59">
        <f t="shared" si="109"/>
        <v>892.93672190800044</v>
      </c>
      <c r="S156" s="59">
        <f ca="1">AVERAGE(OFFSET($R$3,0,0,'Données projet'!$E$9+1,1))-AVERAGE(OFFSET($H$3,0,0,'Données projet'!$E$9+1,1))</f>
        <v>330.30341204367602</v>
      </c>
      <c r="T156" s="59">
        <f t="shared" si="142"/>
        <v>200.36653694091007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36.153081568229346</v>
      </c>
      <c r="AA156" s="21">
        <f>EXP(-LN(2)/25)*AA155+(1-EXP(-LN(2)/25))/(LN(2)/25)*Calculateur!V156*Calculateur!X156*VLOOKUP('Données projet'!$B$9,Paramètres!$A$1:$I$89,3,0)*0.475*44/12</f>
        <v>1.1566097287089587</v>
      </c>
      <c r="AB156" s="21">
        <f>EXP(-LN(2)/2)*AB155+(1-EXP(-LN(2)/2))/(LN(2)/2)*V156*Y156*VLOOKUP('Données projet'!$B$9,Paramètres!$A$1:$I$89,3,0)*0.475*44/12</f>
        <v>2.8737339651371528E-6</v>
      </c>
      <c r="AC156" s="22">
        <f t="shared" si="163"/>
        <v>37.309694170672266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971.99999999999977</v>
      </c>
      <c r="AJ156" s="13">
        <f>AI156*VLOOKUP('Données projet'!$B$10,Paramètres!$A$1:$I$89,3,0)*VLOOKUP('Données projet'!$B$10,Paramètres!$A$1:$I$89,5,0)</f>
        <v>581.25599999999986</v>
      </c>
      <c r="AK156" s="13">
        <f t="shared" si="164"/>
        <v>127.68713506014205</v>
      </c>
      <c r="AL156" s="20">
        <f t="shared" si="165"/>
        <v>1234.7426268964139</v>
      </c>
      <c r="AM156" s="59">
        <f t="shared" si="113"/>
        <v>1528.0759602297471</v>
      </c>
      <c r="AN156" s="59">
        <f ca="1">AVERAGE(OFFSET($AM$3,0,0,'Données projet'!$E$10+1,1))-AVERAGE(OFFSET($H$3,0,0,'Données projet'!$E$10+1,1))</f>
        <v>465.77577582457678</v>
      </c>
      <c r="AO156" s="59">
        <f t="shared" si="144"/>
        <v>301.15495784503042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10.122421657970801</v>
      </c>
      <c r="AV156" s="21">
        <f>EXP(-LN(2)/25)*AV155+(1-EXP(-LN(2)/25))/(LN(2)/25)*Calculateur!AQ156*Calculateur!AS156*VLOOKUP('Données projet'!$B$10,Paramètres!$A$1:$I$89,3,0)*0.475*44/12</f>
        <v>2.9974534523033687</v>
      </c>
      <c r="AW156" s="21">
        <f>EXP(-LN(2)/2)*AW155+(1-EXP(-LN(2)/2))/(LN(2)/2)*AQ156*AT156*VLOOKUP('Données projet'!$B$10,Paramètres!$A$1:$I$89,3,0)*0.475*44/12</f>
        <v>5.2284841942504727E-13</v>
      </c>
      <c r="AX156" s="21">
        <f t="shared" si="166"/>
        <v>13.119875110274691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273.00000000000023</v>
      </c>
      <c r="BE156" s="13">
        <f>BD156*VLOOKUP('Données projet'!$B$11,Paramètres!$A$1:$I$89,3,0)*VLOOKUP('Données projet'!$B$11,Paramètres!$A$1:$I$89,5,0)</f>
        <v>212.9400000000002</v>
      </c>
      <c r="BF156" s="13">
        <f t="shared" si="167"/>
        <v>52.577528895212915</v>
      </c>
      <c r="BG156" s="20">
        <f t="shared" si="168"/>
        <v>462.44302949249618</v>
      </c>
      <c r="BH156" s="59">
        <f t="shared" si="116"/>
        <v>755.77636282582944</v>
      </c>
      <c r="BI156" s="59">
        <f ca="1">AVERAGE(OFFSET($BH$3,0,0,'Données projet'!$E$11+1,1))-AVERAGE(OFFSET($H$3,0,0,'Données projet'!$E$11+1,1))</f>
        <v>219.5868031007679</v>
      </c>
      <c r="BJ156" s="59">
        <f t="shared" si="146"/>
        <v>263.3830219837742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5.1746224094687614</v>
      </c>
      <c r="BQ156" s="21">
        <f>EXP(-LN(2)/25)*BQ155+(1-EXP(-LN(2)/25))/(LN(2)/25)*Calculateur!BL156*Calculateur!BN156*VLOOKUP('Données projet'!$B$11,Paramètres!$A$1:$I$89,3,0)*0.475*44/12</f>
        <v>0.45020259306107097</v>
      </c>
      <c r="BR156" s="21">
        <f>EXP(-LN(2)/2)*BR155+(1-EXP(-LN(2)/2))/(LN(2)/2)*BL156*BO156*VLOOKUP('Données projet'!$B$11,Paramètres!$A$1:$I$89,3,0)*0.475*44/12</f>
        <v>4.9382033195504944E-14</v>
      </c>
      <c r="BS156" s="22">
        <f t="shared" si="169"/>
        <v>5.6248250025298825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243.99999999999989</v>
      </c>
      <c r="BZ156" s="13">
        <f>BY156*VLOOKUP('Données projet'!$B$12,Paramètres!$A$1:$I$89,3,0)*VLOOKUP('Données projet'!$B$12,Paramètres!$A$1:$I$89,5,0)</f>
        <v>262.64159999999987</v>
      </c>
      <c r="CA156" s="13">
        <f t="shared" si="170"/>
        <v>63.285128621471941</v>
      </c>
      <c r="CB156" s="20">
        <f t="shared" si="171"/>
        <v>567.65571901573003</v>
      </c>
      <c r="CC156" s="59">
        <f t="shared" si="119"/>
        <v>860.98905234906329</v>
      </c>
      <c r="CD156" s="59">
        <f ca="1">AVERAGE(OFFSET($CC$3,0,0,'Données projet'!$E$12+1,1))-AVERAGE(OFFSET($H$3,0,0,'Données projet'!$E$12+1,1))</f>
        <v>244.7364260963538</v>
      </c>
      <c r="CE156" s="59">
        <f t="shared" si="148"/>
        <v>270.32853612539299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5.6702819045286335</v>
      </c>
      <c r="CL156" s="21">
        <f>EXP(-LN(2)/25)*CL155+(1-EXP(-LN(2)/25))/(LN(2)/25)*Calculateur!CG156*Calculateur!CI156*VLOOKUP('Données projet'!$B$12,Paramètres!$A$1:$I$89,3,0)*0.475*44/12</f>
        <v>0.49576686245888707</v>
      </c>
      <c r="CM156" s="21">
        <f>EXP(-LN(2)/2)*CM155+(1-EXP(-LN(2)/2))/(LN(2)/2)*CG156*CJ156*VLOOKUP('Données projet'!$B$12,Paramètres!$A$1:$I$89,3,0)*0.475*44/12</f>
        <v>5.1202850019515065E-14</v>
      </c>
      <c r="CN156" s="22">
        <f t="shared" si="172"/>
        <v>6.1660487669875721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243.99999999999989</v>
      </c>
      <c r="CU156" s="17">
        <f>CT156*VLOOKUP('Données projet'!$B$13,Paramètres!$A$1:$I$89,3,0)*VLOOKUP('Données projet'!$B$13,Paramètres!$A$1:$I$89,5,0)</f>
        <v>235.99679999999987</v>
      </c>
      <c r="CV156" s="13">
        <f t="shared" si="173"/>
        <v>57.577381127598322</v>
      </c>
      <c r="CW156" s="20">
        <f t="shared" si="174"/>
        <v>511.30836546390015</v>
      </c>
      <c r="CX156" s="59">
        <f t="shared" si="122"/>
        <v>804.6416987972334</v>
      </c>
      <c r="CY156" s="59">
        <f ca="1">AVERAGE(OFFSET($CX$3,0,0,'Données projet'!$E$13+1,1))-AVERAGE(OFFSET($H$3,0,0,'Données projet'!$E$13+1,1))</f>
        <v>216.39536568500222</v>
      </c>
      <c r="CZ156" s="59">
        <f t="shared" si="150"/>
        <v>239.44686980897467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5.0950359142141366</v>
      </c>
      <c r="DG156" s="21">
        <f>EXP(-LN(2)/25)*DG155+(1-EXP(-LN(2)/25))/(LN(2)/25)*Calculateur!DB156*Calculateur!DD156*VLOOKUP('Données projet'!$B$13,Paramètres!$A$1:$I$89,3,0)*0.475*44/12</f>
        <v>0.44547167351378192</v>
      </c>
      <c r="DH156" s="21">
        <f>EXP(-LN(2)/2)*DH155+(1-EXP(-LN(2)/2))/(LN(2)/2)*DB156*DE156*VLOOKUP('Données projet'!$B$13,Paramètres!$A$1:$I$89,3,0)*0.475*44/12</f>
        <v>4.6008357988549725E-14</v>
      </c>
      <c r="DI156" s="22">
        <f t="shared" si="175"/>
        <v>5.5405075877279648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91.291199999999705</v>
      </c>
      <c r="D157" s="11">
        <f t="shared" si="140"/>
        <v>24.876372702805362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896.73214016200416</v>
      </c>
      <c r="H157" s="67">
        <f t="shared" si="110"/>
        <v>495.65852245738552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306.99999999999994</v>
      </c>
      <c r="O157" s="13">
        <f>N157*VLOOKUP('Données projet'!$B$9,Paramètres!$A$1:$I$89,3,0)*VLOOKUP('Données projet'!$B$9,Paramètres!$A$1:$I$89,5,0)</f>
        <v>277.77359999999993</v>
      </c>
      <c r="P157" s="13">
        <f t="shared" si="141"/>
        <v>66.496288176842356</v>
      </c>
      <c r="Q157" s="20">
        <f t="shared" si="162"/>
        <v>599.60338857466706</v>
      </c>
      <c r="R157" s="59">
        <f t="shared" si="109"/>
        <v>892.93672190800044</v>
      </c>
      <c r="S157" s="59">
        <f ca="1">AVERAGE(OFFSET($R$3,0,0,'Données projet'!$E$9+1,1))-AVERAGE(OFFSET($H$3,0,0,'Données projet'!$E$9+1,1))</f>
        <v>330.30341204367602</v>
      </c>
      <c r="T157" s="59">
        <f t="shared" si="142"/>
        <v>200.36653694091007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35.444141689878748</v>
      </c>
      <c r="AA157" s="21">
        <f>EXP(-LN(2)/25)*AA156+(1-EXP(-LN(2)/25))/(LN(2)/25)*Calculateur!V157*Calculateur!X157*VLOOKUP('Données projet'!$B$9,Paramètres!$A$1:$I$89,3,0)*0.475*44/12</f>
        <v>1.1249821748539501</v>
      </c>
      <c r="AB157" s="21">
        <f>EXP(-LN(2)/2)*AB156+(1-EXP(-LN(2)/2))/(LN(2)/2)*V157*Y157*VLOOKUP('Données projet'!$B$9,Paramètres!$A$1:$I$89,3,0)*0.475*44/12</f>
        <v>2.0320367740745863E-6</v>
      </c>
      <c r="AC157" s="22">
        <f t="shared" si="163"/>
        <v>36.569125896769471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971.99999999999977</v>
      </c>
      <c r="AJ157" s="13">
        <f>AI157*VLOOKUP('Données projet'!$B$10,Paramètres!$A$1:$I$89,3,0)*VLOOKUP('Données projet'!$B$10,Paramètres!$A$1:$I$89,5,0)</f>
        <v>581.25599999999986</v>
      </c>
      <c r="AK157" s="13">
        <f t="shared" si="164"/>
        <v>127.68713506014205</v>
      </c>
      <c r="AL157" s="20">
        <f t="shared" si="165"/>
        <v>1234.7426268964139</v>
      </c>
      <c r="AM157" s="59">
        <f t="shared" si="113"/>
        <v>1528.0759602297471</v>
      </c>
      <c r="AN157" s="59">
        <f ca="1">AVERAGE(OFFSET($AM$3,0,0,'Données projet'!$E$10+1,1))-AVERAGE(OFFSET($H$3,0,0,'Données projet'!$E$10+1,1))</f>
        <v>465.77577582457678</v>
      </c>
      <c r="AO157" s="59">
        <f t="shared" si="144"/>
        <v>301.15495784503042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9.9239271433255656</v>
      </c>
      <c r="AV157" s="21">
        <f>EXP(-LN(2)/25)*AV156+(1-EXP(-LN(2)/25))/(LN(2)/25)*Calculateur!AQ157*Calculateur!AS157*VLOOKUP('Données projet'!$B$10,Paramètres!$A$1:$I$89,3,0)*0.475*44/12</f>
        <v>2.9154879300209067</v>
      </c>
      <c r="AW157" s="21">
        <f>EXP(-LN(2)/2)*AW156+(1-EXP(-LN(2)/2))/(LN(2)/2)*AQ157*AT157*VLOOKUP('Données projet'!$B$10,Paramètres!$A$1:$I$89,3,0)*0.475*44/12</f>
        <v>3.6970966290811912E-13</v>
      </c>
      <c r="AX157" s="21">
        <f t="shared" si="166"/>
        <v>12.839415073346842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273.00000000000023</v>
      </c>
      <c r="BE157" s="13">
        <f>BD157*VLOOKUP('Données projet'!$B$11,Paramètres!$A$1:$I$89,3,0)*VLOOKUP('Données projet'!$B$11,Paramètres!$A$1:$I$89,5,0)</f>
        <v>212.9400000000002</v>
      </c>
      <c r="BF157" s="13">
        <f t="shared" si="167"/>
        <v>52.577528895212915</v>
      </c>
      <c r="BG157" s="20">
        <f t="shared" si="168"/>
        <v>462.44302949249618</v>
      </c>
      <c r="BH157" s="59">
        <f t="shared" si="116"/>
        <v>755.77636282582944</v>
      </c>
      <c r="BI157" s="59">
        <f ca="1">AVERAGE(OFFSET($BH$3,0,0,'Données projet'!$E$11+1,1))-AVERAGE(OFFSET($H$3,0,0,'Données projet'!$E$11+1,1))</f>
        <v>219.5868031007679</v>
      </c>
      <c r="BJ157" s="59">
        <f t="shared" si="146"/>
        <v>263.3830219837742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5.073151220227099</v>
      </c>
      <c r="BQ157" s="21">
        <f>EXP(-LN(2)/25)*BQ156+(1-EXP(-LN(2)/25))/(LN(2)/25)*Calculateur!BL157*Calculateur!BN157*VLOOKUP('Données projet'!$B$11,Paramètres!$A$1:$I$89,3,0)*0.475*44/12</f>
        <v>0.43789177947869057</v>
      </c>
      <c r="BR157" s="21">
        <f>EXP(-LN(2)/2)*BR156+(1-EXP(-LN(2)/2))/(LN(2)/2)*BL157*BO157*VLOOKUP('Données projet'!$B$11,Paramètres!$A$1:$I$89,3,0)*0.475*44/12</f>
        <v>3.491837054132074E-14</v>
      </c>
      <c r="BS157" s="22">
        <f t="shared" si="169"/>
        <v>5.5110429997058246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243.99999999999989</v>
      </c>
      <c r="BZ157" s="13">
        <f>BY157*VLOOKUP('Données projet'!$B$12,Paramètres!$A$1:$I$89,3,0)*VLOOKUP('Données projet'!$B$12,Paramètres!$A$1:$I$89,5,0)</f>
        <v>262.64159999999987</v>
      </c>
      <c r="CA157" s="13">
        <f t="shared" si="170"/>
        <v>63.285128621471941</v>
      </c>
      <c r="CB157" s="20">
        <f t="shared" si="171"/>
        <v>567.65571901573003</v>
      </c>
      <c r="CC157" s="59">
        <f t="shared" si="119"/>
        <v>860.98905234906329</v>
      </c>
      <c r="CD157" s="59">
        <f ca="1">AVERAGE(OFFSET($CC$3,0,0,'Données projet'!$E$12+1,1))-AVERAGE(OFFSET($H$3,0,0,'Données projet'!$E$12+1,1))</f>
        <v>244.7364260963538</v>
      </c>
      <c r="CE157" s="59">
        <f t="shared" si="148"/>
        <v>270.32853612539299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5.559091134911287</v>
      </c>
      <c r="CL157" s="21">
        <f>EXP(-LN(2)/25)*CL156+(1-EXP(-LN(2)/25))/(LN(2)/25)*Calculateur!CG157*Calculateur!CI157*VLOOKUP('Données projet'!$B$12,Paramètres!$A$1:$I$89,3,0)*0.475*44/12</f>
        <v>0.48221009153370259</v>
      </c>
      <c r="CM157" s="21">
        <f>EXP(-LN(2)/2)*CM156+(1-EXP(-LN(2)/2))/(LN(2)/2)*CG157*CJ157*VLOOKUP('Données projet'!$B$12,Paramètres!$A$1:$I$89,3,0)*0.475*44/12</f>
        <v>3.6205882464876849E-14</v>
      </c>
      <c r="CN157" s="22">
        <f t="shared" si="172"/>
        <v>6.0413012264450261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243.99999999999989</v>
      </c>
      <c r="CU157" s="17">
        <f>CT157*VLOOKUP('Données projet'!$B$13,Paramètres!$A$1:$I$89,3,0)*VLOOKUP('Données projet'!$B$13,Paramètres!$A$1:$I$89,5,0)</f>
        <v>235.99679999999987</v>
      </c>
      <c r="CV157" s="13">
        <f t="shared" si="173"/>
        <v>57.577381127598322</v>
      </c>
      <c r="CW157" s="20">
        <f t="shared" si="174"/>
        <v>511.30836546390015</v>
      </c>
      <c r="CX157" s="59">
        <f t="shared" si="122"/>
        <v>804.6416987972334</v>
      </c>
      <c r="CY157" s="59">
        <f ca="1">AVERAGE(OFFSET($CX$3,0,0,'Données projet'!$E$13+1,1))-AVERAGE(OFFSET($H$3,0,0,'Données projet'!$E$13+1,1))</f>
        <v>216.39536568500222</v>
      </c>
      <c r="CZ157" s="59">
        <f t="shared" si="150"/>
        <v>239.44686980897467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4.9951253676014487</v>
      </c>
      <c r="DG157" s="21">
        <f>EXP(-LN(2)/25)*DG156+(1-EXP(-LN(2)/25))/(LN(2)/25)*Calculateur!DB157*Calculateur!DD157*VLOOKUP('Données projet'!$B$13,Paramètres!$A$1:$I$89,3,0)*0.475*44/12</f>
        <v>0.43329022717521037</v>
      </c>
      <c r="DH157" s="21">
        <f>EXP(-LN(2)/2)*DH156+(1-EXP(-LN(2)/2))/(LN(2)/2)*DB157*DE157*VLOOKUP('Données projet'!$B$13,Paramètres!$A$1:$I$89,3,0)*0.475*44/12</f>
        <v>3.2532821924961775E-14</v>
      </c>
      <c r="DI157" s="22">
        <f t="shared" si="175"/>
        <v>5.4284155947766921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91.883999999999702</v>
      </c>
      <c r="D158" s="11">
        <f t="shared" si="140"/>
        <v>25.019051117801485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902.40951740057062</v>
      </c>
      <c r="H158" s="67">
        <f t="shared" si="110"/>
        <v>496.93948069683699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306.99999999999994</v>
      </c>
      <c r="O158" s="13">
        <f>N158*VLOOKUP('Données projet'!$B$9,Paramètres!$A$1:$I$89,3,0)*VLOOKUP('Données projet'!$B$9,Paramètres!$A$1:$I$89,5,0)</f>
        <v>277.77359999999993</v>
      </c>
      <c r="P158" s="13">
        <f t="shared" si="141"/>
        <v>66.496288176842356</v>
      </c>
      <c r="Q158" s="20">
        <f t="shared" si="162"/>
        <v>599.60338857466706</v>
      </c>
      <c r="R158" s="59">
        <f t="shared" si="109"/>
        <v>892.93672190800044</v>
      </c>
      <c r="S158" s="59">
        <f ca="1">AVERAGE(OFFSET($R$3,0,0,'Données projet'!$E$9+1,1))-AVERAGE(OFFSET($H$3,0,0,'Données projet'!$E$9+1,1))</f>
        <v>330.30341204367602</v>
      </c>
      <c r="T158" s="59">
        <f t="shared" si="142"/>
        <v>200.36653694091007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34.749103690131982</v>
      </c>
      <c r="AA158" s="21">
        <f>EXP(-LN(2)/25)*AA157+(1-EXP(-LN(2)/25))/(LN(2)/25)*Calculateur!V158*Calculateur!X158*VLOOKUP('Données projet'!$B$9,Paramètres!$A$1:$I$89,3,0)*0.475*44/12</f>
        <v>1.0942194781223276</v>
      </c>
      <c r="AB158" s="21">
        <f>EXP(-LN(2)/2)*AB157+(1-EXP(-LN(2)/2))/(LN(2)/2)*V158*Y158*VLOOKUP('Données projet'!$B$9,Paramètres!$A$1:$I$89,3,0)*0.475*44/12</f>
        <v>1.4368669825685764E-6</v>
      </c>
      <c r="AC158" s="22">
        <f t="shared" si="163"/>
        <v>35.843324605121289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971.99999999999977</v>
      </c>
      <c r="AJ158" s="13">
        <f>AI158*VLOOKUP('Données projet'!$B$10,Paramètres!$A$1:$I$89,3,0)*VLOOKUP('Données projet'!$B$10,Paramètres!$A$1:$I$89,5,0)</f>
        <v>581.25599999999986</v>
      </c>
      <c r="AK158" s="13">
        <f t="shared" si="164"/>
        <v>127.68713506014205</v>
      </c>
      <c r="AL158" s="20">
        <f t="shared" si="165"/>
        <v>1234.7426268964139</v>
      </c>
      <c r="AM158" s="59">
        <f t="shared" si="113"/>
        <v>1528.0759602297471</v>
      </c>
      <c r="AN158" s="59">
        <f ca="1">AVERAGE(OFFSET($AM$3,0,0,'Données projet'!$E$10+1,1))-AVERAGE(OFFSET($H$3,0,0,'Données projet'!$E$10+1,1))</f>
        <v>465.77577582457678</v>
      </c>
      <c r="AO158" s="59">
        <f t="shared" si="144"/>
        <v>301.15495784503042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9.7293249850428243</v>
      </c>
      <c r="AV158" s="21">
        <f>EXP(-LN(2)/25)*AV157+(1-EXP(-LN(2)/25))/(LN(2)/25)*Calculateur!AQ158*Calculateur!AS158*VLOOKUP('Données projet'!$B$10,Paramètres!$A$1:$I$89,3,0)*0.475*44/12</f>
        <v>2.8357637592556384</v>
      </c>
      <c r="AW158" s="21">
        <f>EXP(-LN(2)/2)*AW157+(1-EXP(-LN(2)/2))/(LN(2)/2)*AQ158*AT158*VLOOKUP('Données projet'!$B$10,Paramètres!$A$1:$I$89,3,0)*0.475*44/12</f>
        <v>2.6142420971252363E-13</v>
      </c>
      <c r="AX158" s="21">
        <f t="shared" si="166"/>
        <v>12.565088744298723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273.00000000000023</v>
      </c>
      <c r="BE158" s="13">
        <f>BD158*VLOOKUP('Données projet'!$B$11,Paramètres!$A$1:$I$89,3,0)*VLOOKUP('Données projet'!$B$11,Paramètres!$A$1:$I$89,5,0)</f>
        <v>212.9400000000002</v>
      </c>
      <c r="BF158" s="13">
        <f t="shared" si="167"/>
        <v>52.577528895212915</v>
      </c>
      <c r="BG158" s="20">
        <f t="shared" si="168"/>
        <v>462.44302949249618</v>
      </c>
      <c r="BH158" s="59">
        <f t="shared" si="116"/>
        <v>755.77636282582944</v>
      </c>
      <c r="BI158" s="59">
        <f ca="1">AVERAGE(OFFSET($BH$3,0,0,'Données projet'!$E$11+1,1))-AVERAGE(OFFSET($H$3,0,0,'Données projet'!$E$11+1,1))</f>
        <v>219.5868031007679</v>
      </c>
      <c r="BJ158" s="59">
        <f t="shared" si="146"/>
        <v>263.3830219837742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4.9736698191151518</v>
      </c>
      <c r="BQ158" s="21">
        <f>EXP(-LN(2)/25)*BQ157+(1-EXP(-LN(2)/25))/(LN(2)/25)*Calculateur!BL158*Calculateur!BN158*VLOOKUP('Données projet'!$B$11,Paramètres!$A$1:$I$89,3,0)*0.475*44/12</f>
        <v>0.42591760574111792</v>
      </c>
      <c r="BR158" s="21">
        <f>EXP(-LN(2)/2)*BR157+(1-EXP(-LN(2)/2))/(LN(2)/2)*BL158*BO158*VLOOKUP('Données projet'!$B$11,Paramètres!$A$1:$I$89,3,0)*0.475*44/12</f>
        <v>2.4691016597752472E-14</v>
      </c>
      <c r="BS158" s="22">
        <f t="shared" si="169"/>
        <v>5.3995874248562945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243.99999999999989</v>
      </c>
      <c r="BZ158" s="13">
        <f>BY158*VLOOKUP('Données projet'!$B$12,Paramètres!$A$1:$I$89,3,0)*VLOOKUP('Données projet'!$B$12,Paramètres!$A$1:$I$89,5,0)</f>
        <v>262.64159999999987</v>
      </c>
      <c r="CA158" s="13">
        <f t="shared" si="170"/>
        <v>63.285128621471941</v>
      </c>
      <c r="CB158" s="20">
        <f t="shared" si="171"/>
        <v>567.65571901573003</v>
      </c>
      <c r="CC158" s="59">
        <f t="shared" si="119"/>
        <v>860.98905234906329</v>
      </c>
      <c r="CD158" s="59">
        <f ca="1">AVERAGE(OFFSET($CC$3,0,0,'Données projet'!$E$12+1,1))-AVERAGE(OFFSET($H$3,0,0,'Données projet'!$E$12+1,1))</f>
        <v>244.7364260963538</v>
      </c>
      <c r="CE158" s="59">
        <f t="shared" si="148"/>
        <v>270.32853612539299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5.4500807484664637</v>
      </c>
      <c r="CL158" s="21">
        <f>EXP(-LN(2)/25)*CL157+(1-EXP(-LN(2)/25))/(LN(2)/25)*Calculateur!CG158*Calculateur!CI158*VLOOKUP('Données projet'!$B$12,Paramètres!$A$1:$I$89,3,0)*0.475*44/12</f>
        <v>0.46902403122238689</v>
      </c>
      <c r="CM158" s="21">
        <f>EXP(-LN(2)/2)*CM157+(1-EXP(-LN(2)/2))/(LN(2)/2)*CG158*CJ158*VLOOKUP('Données projet'!$B$12,Paramètres!$A$1:$I$89,3,0)*0.475*44/12</f>
        <v>2.5601425009757533E-14</v>
      </c>
      <c r="CN158" s="22">
        <f t="shared" si="172"/>
        <v>5.9191047796888761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243.99999999999989</v>
      </c>
      <c r="CU158" s="17">
        <f>CT158*VLOOKUP('Données projet'!$B$13,Paramètres!$A$1:$I$89,3,0)*VLOOKUP('Données projet'!$B$13,Paramètres!$A$1:$I$89,5,0)</f>
        <v>235.99679999999987</v>
      </c>
      <c r="CV158" s="13">
        <f t="shared" si="173"/>
        <v>57.577381127598322</v>
      </c>
      <c r="CW158" s="20">
        <f t="shared" si="174"/>
        <v>511.30836546390015</v>
      </c>
      <c r="CX158" s="59">
        <f t="shared" si="122"/>
        <v>804.6416987972334</v>
      </c>
      <c r="CY158" s="59">
        <f ca="1">AVERAGE(OFFSET($CX$3,0,0,'Données projet'!$E$13+1,1))-AVERAGE(OFFSET($H$3,0,0,'Données projet'!$E$13+1,1))</f>
        <v>216.39536568500222</v>
      </c>
      <c r="CZ158" s="59">
        <f t="shared" si="150"/>
        <v>239.44686980897467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4.8971740058684192</v>
      </c>
      <c r="DG158" s="21">
        <f>EXP(-LN(2)/25)*DG157+(1-EXP(-LN(2)/25))/(LN(2)/25)*Calculateur!DB158*Calculateur!DD158*VLOOKUP('Données projet'!$B$13,Paramètres!$A$1:$I$89,3,0)*0.475*44/12</f>
        <v>0.42144188312736147</v>
      </c>
      <c r="DH158" s="21">
        <f>EXP(-LN(2)/2)*DH157+(1-EXP(-LN(2)/2))/(LN(2)/2)*DB158*DE158*VLOOKUP('Données projet'!$B$13,Paramètres!$A$1:$I$89,3,0)*0.475*44/12</f>
        <v>2.3004178994274862E-14</v>
      </c>
      <c r="DI158" s="22">
        <f t="shared" si="175"/>
        <v>5.3186158889958035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92.476799999999699</v>
      </c>
      <c r="D159" s="11">
        <f t="shared" si="140"/>
        <v>25.161622425346334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908.08606784477649</v>
      </c>
      <c r="H159" s="67">
        <f t="shared" si="110"/>
        <v>498.22025239081097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306.99999999999994</v>
      </c>
      <c r="O159" s="13">
        <f>N159*VLOOKUP('Données projet'!$B$9,Paramètres!$A$1:$I$89,3,0)*VLOOKUP('Données projet'!$B$9,Paramètres!$A$1:$I$89,5,0)</f>
        <v>277.77359999999993</v>
      </c>
      <c r="P159" s="13">
        <f t="shared" si="141"/>
        <v>66.496288176842356</v>
      </c>
      <c r="Q159" s="20">
        <f t="shared" si="162"/>
        <v>599.60338857466706</v>
      </c>
      <c r="R159" s="59">
        <f t="shared" si="109"/>
        <v>892.93672190800044</v>
      </c>
      <c r="S159" s="59">
        <f ca="1">AVERAGE(OFFSET($R$3,0,0,'Données projet'!$E$9+1,1))-AVERAGE(OFFSET($H$3,0,0,'Données projet'!$E$9+1,1))</f>
        <v>330.30341204367602</v>
      </c>
      <c r="T159" s="59">
        <f t="shared" si="142"/>
        <v>200.36653694091007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34.067694961628924</v>
      </c>
      <c r="AA159" s="21">
        <f>EXP(-LN(2)/25)*AA158+(1-EXP(-LN(2)/25))/(LN(2)/25)*Calculateur!V159*Calculateur!X159*VLOOKUP('Données projet'!$B$9,Paramètres!$A$1:$I$89,3,0)*0.475*44/12</f>
        <v>1.064297988950571</v>
      </c>
      <c r="AB159" s="21">
        <f>EXP(-LN(2)/2)*AB158+(1-EXP(-LN(2)/2))/(LN(2)/2)*V159*Y159*VLOOKUP('Données projet'!$B$9,Paramètres!$A$1:$I$89,3,0)*0.475*44/12</f>
        <v>1.0160183870372932E-6</v>
      </c>
      <c r="AC159" s="22">
        <f t="shared" si="163"/>
        <v>35.131993966597882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971.99999999999977</v>
      </c>
      <c r="AJ159" s="13">
        <f>AI159*VLOOKUP('Données projet'!$B$10,Paramètres!$A$1:$I$89,3,0)*VLOOKUP('Données projet'!$B$10,Paramètres!$A$1:$I$89,5,0)</f>
        <v>581.25599999999986</v>
      </c>
      <c r="AK159" s="13">
        <f t="shared" si="164"/>
        <v>127.68713506014205</v>
      </c>
      <c r="AL159" s="20">
        <f t="shared" si="165"/>
        <v>1234.7426268964139</v>
      </c>
      <c r="AM159" s="59">
        <f t="shared" si="113"/>
        <v>1528.0759602297471</v>
      </c>
      <c r="AN159" s="59">
        <f ca="1">AVERAGE(OFFSET($AM$3,0,0,'Données projet'!$E$10+1,1))-AVERAGE(OFFSET($H$3,0,0,'Données projet'!$E$10+1,1))</f>
        <v>465.77577582457678</v>
      </c>
      <c r="AO159" s="59">
        <f t="shared" si="144"/>
        <v>301.15495784503042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9.5385388563884117</v>
      </c>
      <c r="AV159" s="21">
        <f>EXP(-LN(2)/25)*AV158+(1-EXP(-LN(2)/25))/(LN(2)/25)*Calculateur!AQ159*Calculateur!AS159*VLOOKUP('Données projet'!$B$10,Paramètres!$A$1:$I$89,3,0)*0.475*44/12</f>
        <v>2.7582196501324581</v>
      </c>
      <c r="AW159" s="21">
        <f>EXP(-LN(2)/2)*AW158+(1-EXP(-LN(2)/2))/(LN(2)/2)*AQ159*AT159*VLOOKUP('Données projet'!$B$10,Paramètres!$A$1:$I$89,3,0)*0.475*44/12</f>
        <v>1.8485483145405956E-13</v>
      </c>
      <c r="AX159" s="21">
        <f t="shared" si="166"/>
        <v>12.296758506521055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273.00000000000023</v>
      </c>
      <c r="BE159" s="13">
        <f>BD159*VLOOKUP('Données projet'!$B$11,Paramètres!$A$1:$I$89,3,0)*VLOOKUP('Données projet'!$B$11,Paramètres!$A$1:$I$89,5,0)</f>
        <v>212.9400000000002</v>
      </c>
      <c r="BF159" s="13">
        <f t="shared" si="167"/>
        <v>52.577528895212915</v>
      </c>
      <c r="BG159" s="20">
        <f t="shared" si="168"/>
        <v>462.44302949249618</v>
      </c>
      <c r="BH159" s="59">
        <f t="shared" si="116"/>
        <v>755.77636282582944</v>
      </c>
      <c r="BI159" s="59">
        <f ca="1">AVERAGE(OFFSET($BH$3,0,0,'Données projet'!$E$11+1,1))-AVERAGE(OFFSET($H$3,0,0,'Données projet'!$E$11+1,1))</f>
        <v>219.5868031007679</v>
      </c>
      <c r="BJ159" s="59">
        <f t="shared" si="146"/>
        <v>263.3830219837742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4.8761391876013462</v>
      </c>
      <c r="BQ159" s="21">
        <f>EXP(-LN(2)/25)*BQ158+(1-EXP(-LN(2)/25))/(LN(2)/25)*Calculateur!BL159*Calculateur!BN159*VLOOKUP('Données projet'!$B$11,Paramètres!$A$1:$I$89,3,0)*0.475*44/12</f>
        <v>0.41427086641409361</v>
      </c>
      <c r="BR159" s="21">
        <f>EXP(-LN(2)/2)*BR158+(1-EXP(-LN(2)/2))/(LN(2)/2)*BL159*BO159*VLOOKUP('Données projet'!$B$11,Paramètres!$A$1:$I$89,3,0)*0.475*44/12</f>
        <v>1.745918527066037E-14</v>
      </c>
      <c r="BS159" s="22">
        <f t="shared" si="169"/>
        <v>5.2904100540154575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243.99999999999989</v>
      </c>
      <c r="BZ159" s="13">
        <f>BY159*VLOOKUP('Données projet'!$B$12,Paramètres!$A$1:$I$89,3,0)*VLOOKUP('Données projet'!$B$12,Paramètres!$A$1:$I$89,5,0)</f>
        <v>262.64159999999987</v>
      </c>
      <c r="CA159" s="13">
        <f t="shared" si="170"/>
        <v>63.285128621471941</v>
      </c>
      <c r="CB159" s="20">
        <f t="shared" si="171"/>
        <v>567.65571901573003</v>
      </c>
      <c r="CC159" s="59">
        <f t="shared" si="119"/>
        <v>860.98905234906329</v>
      </c>
      <c r="CD159" s="59">
        <f ca="1">AVERAGE(OFFSET($CC$3,0,0,'Données projet'!$E$12+1,1))-AVERAGE(OFFSET($H$3,0,0,'Données projet'!$E$12+1,1))</f>
        <v>244.7364260963538</v>
      </c>
      <c r="CE159" s="59">
        <f t="shared" si="148"/>
        <v>270.32853612539299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5.343207989210053</v>
      </c>
      <c r="CL159" s="21">
        <f>EXP(-LN(2)/25)*CL158+(1-EXP(-LN(2)/25))/(LN(2)/25)*Calculateur!CG159*Calculateur!CI159*VLOOKUP('Données projet'!$B$12,Paramètres!$A$1:$I$89,3,0)*0.475*44/12</f>
        <v>0.45619854442370888</v>
      </c>
      <c r="CM159" s="21">
        <f>EXP(-LN(2)/2)*CM158+(1-EXP(-LN(2)/2))/(LN(2)/2)*CG159*CJ159*VLOOKUP('Données projet'!$B$12,Paramètres!$A$1:$I$89,3,0)*0.475*44/12</f>
        <v>1.8102941232438425E-14</v>
      </c>
      <c r="CN159" s="22">
        <f t="shared" si="172"/>
        <v>5.7994065336337801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243.99999999999989</v>
      </c>
      <c r="CU159" s="17">
        <f>CT159*VLOOKUP('Données projet'!$B$13,Paramètres!$A$1:$I$89,3,0)*VLOOKUP('Données projet'!$B$13,Paramètres!$A$1:$I$89,5,0)</f>
        <v>235.99679999999987</v>
      </c>
      <c r="CV159" s="13">
        <f t="shared" si="173"/>
        <v>57.577381127598322</v>
      </c>
      <c r="CW159" s="20">
        <f t="shared" si="174"/>
        <v>511.30836546390015</v>
      </c>
      <c r="CX159" s="59">
        <f t="shared" si="122"/>
        <v>804.6416987972334</v>
      </c>
      <c r="CY159" s="59">
        <f ca="1">AVERAGE(OFFSET($CX$3,0,0,'Données projet'!$E$13+1,1))-AVERAGE(OFFSET($H$3,0,0,'Données projet'!$E$13+1,1))</f>
        <v>216.39536568500222</v>
      </c>
      <c r="CZ159" s="59">
        <f t="shared" si="150"/>
        <v>239.44686980897467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4.801143410594543</v>
      </c>
      <c r="DG159" s="21">
        <f>EXP(-LN(2)/25)*DG158+(1-EXP(-LN(2)/25))/(LN(2)/25)*Calculateur!DB159*Calculateur!DD159*VLOOKUP('Données projet'!$B$13,Paramètres!$A$1:$I$89,3,0)*0.475*44/12</f>
        <v>0.40991753267057834</v>
      </c>
      <c r="DH159" s="21">
        <f>EXP(-LN(2)/2)*DH158+(1-EXP(-LN(2)/2))/(LN(2)/2)*DB159*DE159*VLOOKUP('Données projet'!$B$13,Paramètres!$A$1:$I$89,3,0)*0.475*44/12</f>
        <v>1.6266410962480888E-14</v>
      </c>
      <c r="DI159" s="22">
        <f t="shared" si="175"/>
        <v>5.2110609432651369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93.069599999999696</v>
      </c>
      <c r="D160" s="11">
        <f t="shared" si="140"/>
        <v>25.304087391669444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913.76179740937584</v>
      </c>
      <c r="H160" s="67">
        <f t="shared" si="110"/>
        <v>499.50083887382374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306.99999999999994</v>
      </c>
      <c r="O160" s="13">
        <f>N160*VLOOKUP('Données projet'!$B$9,Paramètres!$A$1:$I$89,3,0)*VLOOKUP('Données projet'!$B$9,Paramètres!$A$1:$I$89,5,0)</f>
        <v>277.77359999999993</v>
      </c>
      <c r="P160" s="13">
        <f t="shared" si="141"/>
        <v>66.496288176842356</v>
      </c>
      <c r="Q160" s="20">
        <f t="shared" si="162"/>
        <v>599.60338857466706</v>
      </c>
      <c r="R160" s="59">
        <f t="shared" si="109"/>
        <v>892.93672190800044</v>
      </c>
      <c r="S160" s="59">
        <f ca="1">AVERAGE(OFFSET($R$3,0,0,'Données projet'!$E$9+1,1))-AVERAGE(OFFSET($H$3,0,0,'Données projet'!$E$9+1,1))</f>
        <v>330.30341204367602</v>
      </c>
      <c r="T160" s="59">
        <f t="shared" si="142"/>
        <v>200.36653694091007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33.399648242673528</v>
      </c>
      <c r="AA160" s="21">
        <f>EXP(-LN(2)/25)*AA159+(1-EXP(-LN(2)/25))/(LN(2)/25)*Calculateur!V160*Calculateur!X160*VLOOKUP('Données projet'!$B$9,Paramètres!$A$1:$I$89,3,0)*0.475*44/12</f>
        <v>1.0351947044737189</v>
      </c>
      <c r="AB160" s="21">
        <f>EXP(-LN(2)/2)*AB159+(1-EXP(-LN(2)/2))/(LN(2)/2)*V160*Y160*VLOOKUP('Données projet'!$B$9,Paramètres!$A$1:$I$89,3,0)*0.475*44/12</f>
        <v>7.1843349128428821E-7</v>
      </c>
      <c r="AC160" s="22">
        <f t="shared" si="163"/>
        <v>34.434843665580736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971.99999999999977</v>
      </c>
      <c r="AJ160" s="13">
        <f>AI160*VLOOKUP('Données projet'!$B$10,Paramètres!$A$1:$I$89,3,0)*VLOOKUP('Données projet'!$B$10,Paramètres!$A$1:$I$89,5,0)</f>
        <v>581.25599999999986</v>
      </c>
      <c r="AK160" s="13">
        <f t="shared" si="164"/>
        <v>127.68713506014205</v>
      </c>
      <c r="AL160" s="20">
        <f t="shared" si="165"/>
        <v>1234.7426268964139</v>
      </c>
      <c r="AM160" s="59">
        <f t="shared" si="113"/>
        <v>1528.0759602297471</v>
      </c>
      <c r="AN160" s="59">
        <f ca="1">AVERAGE(OFFSET($AM$3,0,0,'Données projet'!$E$10+1,1))-AVERAGE(OFFSET($H$3,0,0,'Données projet'!$E$10+1,1))</f>
        <v>465.77577582457678</v>
      </c>
      <c r="AO160" s="59">
        <f t="shared" si="144"/>
        <v>301.15495784503042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9.351493927348864</v>
      </c>
      <c r="AV160" s="21">
        <f>EXP(-LN(2)/25)*AV159+(1-EXP(-LN(2)/25))/(LN(2)/25)*Calculateur!AQ160*Calculateur!AS160*VLOOKUP('Données projet'!$B$10,Paramètres!$A$1:$I$89,3,0)*0.475*44/12</f>
        <v>2.6827959887511188</v>
      </c>
      <c r="AW160" s="21">
        <f>EXP(-LN(2)/2)*AW159+(1-EXP(-LN(2)/2))/(LN(2)/2)*AQ160*AT160*VLOOKUP('Données projet'!$B$10,Paramètres!$A$1:$I$89,3,0)*0.475*44/12</f>
        <v>1.3071210485626182E-13</v>
      </c>
      <c r="AX160" s="21">
        <f t="shared" si="166"/>
        <v>12.034289916100114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273.00000000000023</v>
      </c>
      <c r="BE160" s="13">
        <f>BD160*VLOOKUP('Données projet'!$B$11,Paramètres!$A$1:$I$89,3,0)*VLOOKUP('Données projet'!$B$11,Paramètres!$A$1:$I$89,5,0)</f>
        <v>212.9400000000002</v>
      </c>
      <c r="BF160" s="13">
        <f t="shared" si="167"/>
        <v>52.577528895212915</v>
      </c>
      <c r="BG160" s="20">
        <f t="shared" si="168"/>
        <v>462.44302949249618</v>
      </c>
      <c r="BH160" s="59">
        <f t="shared" si="116"/>
        <v>755.77636282582944</v>
      </c>
      <c r="BI160" s="59">
        <f ca="1">AVERAGE(OFFSET($BH$3,0,0,'Données projet'!$E$11+1,1))-AVERAGE(OFFSET($H$3,0,0,'Données projet'!$E$11+1,1))</f>
        <v>219.5868031007679</v>
      </c>
      <c r="BJ160" s="59">
        <f t="shared" si="146"/>
        <v>263.3830219837742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4.7805210722837153</v>
      </c>
      <c r="BQ160" s="21">
        <f>EXP(-LN(2)/25)*BQ159+(1-EXP(-LN(2)/25))/(LN(2)/25)*Calculateur!BL160*Calculateur!BN160*VLOOKUP('Données projet'!$B$11,Paramètres!$A$1:$I$89,3,0)*0.475*44/12</f>
        <v>0.4029426077864422</v>
      </c>
      <c r="BR160" s="21">
        <f>EXP(-LN(2)/2)*BR159+(1-EXP(-LN(2)/2))/(LN(2)/2)*BL160*BO160*VLOOKUP('Données projet'!$B$11,Paramètres!$A$1:$I$89,3,0)*0.475*44/12</f>
        <v>1.2345508298876236E-14</v>
      </c>
      <c r="BS160" s="22">
        <f t="shared" si="169"/>
        <v>5.1834636800701697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243.99999999999989</v>
      </c>
      <c r="BZ160" s="13">
        <f>BY160*VLOOKUP('Données projet'!$B$12,Paramètres!$A$1:$I$89,3,0)*VLOOKUP('Données projet'!$B$12,Paramètres!$A$1:$I$89,5,0)</f>
        <v>262.64159999999987</v>
      </c>
      <c r="CA160" s="13">
        <f t="shared" si="170"/>
        <v>63.285128621471941</v>
      </c>
      <c r="CB160" s="20">
        <f t="shared" si="171"/>
        <v>567.65571901573003</v>
      </c>
      <c r="CC160" s="59">
        <f t="shared" si="119"/>
        <v>860.98905234906329</v>
      </c>
      <c r="CD160" s="59">
        <f ca="1">AVERAGE(OFFSET($CC$3,0,0,'Données projet'!$E$12+1,1))-AVERAGE(OFFSET($H$3,0,0,'Données projet'!$E$12+1,1))</f>
        <v>244.7364260963538</v>
      </c>
      <c r="CE160" s="59">
        <f t="shared" si="148"/>
        <v>270.32853612539299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5.2384309395767144</v>
      </c>
      <c r="CL160" s="21">
        <f>EXP(-LN(2)/25)*CL159+(1-EXP(-LN(2)/25))/(LN(2)/25)*Calculateur!CG160*Calculateur!CI160*VLOOKUP('Données projet'!$B$12,Paramètres!$A$1:$I$89,3,0)*0.475*44/12</f>
        <v>0.44372377123600376</v>
      </c>
      <c r="CM160" s="21">
        <f>EXP(-LN(2)/2)*CM159+(1-EXP(-LN(2)/2))/(LN(2)/2)*CG160*CJ160*VLOOKUP('Données projet'!$B$12,Paramètres!$A$1:$I$89,3,0)*0.475*44/12</f>
        <v>1.2800712504878766E-14</v>
      </c>
      <c r="CN160" s="22">
        <f t="shared" si="172"/>
        <v>5.6821547108127302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243.99999999999989</v>
      </c>
      <c r="CU160" s="17">
        <f>CT160*VLOOKUP('Données projet'!$B$13,Paramètres!$A$1:$I$89,3,0)*VLOOKUP('Données projet'!$B$13,Paramètres!$A$1:$I$89,5,0)</f>
        <v>235.99679999999987</v>
      </c>
      <c r="CV160" s="13">
        <f t="shared" si="173"/>
        <v>57.577381127598322</v>
      </c>
      <c r="CW160" s="20">
        <f t="shared" si="174"/>
        <v>511.30836546390015</v>
      </c>
      <c r="CX160" s="59">
        <f t="shared" si="122"/>
        <v>804.6416987972334</v>
      </c>
      <c r="CY160" s="59">
        <f ca="1">AVERAGE(OFFSET($CX$3,0,0,'Données projet'!$E$13+1,1))-AVERAGE(OFFSET($H$3,0,0,'Données projet'!$E$13+1,1))</f>
        <v>216.39536568500222</v>
      </c>
      <c r="CZ160" s="59">
        <f t="shared" si="150"/>
        <v>239.44686980897467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4.706995916721108</v>
      </c>
      <c r="DG160" s="21">
        <f>EXP(-LN(2)/25)*DG159+(1-EXP(-LN(2)/25))/(LN(2)/25)*Calculateur!DB160*Calculateur!DD160*VLOOKUP('Données projet'!$B$13,Paramètres!$A$1:$I$89,3,0)*0.475*44/12</f>
        <v>0.39870831618307523</v>
      </c>
      <c r="DH160" s="21">
        <f>EXP(-LN(2)/2)*DH159+(1-EXP(-LN(2)/2))/(LN(2)/2)*DB160*DE160*VLOOKUP('Données projet'!$B$13,Paramètres!$A$1:$I$89,3,0)*0.475*44/12</f>
        <v>1.1502089497137431E-14</v>
      </c>
      <c r="DI160" s="22">
        <f t="shared" si="175"/>
        <v>5.1057042329041948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93.662399999999693</v>
      </c>
      <c r="D161" s="11">
        <f t="shared" si="140"/>
        <v>25.446446772674911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919.43671192941804</v>
      </c>
      <c r="H161" s="67">
        <f t="shared" si="110"/>
        <v>500.78124146240827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306.99999999999994</v>
      </c>
      <c r="O161" s="13">
        <f>N161*VLOOKUP('Données projet'!$B$9,Paramètres!$A$1:$I$89,3,0)*VLOOKUP('Données projet'!$B$9,Paramètres!$A$1:$I$89,5,0)</f>
        <v>277.77359999999993</v>
      </c>
      <c r="P161" s="13">
        <f t="shared" si="141"/>
        <v>66.496288176842356</v>
      </c>
      <c r="Q161" s="20">
        <f t="shared" si="162"/>
        <v>599.60338857466706</v>
      </c>
      <c r="R161" s="59">
        <f t="shared" si="109"/>
        <v>892.93672190800044</v>
      </c>
      <c r="S161" s="59">
        <f ca="1">AVERAGE(OFFSET($R$3,0,0,'Données projet'!$E$9+1,1))-AVERAGE(OFFSET($H$3,0,0,'Données projet'!$E$9+1,1))</f>
        <v>330.30341204367602</v>
      </c>
      <c r="T161" s="59">
        <f t="shared" si="142"/>
        <v>200.36653694091007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32.744701512408582</v>
      </c>
      <c r="AA161" s="21">
        <f>EXP(-LN(2)/25)*AA160+(1-EXP(-LN(2)/25))/(LN(2)/25)*Calculateur!V161*Calculateur!X161*VLOOKUP('Données projet'!$B$9,Paramètres!$A$1:$I$89,3,0)*0.475*44/12</f>
        <v>1.0068872508413615</v>
      </c>
      <c r="AB161" s="21">
        <f>EXP(-LN(2)/2)*AB160+(1-EXP(-LN(2)/2))/(LN(2)/2)*V161*Y161*VLOOKUP('Données projet'!$B$9,Paramètres!$A$1:$I$89,3,0)*0.475*44/12</f>
        <v>5.0800919351864658E-7</v>
      </c>
      <c r="AC161" s="22">
        <f t="shared" si="163"/>
        <v>33.751589271259135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971.99999999999977</v>
      </c>
      <c r="AJ161" s="13">
        <f>AI161*VLOOKUP('Données projet'!$B$10,Paramètres!$A$1:$I$89,3,0)*VLOOKUP('Données projet'!$B$10,Paramètres!$A$1:$I$89,5,0)</f>
        <v>581.25599999999986</v>
      </c>
      <c r="AK161" s="13">
        <f t="shared" si="164"/>
        <v>127.68713506014205</v>
      </c>
      <c r="AL161" s="20">
        <f t="shared" si="165"/>
        <v>1234.7426268964139</v>
      </c>
      <c r="AM161" s="59">
        <f t="shared" si="113"/>
        <v>1528.0759602297471</v>
      </c>
      <c r="AN161" s="59">
        <f ca="1">AVERAGE(OFFSET($AM$3,0,0,'Données projet'!$E$10+1,1))-AVERAGE(OFFSET($H$3,0,0,'Données projet'!$E$10+1,1))</f>
        <v>465.77577582457678</v>
      </c>
      <c r="AO161" s="59">
        <f t="shared" si="144"/>
        <v>301.15495784503042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9.1681168352816407</v>
      </c>
      <c r="AV161" s="21">
        <f>EXP(-LN(2)/25)*AV160+(1-EXP(-LN(2)/25))/(LN(2)/25)*Calculateur!AQ161*Calculateur!AS161*VLOOKUP('Données projet'!$B$10,Paramètres!$A$1:$I$89,3,0)*0.475*44/12</f>
        <v>2.6094347913566098</v>
      </c>
      <c r="AW161" s="21">
        <f>EXP(-LN(2)/2)*AW160+(1-EXP(-LN(2)/2))/(LN(2)/2)*AQ161*AT161*VLOOKUP('Données projet'!$B$10,Paramètres!$A$1:$I$89,3,0)*0.475*44/12</f>
        <v>9.2427415727029781E-14</v>
      </c>
      <c r="AX161" s="21">
        <f t="shared" si="166"/>
        <v>11.777551626638342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273.00000000000023</v>
      </c>
      <c r="BE161" s="13">
        <f>BD161*VLOOKUP('Données projet'!$B$11,Paramètres!$A$1:$I$89,3,0)*VLOOKUP('Données projet'!$B$11,Paramètres!$A$1:$I$89,5,0)</f>
        <v>212.9400000000002</v>
      </c>
      <c r="BF161" s="13">
        <f t="shared" si="167"/>
        <v>52.577528895212915</v>
      </c>
      <c r="BG161" s="20">
        <f t="shared" si="168"/>
        <v>462.44302949249618</v>
      </c>
      <c r="BH161" s="59">
        <f t="shared" si="116"/>
        <v>755.77636282582944</v>
      </c>
      <c r="BI161" s="59">
        <f ca="1">AVERAGE(OFFSET($BH$3,0,0,'Données projet'!$E$11+1,1))-AVERAGE(OFFSET($H$3,0,0,'Données projet'!$E$11+1,1))</f>
        <v>219.5868031007679</v>
      </c>
      <c r="BJ161" s="59">
        <f t="shared" si="146"/>
        <v>263.3830219837742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4.6867779698861716</v>
      </c>
      <c r="BQ161" s="21">
        <f>EXP(-LN(2)/25)*BQ160+(1-EXP(-LN(2)/25))/(LN(2)/25)*Calculateur!BL161*Calculateur!BN161*VLOOKUP('Données projet'!$B$11,Paramètres!$A$1:$I$89,3,0)*0.475*44/12</f>
        <v>0.3919241209866911</v>
      </c>
      <c r="BR161" s="21">
        <f>EXP(-LN(2)/2)*BR160+(1-EXP(-LN(2)/2))/(LN(2)/2)*BL161*BO161*VLOOKUP('Données projet'!$B$11,Paramètres!$A$1:$I$89,3,0)*0.475*44/12</f>
        <v>8.7295926353301851E-15</v>
      </c>
      <c r="BS161" s="22">
        <f t="shared" si="169"/>
        <v>5.0787020908728717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243.99999999999989</v>
      </c>
      <c r="BZ161" s="13">
        <f>BY161*VLOOKUP('Données projet'!$B$12,Paramètres!$A$1:$I$89,3,0)*VLOOKUP('Données projet'!$B$12,Paramètres!$A$1:$I$89,5,0)</f>
        <v>262.64159999999987</v>
      </c>
      <c r="CA161" s="13">
        <f t="shared" si="170"/>
        <v>63.285128621471941</v>
      </c>
      <c r="CB161" s="20">
        <f t="shared" si="171"/>
        <v>567.65571901573003</v>
      </c>
      <c r="CC161" s="59">
        <f t="shared" si="119"/>
        <v>860.98905234906329</v>
      </c>
      <c r="CD161" s="59">
        <f ca="1">AVERAGE(OFFSET($CC$3,0,0,'Données projet'!$E$12+1,1))-AVERAGE(OFFSET($H$3,0,0,'Données projet'!$E$12+1,1))</f>
        <v>244.7364260963538</v>
      </c>
      <c r="CE161" s="59">
        <f t="shared" si="148"/>
        <v>270.32853612539299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5.1357085039789956</v>
      </c>
      <c r="CL161" s="21">
        <f>EXP(-LN(2)/25)*CL160+(1-EXP(-LN(2)/25))/(LN(2)/25)*Calculateur!CG161*Calculateur!CI161*VLOOKUP('Données projet'!$B$12,Paramètres!$A$1:$I$89,3,0)*0.475*44/12</f>
        <v>0.43159012137713626</v>
      </c>
      <c r="CM161" s="21">
        <f>EXP(-LN(2)/2)*CM160+(1-EXP(-LN(2)/2))/(LN(2)/2)*CG161*CJ161*VLOOKUP('Données projet'!$B$12,Paramètres!$A$1:$I$89,3,0)*0.475*44/12</f>
        <v>9.0514706162192124E-15</v>
      </c>
      <c r="CN161" s="22">
        <f t="shared" si="172"/>
        <v>5.5672986253561412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243.99999999999989</v>
      </c>
      <c r="CU161" s="17">
        <f>CT161*VLOOKUP('Données projet'!$B$13,Paramètres!$A$1:$I$89,3,0)*VLOOKUP('Données projet'!$B$13,Paramètres!$A$1:$I$89,5,0)</f>
        <v>235.99679999999987</v>
      </c>
      <c r="CV161" s="13">
        <f t="shared" si="173"/>
        <v>57.577381127598322</v>
      </c>
      <c r="CW161" s="20">
        <f t="shared" si="174"/>
        <v>511.30836546390015</v>
      </c>
      <c r="CX161" s="59">
        <f t="shared" si="122"/>
        <v>804.6416987972334</v>
      </c>
      <c r="CY161" s="59">
        <f ca="1">AVERAGE(OFFSET($CX$3,0,0,'Données projet'!$E$13+1,1))-AVERAGE(OFFSET($H$3,0,0,'Données projet'!$E$13+1,1))</f>
        <v>216.39536568500222</v>
      </c>
      <c r="CZ161" s="59">
        <f t="shared" si="150"/>
        <v>239.44686980897467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4.6146945977782297</v>
      </c>
      <c r="DG161" s="21">
        <f>EXP(-LN(2)/25)*DG160+(1-EXP(-LN(2)/25))/(LN(2)/25)*Calculateur!DB161*Calculateur!DD161*VLOOKUP('Données projet'!$B$13,Paramètres!$A$1:$I$89,3,0)*0.475*44/12</f>
        <v>0.38780561630988997</v>
      </c>
      <c r="DH161" s="21">
        <f>EXP(-LN(2)/2)*DH160+(1-EXP(-LN(2)/2))/(LN(2)/2)*DB161*DE161*VLOOKUP('Données projet'!$B$13,Paramètres!$A$1:$I$89,3,0)*0.475*44/12</f>
        <v>8.1332054812404438E-15</v>
      </c>
      <c r="DI161" s="22">
        <f t="shared" si="175"/>
        <v>5.0025002140881272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94.255199999999689</v>
      </c>
      <c r="D162" s="11">
        <f t="shared" si="140"/>
        <v>25.588701314145158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925.1108171618198</v>
      </c>
      <c r="H162" s="67">
        <f t="shared" si="110"/>
        <v>502.06146145546893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306.99999999999994</v>
      </c>
      <c r="O162" s="13">
        <f>N162*VLOOKUP('Données projet'!$B$9,Paramètres!$A$1:$I$89,3,0)*VLOOKUP('Données projet'!$B$9,Paramètres!$A$1:$I$89,5,0)</f>
        <v>277.77359999999993</v>
      </c>
      <c r="P162" s="13">
        <f t="shared" si="141"/>
        <v>66.496288176842356</v>
      </c>
      <c r="Q162" s="20">
        <f t="shared" si="162"/>
        <v>599.60338857466706</v>
      </c>
      <c r="R162" s="59">
        <f t="shared" si="109"/>
        <v>892.93672190800044</v>
      </c>
      <c r="S162" s="59">
        <f ca="1">AVERAGE(OFFSET($R$3,0,0,'Données projet'!$E$9+1,1))-AVERAGE(OFFSET($H$3,0,0,'Données projet'!$E$9+1,1))</f>
        <v>330.30341204367602</v>
      </c>
      <c r="T162" s="59">
        <f t="shared" si="142"/>
        <v>200.36653694091007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32.10259788804607</v>
      </c>
      <c r="AA162" s="21">
        <f>EXP(-LN(2)/25)*AA161+(1-EXP(-LN(2)/25))/(LN(2)/25)*Calculateur!V162*Calculateur!X162*VLOOKUP('Données projet'!$B$9,Paramètres!$A$1:$I$89,3,0)*0.475*44/12</f>
        <v>0.97935386601720531</v>
      </c>
      <c r="AB162" s="21">
        <f>EXP(-LN(2)/2)*AB161+(1-EXP(-LN(2)/2))/(LN(2)/2)*V162*Y162*VLOOKUP('Données projet'!$B$9,Paramètres!$A$1:$I$89,3,0)*0.475*44/12</f>
        <v>3.592167456421441E-7</v>
      </c>
      <c r="AC162" s="22">
        <f t="shared" si="163"/>
        <v>33.081952113280025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971.99999999999977</v>
      </c>
      <c r="AJ162" s="13">
        <f>AI162*VLOOKUP('Données projet'!$B$10,Paramètres!$A$1:$I$89,3,0)*VLOOKUP('Données projet'!$B$10,Paramètres!$A$1:$I$89,5,0)</f>
        <v>581.25599999999986</v>
      </c>
      <c r="AK162" s="13">
        <f t="shared" si="164"/>
        <v>127.68713506014205</v>
      </c>
      <c r="AL162" s="20">
        <f t="shared" si="165"/>
        <v>1234.7426268964139</v>
      </c>
      <c r="AM162" s="59">
        <f t="shared" si="113"/>
        <v>1528.0759602297471</v>
      </c>
      <c r="AN162" s="59">
        <f ca="1">AVERAGE(OFFSET($AM$3,0,0,'Données projet'!$E$10+1,1))-AVERAGE(OFFSET($H$3,0,0,'Données projet'!$E$10+1,1))</f>
        <v>465.77577582457678</v>
      </c>
      <c r="AO162" s="59">
        <f t="shared" si="144"/>
        <v>301.15495784503042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8.9883356561408725</v>
      </c>
      <c r="AV162" s="21">
        <f>EXP(-LN(2)/25)*AV161+(1-EXP(-LN(2)/25))/(LN(2)/25)*Calculateur!AQ162*Calculateur!AS162*VLOOKUP('Données projet'!$B$10,Paramètres!$A$1:$I$89,3,0)*0.475*44/12</f>
        <v>2.5380796597627517</v>
      </c>
      <c r="AW162" s="21">
        <f>EXP(-LN(2)/2)*AW161+(1-EXP(-LN(2)/2))/(LN(2)/2)*AQ162*AT162*VLOOKUP('Données projet'!$B$10,Paramètres!$A$1:$I$89,3,0)*0.475*44/12</f>
        <v>6.5356052428130909E-14</v>
      </c>
      <c r="AX162" s="21">
        <f t="shared" si="166"/>
        <v>11.526415315903689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273.00000000000023</v>
      </c>
      <c r="BE162" s="13">
        <f>BD162*VLOOKUP('Données projet'!$B$11,Paramètres!$A$1:$I$89,3,0)*VLOOKUP('Données projet'!$B$11,Paramètres!$A$1:$I$89,5,0)</f>
        <v>212.9400000000002</v>
      </c>
      <c r="BF162" s="13">
        <f t="shared" si="167"/>
        <v>52.577528895212915</v>
      </c>
      <c r="BG162" s="20">
        <f t="shared" si="168"/>
        <v>462.44302949249618</v>
      </c>
      <c r="BH162" s="59">
        <f t="shared" si="116"/>
        <v>755.77636282582944</v>
      </c>
      <c r="BI162" s="59">
        <f ca="1">AVERAGE(OFFSET($BH$3,0,0,'Données projet'!$E$11+1,1))-AVERAGE(OFFSET($H$3,0,0,'Données projet'!$E$11+1,1))</f>
        <v>219.5868031007679</v>
      </c>
      <c r="BJ162" s="59">
        <f t="shared" si="146"/>
        <v>263.3830219837742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4.5948731125489966</v>
      </c>
      <c r="BQ162" s="21">
        <f>EXP(-LN(2)/25)*BQ161+(1-EXP(-LN(2)/25))/(LN(2)/25)*Calculateur!BL162*Calculateur!BN162*VLOOKUP('Données projet'!$B$11,Paramètres!$A$1:$I$89,3,0)*0.475*44/12</f>
        <v>0.38120693528791627</v>
      </c>
      <c r="BR162" s="21">
        <f>EXP(-LN(2)/2)*BR161+(1-EXP(-LN(2)/2))/(LN(2)/2)*BL162*BO162*VLOOKUP('Données projet'!$B$11,Paramètres!$A$1:$I$89,3,0)*0.475*44/12</f>
        <v>6.1727541494381181E-15</v>
      </c>
      <c r="BS162" s="22">
        <f t="shared" si="169"/>
        <v>4.9760800478369189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243.99999999999989</v>
      </c>
      <c r="BZ162" s="13">
        <f>BY162*VLOOKUP('Données projet'!$B$12,Paramètres!$A$1:$I$89,3,0)*VLOOKUP('Données projet'!$B$12,Paramètres!$A$1:$I$89,5,0)</f>
        <v>262.64159999999987</v>
      </c>
      <c r="CA162" s="13">
        <f t="shared" si="170"/>
        <v>63.285128621471941</v>
      </c>
      <c r="CB162" s="20">
        <f t="shared" si="171"/>
        <v>567.65571901573003</v>
      </c>
      <c r="CC162" s="59">
        <f t="shared" si="119"/>
        <v>860.98905234906329</v>
      </c>
      <c r="CD162" s="59">
        <f ca="1">AVERAGE(OFFSET($CC$3,0,0,'Données projet'!$E$12+1,1))-AVERAGE(OFFSET($H$3,0,0,'Données projet'!$E$12+1,1))</f>
        <v>244.7364260963538</v>
      </c>
      <c r="CE162" s="59">
        <f t="shared" si="148"/>
        <v>270.32853612539299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5.0350003926888487</v>
      </c>
      <c r="CL162" s="21">
        <f>EXP(-LN(2)/25)*CL161+(1-EXP(-LN(2)/25))/(LN(2)/25)*Calculateur!CG162*Calculateur!CI162*VLOOKUP('Données projet'!$B$12,Paramètres!$A$1:$I$89,3,0)*0.475*44/12</f>
        <v>0.41978826681174042</v>
      </c>
      <c r="CM162" s="21">
        <f>EXP(-LN(2)/2)*CM161+(1-EXP(-LN(2)/2))/(LN(2)/2)*CG162*CJ162*VLOOKUP('Données projet'!$B$12,Paramètres!$A$1:$I$89,3,0)*0.475*44/12</f>
        <v>6.4003562524393832E-15</v>
      </c>
      <c r="CN162" s="22">
        <f t="shared" si="172"/>
        <v>5.4547886595005952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243.99999999999989</v>
      </c>
      <c r="CU162" s="17">
        <f>CT162*VLOOKUP('Données projet'!$B$13,Paramètres!$A$1:$I$89,3,0)*VLOOKUP('Données projet'!$B$13,Paramètres!$A$1:$I$89,5,0)</f>
        <v>235.99679999999987</v>
      </c>
      <c r="CV162" s="13">
        <f t="shared" si="173"/>
        <v>57.577381127598322</v>
      </c>
      <c r="CW162" s="20">
        <f t="shared" si="174"/>
        <v>511.30836546390015</v>
      </c>
      <c r="CX162" s="59">
        <f t="shared" si="122"/>
        <v>804.6416987972334</v>
      </c>
      <c r="CY162" s="59">
        <f ca="1">AVERAGE(OFFSET($CX$3,0,0,'Données projet'!$E$13+1,1))-AVERAGE(OFFSET($H$3,0,0,'Données projet'!$E$13+1,1))</f>
        <v>216.39536568500222</v>
      </c>
      <c r="CZ162" s="59">
        <f t="shared" si="150"/>
        <v>239.44686980897467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4.524203251401576</v>
      </c>
      <c r="DG162" s="21">
        <f>EXP(-LN(2)/25)*DG161+(1-EXP(-LN(2)/25))/(LN(2)/25)*Calculateur!DB162*Calculateur!DD162*VLOOKUP('Données projet'!$B$13,Paramètres!$A$1:$I$89,3,0)*0.475*44/12</f>
        <v>0.37720105133808501</v>
      </c>
      <c r="DH162" s="21">
        <f>EXP(-LN(2)/2)*DH161+(1-EXP(-LN(2)/2))/(LN(2)/2)*DB162*DE162*VLOOKUP('Données projet'!$B$13,Paramètres!$A$1:$I$89,3,0)*0.475*44/12</f>
        <v>5.7510447485687156E-15</v>
      </c>
      <c r="DI162" s="22">
        <f t="shared" si="175"/>
        <v>4.9014043027396665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94.847999999999686</v>
      </c>
      <c r="D163" s="11">
        <f t="shared" si="140"/>
        <v>25.730851751939131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930.7841187868961</v>
      </c>
      <c r="H163" s="67">
        <f t="shared" si="110"/>
        <v>503.34150013462676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306.99999999999994</v>
      </c>
      <c r="O163" s="13">
        <f>N163*VLOOKUP('Données projet'!$B$9,Paramètres!$A$1:$I$89,3,0)*VLOOKUP('Données projet'!$B$9,Paramètres!$A$1:$I$89,5,0)</f>
        <v>277.77359999999993</v>
      </c>
      <c r="P163" s="13">
        <f t="shared" si="141"/>
        <v>66.496288176842356</v>
      </c>
      <c r="Q163" s="20">
        <f t="shared" si="162"/>
        <v>599.60338857466706</v>
      </c>
      <c r="R163" s="59">
        <f t="shared" si="109"/>
        <v>892.93672190800044</v>
      </c>
      <c r="S163" s="59">
        <f ca="1">AVERAGE(OFFSET($R$3,0,0,'Données projet'!$E$9+1,1))-AVERAGE(OFFSET($H$3,0,0,'Données projet'!$E$9+1,1))</f>
        <v>330.30341204367602</v>
      </c>
      <c r="T163" s="59">
        <f t="shared" si="142"/>
        <v>200.36653694091007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31.473085524112768</v>
      </c>
      <c r="AA163" s="21">
        <f>EXP(-LN(2)/25)*AA162+(1-EXP(-LN(2)/25))/(LN(2)/25)*Calculateur!V163*Calculateur!X163*VLOOKUP('Données projet'!$B$9,Paramètres!$A$1:$I$89,3,0)*0.475*44/12</f>
        <v>0.95257338304898331</v>
      </c>
      <c r="AB163" s="21">
        <f>EXP(-LN(2)/2)*AB162+(1-EXP(-LN(2)/2))/(LN(2)/2)*V163*Y163*VLOOKUP('Données projet'!$B$9,Paramètres!$A$1:$I$89,3,0)*0.475*44/12</f>
        <v>2.5400459675932329E-7</v>
      </c>
      <c r="AC163" s="22">
        <f t="shared" si="163"/>
        <v>32.425659161166351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971.99999999999977</v>
      </c>
      <c r="AJ163" s="13">
        <f>AI163*VLOOKUP('Données projet'!$B$10,Paramètres!$A$1:$I$89,3,0)*VLOOKUP('Données projet'!$B$10,Paramètres!$A$1:$I$89,5,0)</f>
        <v>581.25599999999986</v>
      </c>
      <c r="AK163" s="13">
        <f t="shared" si="164"/>
        <v>127.68713506014205</v>
      </c>
      <c r="AL163" s="20">
        <f t="shared" si="165"/>
        <v>1234.7426268964139</v>
      </c>
      <c r="AM163" s="59">
        <f t="shared" si="113"/>
        <v>1528.0759602297471</v>
      </c>
      <c r="AN163" s="59">
        <f ca="1">AVERAGE(OFFSET($AM$3,0,0,'Données projet'!$E$10+1,1))-AVERAGE(OFFSET($H$3,0,0,'Données projet'!$E$10+1,1))</f>
        <v>465.77577582457678</v>
      </c>
      <c r="AO163" s="59">
        <f t="shared" si="144"/>
        <v>301.15495784503042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8.8120798762673633</v>
      </c>
      <c r="AV163" s="21">
        <f>EXP(-LN(2)/25)*AV162+(1-EXP(-LN(2)/25))/(LN(2)/25)*Calculateur!AQ163*Calculateur!AS163*VLOOKUP('Données projet'!$B$10,Paramètres!$A$1:$I$89,3,0)*0.475*44/12</f>
        <v>2.4686757379947308</v>
      </c>
      <c r="AW163" s="21">
        <f>EXP(-LN(2)/2)*AW162+(1-EXP(-LN(2)/2))/(LN(2)/2)*AQ163*AT163*VLOOKUP('Données projet'!$B$10,Paramètres!$A$1:$I$89,3,0)*0.475*44/12</f>
        <v>4.6213707863514891E-14</v>
      </c>
      <c r="AX163" s="21">
        <f t="shared" si="166"/>
        <v>11.280755614262141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273.00000000000023</v>
      </c>
      <c r="BE163" s="13">
        <f>BD163*VLOOKUP('Données projet'!$B$11,Paramètres!$A$1:$I$89,3,0)*VLOOKUP('Données projet'!$B$11,Paramètres!$A$1:$I$89,5,0)</f>
        <v>212.9400000000002</v>
      </c>
      <c r="BF163" s="13">
        <f t="shared" si="167"/>
        <v>52.577528895212915</v>
      </c>
      <c r="BG163" s="20">
        <f t="shared" si="168"/>
        <v>462.44302949249618</v>
      </c>
      <c r="BH163" s="59">
        <f t="shared" si="116"/>
        <v>755.77636282582944</v>
      </c>
      <c r="BI163" s="59">
        <f ca="1">AVERAGE(OFFSET($BH$3,0,0,'Données projet'!$E$11+1,1))-AVERAGE(OFFSET($H$3,0,0,'Données projet'!$E$11+1,1))</f>
        <v>219.5868031007679</v>
      </c>
      <c r="BJ163" s="59">
        <f t="shared" si="146"/>
        <v>263.3830219837742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4.5047704534077759</v>
      </c>
      <c r="BQ163" s="21">
        <f>EXP(-LN(2)/25)*BQ162+(1-EXP(-LN(2)/25))/(LN(2)/25)*Calculateur!BL163*Calculateur!BN163*VLOOKUP('Données projet'!$B$11,Paramètres!$A$1:$I$89,3,0)*0.475*44/12</f>
        <v>0.37078281159566673</v>
      </c>
      <c r="BR163" s="21">
        <f>EXP(-LN(2)/2)*BR162+(1-EXP(-LN(2)/2))/(LN(2)/2)*BL163*BO163*VLOOKUP('Données projet'!$B$11,Paramètres!$A$1:$I$89,3,0)*0.475*44/12</f>
        <v>4.3647963176650925E-15</v>
      </c>
      <c r="BS163" s="22">
        <f t="shared" si="169"/>
        <v>4.8755532650034468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243.99999999999989</v>
      </c>
      <c r="BZ163" s="13">
        <f>BY163*VLOOKUP('Données projet'!$B$12,Paramètres!$A$1:$I$89,3,0)*VLOOKUP('Données projet'!$B$12,Paramètres!$A$1:$I$89,5,0)</f>
        <v>262.64159999999987</v>
      </c>
      <c r="CA163" s="13">
        <f t="shared" si="170"/>
        <v>63.285128621471941</v>
      </c>
      <c r="CB163" s="20">
        <f t="shared" si="171"/>
        <v>567.65571901573003</v>
      </c>
      <c r="CC163" s="59">
        <f t="shared" si="119"/>
        <v>860.98905234906329</v>
      </c>
      <c r="CD163" s="59">
        <f ca="1">AVERAGE(OFFSET($CC$3,0,0,'Données projet'!$E$12+1,1))-AVERAGE(OFFSET($H$3,0,0,'Données projet'!$E$12+1,1))</f>
        <v>244.7364260963538</v>
      </c>
      <c r="CE163" s="59">
        <f t="shared" si="148"/>
        <v>270.32853612539299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4.9362671060352188</v>
      </c>
      <c r="CL163" s="21">
        <f>EXP(-LN(2)/25)*CL162+(1-EXP(-LN(2)/25))/(LN(2)/25)*Calculateur!CG163*Calculateur!CI163*VLOOKUP('Données projet'!$B$12,Paramètres!$A$1:$I$89,3,0)*0.475*44/12</f>
        <v>0.40830913458006785</v>
      </c>
      <c r="CM163" s="21">
        <f>EXP(-LN(2)/2)*CM162+(1-EXP(-LN(2)/2))/(LN(2)/2)*CG163*CJ163*VLOOKUP('Données projet'!$B$12,Paramètres!$A$1:$I$89,3,0)*0.475*44/12</f>
        <v>4.5257353081096062E-15</v>
      </c>
      <c r="CN163" s="22">
        <f t="shared" si="172"/>
        <v>5.3445762406152912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243.99999999999989</v>
      </c>
      <c r="CU163" s="17">
        <f>CT163*VLOOKUP('Données projet'!$B$13,Paramètres!$A$1:$I$89,3,0)*VLOOKUP('Données projet'!$B$13,Paramètres!$A$1:$I$89,5,0)</f>
        <v>235.99679999999987</v>
      </c>
      <c r="CV163" s="13">
        <f t="shared" si="173"/>
        <v>57.577381127598322</v>
      </c>
      <c r="CW163" s="20">
        <f t="shared" si="174"/>
        <v>511.30836546390015</v>
      </c>
      <c r="CX163" s="59">
        <f t="shared" si="122"/>
        <v>804.6416987972334</v>
      </c>
      <c r="CY163" s="59">
        <f ca="1">AVERAGE(OFFSET($CX$3,0,0,'Données projet'!$E$13+1,1))-AVERAGE(OFFSET($H$3,0,0,'Données projet'!$E$13+1,1))</f>
        <v>216.39536568500222</v>
      </c>
      <c r="CZ163" s="59">
        <f t="shared" si="150"/>
        <v>239.44686980897467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4.435486385133097</v>
      </c>
      <c r="DG163" s="21">
        <f>EXP(-LN(2)/25)*DG162+(1-EXP(-LN(2)/25))/(LN(2)/25)*Calculateur!DB163*Calculateur!DD163*VLOOKUP('Données projet'!$B$13,Paramètres!$A$1:$I$89,3,0)*0.475*44/12</f>
        <v>0.36688646875310388</v>
      </c>
      <c r="DH163" s="21">
        <f>EXP(-LN(2)/2)*DH162+(1-EXP(-LN(2)/2))/(LN(2)/2)*DB163*DE163*VLOOKUP('Données projet'!$B$13,Paramètres!$A$1:$I$89,3,0)*0.475*44/12</f>
        <v>4.0666027406202219E-15</v>
      </c>
      <c r="DI163" s="22">
        <f t="shared" si="175"/>
        <v>4.8023728538862054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95.440799999999683</v>
      </c>
      <c r="D164" s="11">
        <f t="shared" si="140"/>
        <v>25.872898812185536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936.45662240985087</v>
      </c>
      <c r="H164" s="67">
        <f t="shared" si="110"/>
        <v>504.62135876455591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306.99999999999994</v>
      </c>
      <c r="O164" s="13">
        <f>N164*VLOOKUP('Données projet'!$B$9,Paramètres!$A$1:$I$89,3,0)*VLOOKUP('Données projet'!$B$9,Paramètres!$A$1:$I$89,5,0)</f>
        <v>277.77359999999993</v>
      </c>
      <c r="P164" s="13">
        <f t="shared" si="141"/>
        <v>66.496288176842356</v>
      </c>
      <c r="Q164" s="20">
        <f t="shared" si="162"/>
        <v>599.60338857466706</v>
      </c>
      <c r="R164" s="59">
        <f t="shared" si="109"/>
        <v>892.93672190800044</v>
      </c>
      <c r="S164" s="59">
        <f ca="1">AVERAGE(OFFSET($R$3,0,0,'Données projet'!$E$9+1,1))-AVERAGE(OFFSET($H$3,0,0,'Données projet'!$E$9+1,1))</f>
        <v>330.30341204367602</v>
      </c>
      <c r="T164" s="59">
        <f t="shared" si="142"/>
        <v>200.36653694091007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30.855917513671571</v>
      </c>
      <c r="AA164" s="21">
        <f>EXP(-LN(2)/25)*AA163+(1-EXP(-LN(2)/25))/(LN(2)/25)*Calculateur!V164*Calculateur!X164*VLOOKUP('Données projet'!$B$9,Paramètres!$A$1:$I$89,3,0)*0.475*44/12</f>
        <v>0.92652521379585173</v>
      </c>
      <c r="AB164" s="21">
        <f>EXP(-LN(2)/2)*AB163+(1-EXP(-LN(2)/2))/(LN(2)/2)*V164*Y164*VLOOKUP('Données projet'!$B$9,Paramètres!$A$1:$I$89,3,0)*0.475*44/12</f>
        <v>1.7960837282107205E-7</v>
      </c>
      <c r="AC164" s="22">
        <f t="shared" si="163"/>
        <v>31.782442907075797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971.99999999999977</v>
      </c>
      <c r="AJ164" s="13">
        <f>AI164*VLOOKUP('Données projet'!$B$10,Paramètres!$A$1:$I$89,3,0)*VLOOKUP('Données projet'!$B$10,Paramètres!$A$1:$I$89,5,0)</f>
        <v>581.25599999999986</v>
      </c>
      <c r="AK164" s="13">
        <f t="shared" si="164"/>
        <v>127.68713506014205</v>
      </c>
      <c r="AL164" s="20">
        <f t="shared" si="165"/>
        <v>1234.7426268964139</v>
      </c>
      <c r="AM164" s="59">
        <f t="shared" si="113"/>
        <v>1528.0759602297471</v>
      </c>
      <c r="AN164" s="59">
        <f ca="1">AVERAGE(OFFSET($AM$3,0,0,'Données projet'!$E$10+1,1))-AVERAGE(OFFSET($H$3,0,0,'Données projet'!$E$10+1,1))</f>
        <v>465.77577582457678</v>
      </c>
      <c r="AO164" s="59">
        <f t="shared" si="144"/>
        <v>301.15495784503042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8.6392803647317642</v>
      </c>
      <c r="AV164" s="21">
        <f>EXP(-LN(2)/25)*AV163+(1-EXP(-LN(2)/25))/(LN(2)/25)*Calculateur!AQ164*Calculateur!AS164*VLOOKUP('Données projet'!$B$10,Paramètres!$A$1:$I$89,3,0)*0.475*44/12</f>
        <v>2.40116967011725</v>
      </c>
      <c r="AW164" s="21">
        <f>EXP(-LN(2)/2)*AW163+(1-EXP(-LN(2)/2))/(LN(2)/2)*AQ164*AT164*VLOOKUP('Données projet'!$B$10,Paramètres!$A$1:$I$89,3,0)*0.475*44/12</f>
        <v>3.2678026214065454E-14</v>
      </c>
      <c r="AX164" s="21">
        <f t="shared" si="166"/>
        <v>11.040450034849046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273.00000000000023</v>
      </c>
      <c r="BE164" s="13">
        <f>BD164*VLOOKUP('Données projet'!$B$11,Paramètres!$A$1:$I$89,3,0)*VLOOKUP('Données projet'!$B$11,Paramètres!$A$1:$I$89,5,0)</f>
        <v>212.9400000000002</v>
      </c>
      <c r="BF164" s="13">
        <f t="shared" si="167"/>
        <v>52.577528895212915</v>
      </c>
      <c r="BG164" s="20">
        <f t="shared" si="168"/>
        <v>462.44302949249618</v>
      </c>
      <c r="BH164" s="59">
        <f t="shared" si="116"/>
        <v>755.77636282582944</v>
      </c>
      <c r="BI164" s="59">
        <f ca="1">AVERAGE(OFFSET($BH$3,0,0,'Données projet'!$E$11+1,1))-AVERAGE(OFFSET($H$3,0,0,'Données projet'!$E$11+1,1))</f>
        <v>219.5868031007679</v>
      </c>
      <c r="BJ164" s="59">
        <f t="shared" si="146"/>
        <v>263.3830219837742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4.416434652455119</v>
      </c>
      <c r="BQ164" s="21">
        <f>EXP(-LN(2)/25)*BQ163+(1-EXP(-LN(2)/25))/(LN(2)/25)*Calculateur!BL164*Calculateur!BN164*VLOOKUP('Données projet'!$B$11,Paramètres!$A$1:$I$89,3,0)*0.475*44/12</f>
        <v>0.36064373611396261</v>
      </c>
      <c r="BR164" s="21">
        <f>EXP(-LN(2)/2)*BR163+(1-EXP(-LN(2)/2))/(LN(2)/2)*BL164*BO164*VLOOKUP('Données projet'!$B$11,Paramètres!$A$1:$I$89,3,0)*0.475*44/12</f>
        <v>3.086377074719059E-15</v>
      </c>
      <c r="BS164" s="22">
        <f t="shared" si="169"/>
        <v>4.777078388569084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243.99999999999989</v>
      </c>
      <c r="BZ164" s="13">
        <f>BY164*VLOOKUP('Données projet'!$B$12,Paramètres!$A$1:$I$89,3,0)*VLOOKUP('Données projet'!$B$12,Paramètres!$A$1:$I$89,5,0)</f>
        <v>262.64159999999987</v>
      </c>
      <c r="CA164" s="13">
        <f t="shared" si="170"/>
        <v>63.285128621471941</v>
      </c>
      <c r="CB164" s="20">
        <f t="shared" si="171"/>
        <v>567.65571901573003</v>
      </c>
      <c r="CC164" s="59">
        <f t="shared" si="119"/>
        <v>860.98905234906329</v>
      </c>
      <c r="CD164" s="59">
        <f ca="1">AVERAGE(OFFSET($CC$3,0,0,'Données projet'!$E$12+1,1))-AVERAGE(OFFSET($H$3,0,0,'Données projet'!$E$12+1,1))</f>
        <v>244.7364260963538</v>
      </c>
      <c r="CE164" s="59">
        <f t="shared" si="148"/>
        <v>270.32853612539299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4.8394699189115089</v>
      </c>
      <c r="CL164" s="21">
        <f>EXP(-LN(2)/25)*CL163+(1-EXP(-LN(2)/25))/(LN(2)/25)*Calculateur!CG164*Calculateur!CI164*VLOOKUP('Données projet'!$B$12,Paramètres!$A$1:$I$89,3,0)*0.475*44/12</f>
        <v>0.39714389982293169</v>
      </c>
      <c r="CM164" s="21">
        <f>EXP(-LN(2)/2)*CM163+(1-EXP(-LN(2)/2))/(LN(2)/2)*CG164*CJ164*VLOOKUP('Données projet'!$B$12,Paramètres!$A$1:$I$89,3,0)*0.475*44/12</f>
        <v>3.2001781262196916E-15</v>
      </c>
      <c r="CN164" s="22">
        <f t="shared" si="172"/>
        <v>5.236613818734444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243.99999999999989</v>
      </c>
      <c r="CU164" s="17">
        <f>CT164*VLOOKUP('Données projet'!$B$13,Paramètres!$A$1:$I$89,3,0)*VLOOKUP('Données projet'!$B$13,Paramètres!$A$1:$I$89,5,0)</f>
        <v>235.99679999999987</v>
      </c>
      <c r="CV164" s="13">
        <f t="shared" si="173"/>
        <v>57.577381127598322</v>
      </c>
      <c r="CW164" s="20">
        <f t="shared" si="174"/>
        <v>511.30836546390015</v>
      </c>
      <c r="CX164" s="59">
        <f t="shared" si="122"/>
        <v>804.6416987972334</v>
      </c>
      <c r="CY164" s="59">
        <f ca="1">AVERAGE(OFFSET($CX$3,0,0,'Données projet'!$E$13+1,1))-AVERAGE(OFFSET($H$3,0,0,'Données projet'!$E$13+1,1))</f>
        <v>216.39536568500222</v>
      </c>
      <c r="CZ164" s="59">
        <f t="shared" si="150"/>
        <v>239.44686980897467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4.3485092025001979</v>
      </c>
      <c r="DG164" s="21">
        <f>EXP(-LN(2)/25)*DG163+(1-EXP(-LN(2)/25))/(LN(2)/25)*Calculateur!DB164*Calculateur!DD164*VLOOKUP('Données projet'!$B$13,Paramètres!$A$1:$I$89,3,0)*0.475*44/12</f>
        <v>0.35685393897132939</v>
      </c>
      <c r="DH164" s="21">
        <f>EXP(-LN(2)/2)*DH163+(1-EXP(-LN(2)/2))/(LN(2)/2)*DB164*DE164*VLOOKUP('Données projet'!$B$13,Paramètres!$A$1:$I$89,3,0)*0.475*44/12</f>
        <v>2.8755223742843578E-15</v>
      </c>
      <c r="DI164" s="22">
        <f t="shared" si="175"/>
        <v>4.7053631414715298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96.03359999999968</v>
      </c>
      <c r="D165" s="11">
        <f t="shared" si="140"/>
        <v>26.01484321147116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942.12833356223121</v>
      </c>
      <c r="H165" s="67">
        <f t="shared" si="110"/>
        <v>505.90103859331168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306.99999999999994</v>
      </c>
      <c r="O165" s="13">
        <f>N165*VLOOKUP('Données projet'!$B$9,Paramètres!$A$1:$I$89,3,0)*VLOOKUP('Données projet'!$B$9,Paramètres!$A$1:$I$89,5,0)</f>
        <v>277.77359999999993</v>
      </c>
      <c r="P165" s="13">
        <f t="shared" si="141"/>
        <v>66.496288176842356</v>
      </c>
      <c r="Q165" s="20">
        <f t="shared" si="162"/>
        <v>599.60338857466706</v>
      </c>
      <c r="R165" s="59">
        <f t="shared" si="109"/>
        <v>892.93672190800044</v>
      </c>
      <c r="S165" s="59">
        <f ca="1">AVERAGE(OFFSET($R$3,0,0,'Données projet'!$E$9+1,1))-AVERAGE(OFFSET($H$3,0,0,'Données projet'!$E$9+1,1))</f>
        <v>330.30341204367602</v>
      </c>
      <c r="T165" s="59">
        <f t="shared" si="142"/>
        <v>200.36653694091007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30.250851791479811</v>
      </c>
      <c r="AA165" s="21">
        <f>EXP(-LN(2)/25)*AA164+(1-EXP(-LN(2)/25))/(LN(2)/25)*Calculateur!V165*Calculateur!X165*VLOOKUP('Données projet'!$B$9,Paramètres!$A$1:$I$89,3,0)*0.475*44/12</f>
        <v>0.90118933310076077</v>
      </c>
      <c r="AB165" s="21">
        <f>EXP(-LN(2)/2)*AB164+(1-EXP(-LN(2)/2))/(LN(2)/2)*V165*Y165*VLOOKUP('Données projet'!$B$9,Paramètres!$A$1:$I$89,3,0)*0.475*44/12</f>
        <v>1.2700229837966164E-7</v>
      </c>
      <c r="AC165" s="22">
        <f t="shared" si="163"/>
        <v>31.152041251582869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971.99999999999977</v>
      </c>
      <c r="AJ165" s="13">
        <f>AI165*VLOOKUP('Données projet'!$B$10,Paramètres!$A$1:$I$89,3,0)*VLOOKUP('Données projet'!$B$10,Paramètres!$A$1:$I$89,5,0)</f>
        <v>581.25599999999986</v>
      </c>
      <c r="AK165" s="13">
        <f t="shared" si="164"/>
        <v>127.68713506014205</v>
      </c>
      <c r="AL165" s="20">
        <f t="shared" si="165"/>
        <v>1234.7426268964139</v>
      </c>
      <c r="AM165" s="59">
        <f t="shared" si="113"/>
        <v>1528.0759602297471</v>
      </c>
      <c r="AN165" s="59">
        <f ca="1">AVERAGE(OFFSET($AM$3,0,0,'Données projet'!$E$10+1,1))-AVERAGE(OFFSET($H$3,0,0,'Données projet'!$E$10+1,1))</f>
        <v>465.77577582457678</v>
      </c>
      <c r="AO165" s="59">
        <f t="shared" si="144"/>
        <v>301.15495784503042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8.4698693462200829</v>
      </c>
      <c r="AV165" s="21">
        <f>EXP(-LN(2)/25)*AV164+(1-EXP(-LN(2)/25))/(LN(2)/25)*Calculateur!AQ165*Calculateur!AS165*VLOOKUP('Données projet'!$B$10,Paramètres!$A$1:$I$89,3,0)*0.475*44/12</f>
        <v>2.3355095592158688</v>
      </c>
      <c r="AW165" s="21">
        <f>EXP(-LN(2)/2)*AW164+(1-EXP(-LN(2)/2))/(LN(2)/2)*AQ165*AT165*VLOOKUP('Données projet'!$B$10,Paramètres!$A$1:$I$89,3,0)*0.475*44/12</f>
        <v>2.3106853931757445E-14</v>
      </c>
      <c r="AX165" s="21">
        <f t="shared" si="166"/>
        <v>10.805378905435974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273.00000000000023</v>
      </c>
      <c r="BE165" s="13">
        <f>BD165*VLOOKUP('Données projet'!$B$11,Paramètres!$A$1:$I$89,3,0)*VLOOKUP('Données projet'!$B$11,Paramètres!$A$1:$I$89,5,0)</f>
        <v>212.9400000000002</v>
      </c>
      <c r="BF165" s="13">
        <f t="shared" si="167"/>
        <v>52.577528895212915</v>
      </c>
      <c r="BG165" s="20">
        <f t="shared" si="168"/>
        <v>462.44302949249618</v>
      </c>
      <c r="BH165" s="59">
        <f t="shared" si="116"/>
        <v>755.77636282582944</v>
      </c>
      <c r="BI165" s="59">
        <f ca="1">AVERAGE(OFFSET($BH$3,0,0,'Données projet'!$E$11+1,1))-AVERAGE(OFFSET($H$3,0,0,'Données projet'!$E$11+1,1))</f>
        <v>219.5868031007679</v>
      </c>
      <c r="BJ165" s="59">
        <f t="shared" si="146"/>
        <v>263.3830219837742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4.3298310626796255</v>
      </c>
      <c r="BQ165" s="21">
        <f>EXP(-LN(2)/25)*BQ164+(1-EXP(-LN(2)/25))/(LN(2)/25)*Calculateur!BL165*Calculateur!BN165*VLOOKUP('Données projet'!$B$11,Paramètres!$A$1:$I$89,3,0)*0.475*44/12</f>
        <v>0.3507819141844965</v>
      </c>
      <c r="BR165" s="21">
        <f>EXP(-LN(2)/2)*BR164+(1-EXP(-LN(2)/2))/(LN(2)/2)*BL165*BO165*VLOOKUP('Données projet'!$B$11,Paramètres!$A$1:$I$89,3,0)*0.475*44/12</f>
        <v>2.1823981588325463E-15</v>
      </c>
      <c r="BS165" s="22">
        <f t="shared" si="169"/>
        <v>4.6806129768641238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243.99999999999989</v>
      </c>
      <c r="BZ165" s="13">
        <f>BY165*VLOOKUP('Données projet'!$B$12,Paramètres!$A$1:$I$89,3,0)*VLOOKUP('Données projet'!$B$12,Paramètres!$A$1:$I$89,5,0)</f>
        <v>262.64159999999987</v>
      </c>
      <c r="CA165" s="13">
        <f t="shared" si="170"/>
        <v>63.285128621471941</v>
      </c>
      <c r="CB165" s="20">
        <f t="shared" si="171"/>
        <v>567.65571901573003</v>
      </c>
      <c r="CC165" s="59">
        <f t="shared" si="119"/>
        <v>860.98905234906329</v>
      </c>
      <c r="CD165" s="59">
        <f ca="1">AVERAGE(OFFSET($CC$3,0,0,'Données projet'!$E$12+1,1))-AVERAGE(OFFSET($H$3,0,0,'Données projet'!$E$12+1,1))</f>
        <v>244.7364260963538</v>
      </c>
      <c r="CE165" s="59">
        <f t="shared" si="148"/>
        <v>270.32853612539299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4.7445708655868399</v>
      </c>
      <c r="CL165" s="21">
        <f>EXP(-LN(2)/25)*CL164+(1-EXP(-LN(2)/25))/(LN(2)/25)*Calculateur!CG165*Calculateur!CI165*VLOOKUP('Données projet'!$B$12,Paramètres!$A$1:$I$89,3,0)*0.475*44/12</f>
        <v>0.38628397899738359</v>
      </c>
      <c r="CM165" s="21">
        <f>EXP(-LN(2)/2)*CM164+(1-EXP(-LN(2)/2))/(LN(2)/2)*CG165*CJ165*VLOOKUP('Données projet'!$B$12,Paramètres!$A$1:$I$89,3,0)*0.475*44/12</f>
        <v>2.2628676540548031E-15</v>
      </c>
      <c r="CN165" s="22">
        <f t="shared" si="172"/>
        <v>5.1308548445842259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243.99999999999989</v>
      </c>
      <c r="CU165" s="17">
        <f>CT165*VLOOKUP('Données projet'!$B$13,Paramètres!$A$1:$I$89,3,0)*VLOOKUP('Données projet'!$B$13,Paramètres!$A$1:$I$89,5,0)</f>
        <v>235.99679999999987</v>
      </c>
      <c r="CV165" s="13">
        <f t="shared" si="173"/>
        <v>57.577381127598322</v>
      </c>
      <c r="CW165" s="20">
        <f t="shared" si="174"/>
        <v>511.30836546390015</v>
      </c>
      <c r="CX165" s="59">
        <f t="shared" si="122"/>
        <v>804.6416987972334</v>
      </c>
      <c r="CY165" s="59">
        <f ca="1">AVERAGE(OFFSET($CX$3,0,0,'Données projet'!$E$13+1,1))-AVERAGE(OFFSET($H$3,0,0,'Données projet'!$E$13+1,1))</f>
        <v>216.39536568500222</v>
      </c>
      <c r="CZ165" s="59">
        <f t="shared" si="150"/>
        <v>239.44686980897467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4.2632375893678871</v>
      </c>
      <c r="DG165" s="21">
        <f>EXP(-LN(2)/25)*DG164+(1-EXP(-LN(2)/25))/(LN(2)/25)*Calculateur!DB165*Calculateur!DD165*VLOOKUP('Données projet'!$B$13,Paramètres!$A$1:$I$89,3,0)*0.475*44/12</f>
        <v>0.34709574924402531</v>
      </c>
      <c r="DH165" s="21">
        <f>EXP(-LN(2)/2)*DH164+(1-EXP(-LN(2)/2))/(LN(2)/2)*DB165*DE165*VLOOKUP('Données projet'!$B$13,Paramètres!$A$1:$I$89,3,0)*0.475*44/12</f>
        <v>2.033301370310111E-15</v>
      </c>
      <c r="DI165" s="22">
        <f t="shared" si="175"/>
        <v>4.6103333386119143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96.626399999999677</v>
      </c>
      <c r="D166" s="11">
        <f t="shared" si="140"/>
        <v>26.156685657024326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947.79925770334319</v>
      </c>
      <c r="H166" s="67">
        <f t="shared" si="110"/>
        <v>507.1805408526501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306.99999999999994</v>
      </c>
      <c r="O166" s="13">
        <f>N166*VLOOKUP('Données projet'!$B$9,Paramètres!$A$1:$I$89,3,0)*VLOOKUP('Données projet'!$B$9,Paramètres!$A$1:$I$89,5,0)</f>
        <v>277.77359999999993</v>
      </c>
      <c r="P166" s="13">
        <f t="shared" si="141"/>
        <v>66.496288176842356</v>
      </c>
      <c r="Q166" s="20">
        <f t="shared" si="162"/>
        <v>599.60338857466706</v>
      </c>
      <c r="R166" s="59">
        <f t="shared" si="109"/>
        <v>892.93672190800044</v>
      </c>
      <c r="S166" s="59">
        <f ca="1">AVERAGE(OFFSET($R$3,0,0,'Données projet'!$E$9+1,1))-AVERAGE(OFFSET($H$3,0,0,'Données projet'!$E$9+1,1))</f>
        <v>330.30341204367602</v>
      </c>
      <c r="T166" s="59">
        <f t="shared" si="142"/>
        <v>200.36653694091007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29.657651039046581</v>
      </c>
      <c r="AA166" s="21">
        <f>EXP(-LN(2)/25)*AA165+(1-EXP(-LN(2)/25))/(LN(2)/25)*Calculateur!V166*Calculateur!X166*VLOOKUP('Données projet'!$B$9,Paramètres!$A$1:$I$89,3,0)*0.475*44/12</f>
        <v>0.87654626339563313</v>
      </c>
      <c r="AB166" s="21">
        <f>EXP(-LN(2)/2)*AB165+(1-EXP(-LN(2)/2))/(LN(2)/2)*V166*Y166*VLOOKUP('Données projet'!$B$9,Paramètres!$A$1:$I$89,3,0)*0.475*44/12</f>
        <v>8.9804186410536026E-8</v>
      </c>
      <c r="AC166" s="22">
        <f t="shared" si="163"/>
        <v>30.534197392246398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971.99999999999977</v>
      </c>
      <c r="AJ166" s="13">
        <f>AI166*VLOOKUP('Données projet'!$B$10,Paramètres!$A$1:$I$89,3,0)*VLOOKUP('Données projet'!$B$10,Paramètres!$A$1:$I$89,5,0)</f>
        <v>581.25599999999986</v>
      </c>
      <c r="AK166" s="13">
        <f t="shared" si="164"/>
        <v>127.68713506014205</v>
      </c>
      <c r="AL166" s="20">
        <f t="shared" si="165"/>
        <v>1234.7426268964139</v>
      </c>
      <c r="AM166" s="59">
        <f t="shared" si="113"/>
        <v>1528.0759602297471</v>
      </c>
      <c r="AN166" s="59">
        <f ca="1">AVERAGE(OFFSET($AM$3,0,0,'Données projet'!$E$10+1,1))-AVERAGE(OFFSET($H$3,0,0,'Données projet'!$E$10+1,1))</f>
        <v>465.77577582457678</v>
      </c>
      <c r="AO166" s="59">
        <f t="shared" si="144"/>
        <v>301.15495784503042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8.3037803744508967</v>
      </c>
      <c r="AV166" s="21">
        <f>EXP(-LN(2)/25)*AV165+(1-EXP(-LN(2)/25))/(LN(2)/25)*Calculateur!AQ166*Calculateur!AS166*VLOOKUP('Données projet'!$B$10,Paramètres!$A$1:$I$89,3,0)*0.475*44/12</f>
        <v>2.271644927500001</v>
      </c>
      <c r="AW166" s="21">
        <f>EXP(-LN(2)/2)*AW165+(1-EXP(-LN(2)/2))/(LN(2)/2)*AQ166*AT166*VLOOKUP('Données projet'!$B$10,Paramètres!$A$1:$I$89,3,0)*0.475*44/12</f>
        <v>1.6339013107032727E-14</v>
      </c>
      <c r="AX166" s="21">
        <f t="shared" si="166"/>
        <v>10.575425301950913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273.00000000000023</v>
      </c>
      <c r="BE166" s="13">
        <f>BD166*VLOOKUP('Données projet'!$B$11,Paramètres!$A$1:$I$89,3,0)*VLOOKUP('Données projet'!$B$11,Paramètres!$A$1:$I$89,5,0)</f>
        <v>212.9400000000002</v>
      </c>
      <c r="BF166" s="13">
        <f t="shared" si="167"/>
        <v>52.577528895212915</v>
      </c>
      <c r="BG166" s="20">
        <f t="shared" si="168"/>
        <v>462.44302949249618</v>
      </c>
      <c r="BH166" s="59">
        <f t="shared" si="116"/>
        <v>755.77636282582944</v>
      </c>
      <c r="BI166" s="59">
        <f ca="1">AVERAGE(OFFSET($BH$3,0,0,'Données projet'!$E$11+1,1))-AVERAGE(OFFSET($H$3,0,0,'Données projet'!$E$11+1,1))</f>
        <v>219.5868031007679</v>
      </c>
      <c r="BJ166" s="59">
        <f t="shared" si="146"/>
        <v>263.3830219837742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4.2449257164766552</v>
      </c>
      <c r="BQ166" s="21">
        <f>EXP(-LN(2)/25)*BQ165+(1-EXP(-LN(2)/25))/(LN(2)/25)*Calculateur!BL166*Calculateur!BN166*VLOOKUP('Données projet'!$B$11,Paramètres!$A$1:$I$89,3,0)*0.475*44/12</f>
        <v>0.34118976429430231</v>
      </c>
      <c r="BR166" s="21">
        <f>EXP(-LN(2)/2)*BR165+(1-EXP(-LN(2)/2))/(LN(2)/2)*BL166*BO166*VLOOKUP('Données projet'!$B$11,Paramètres!$A$1:$I$89,3,0)*0.475*44/12</f>
        <v>1.5431885373595295E-15</v>
      </c>
      <c r="BS166" s="22">
        <f t="shared" si="169"/>
        <v>4.5861154807709594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243.99999999999989</v>
      </c>
      <c r="BZ166" s="13">
        <f>BY166*VLOOKUP('Données projet'!$B$12,Paramètres!$A$1:$I$89,3,0)*VLOOKUP('Données projet'!$B$12,Paramètres!$A$1:$I$89,5,0)</f>
        <v>262.64159999999987</v>
      </c>
      <c r="CA166" s="13">
        <f t="shared" si="170"/>
        <v>63.285128621471941</v>
      </c>
      <c r="CB166" s="20">
        <f t="shared" si="171"/>
        <v>567.65571901573003</v>
      </c>
      <c r="CC166" s="59">
        <f t="shared" si="119"/>
        <v>860.98905234906329</v>
      </c>
      <c r="CD166" s="59">
        <f ca="1">AVERAGE(OFFSET($CC$3,0,0,'Données projet'!$E$12+1,1))-AVERAGE(OFFSET($H$3,0,0,'Données projet'!$E$12+1,1))</f>
        <v>244.7364260963538</v>
      </c>
      <c r="CE166" s="59">
        <f t="shared" si="148"/>
        <v>270.32853612539299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4.6515327248151612</v>
      </c>
      <c r="CL166" s="21">
        <f>EXP(-LN(2)/25)*CL165+(1-EXP(-LN(2)/25))/(LN(2)/25)*Calculateur!CG166*Calculateur!CI166*VLOOKUP('Données projet'!$B$12,Paramètres!$A$1:$I$89,3,0)*0.475*44/12</f>
        <v>0.37572102327790857</v>
      </c>
      <c r="CM166" s="21">
        <f>EXP(-LN(2)/2)*CM165+(1-EXP(-LN(2)/2))/(LN(2)/2)*CG166*CJ166*VLOOKUP('Données projet'!$B$12,Paramètres!$A$1:$I$89,3,0)*0.475*44/12</f>
        <v>1.6000890631098458E-15</v>
      </c>
      <c r="CN166" s="22">
        <f t="shared" si="172"/>
        <v>5.0272537480930719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243.99999999999989</v>
      </c>
      <c r="CU166" s="17">
        <f>CT166*VLOOKUP('Données projet'!$B$13,Paramètres!$A$1:$I$89,3,0)*VLOOKUP('Données projet'!$B$13,Paramètres!$A$1:$I$89,5,0)</f>
        <v>235.99679999999987</v>
      </c>
      <c r="CV166" s="13">
        <f t="shared" si="173"/>
        <v>57.577381127598322</v>
      </c>
      <c r="CW166" s="20">
        <f t="shared" si="174"/>
        <v>511.30836546390015</v>
      </c>
      <c r="CX166" s="59">
        <f t="shared" si="122"/>
        <v>804.6416987972334</v>
      </c>
      <c r="CY166" s="59">
        <f ca="1">AVERAGE(OFFSET($CX$3,0,0,'Données projet'!$E$13+1,1))-AVERAGE(OFFSET($H$3,0,0,'Données projet'!$E$13+1,1))</f>
        <v>216.39536568500222</v>
      </c>
      <c r="CZ166" s="59">
        <f t="shared" si="150"/>
        <v>239.44686980897467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4.1796381005585523</v>
      </c>
      <c r="DG166" s="21">
        <f>EXP(-LN(2)/25)*DG165+(1-EXP(-LN(2)/25))/(LN(2)/25)*Calculateur!DB166*Calculateur!DD166*VLOOKUP('Données projet'!$B$13,Paramètres!$A$1:$I$89,3,0)*0.475*44/12</f>
        <v>0.33760439772797529</v>
      </c>
      <c r="DH166" s="21">
        <f>EXP(-LN(2)/2)*DH165+(1-EXP(-LN(2)/2))/(LN(2)/2)*DB166*DE166*VLOOKUP('Données projet'!$B$13,Paramètres!$A$1:$I$89,3,0)*0.475*44/12</f>
        <v>1.4377611871421789E-15</v>
      </c>
      <c r="DI166" s="22">
        <f t="shared" si="175"/>
        <v>4.5172424982865298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97.219199999999674</v>
      </c>
      <c r="D167" s="11">
        <f t="shared" si="140"/>
        <v>26.298426846893836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953.46940022163415</v>
      </c>
      <c r="H167" s="67">
        <f t="shared" si="110"/>
        <v>508.4598667583395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306.99999999999994</v>
      </c>
      <c r="O167" s="13">
        <f>N167*VLOOKUP('Données projet'!$B$9,Paramètres!$A$1:$I$89,3,0)*VLOOKUP('Données projet'!$B$9,Paramètres!$A$1:$I$89,5,0)</f>
        <v>277.77359999999993</v>
      </c>
      <c r="P167" s="13">
        <f t="shared" si="141"/>
        <v>66.496288176842356</v>
      </c>
      <c r="Q167" s="20">
        <f t="shared" si="162"/>
        <v>599.60338857466706</v>
      </c>
      <c r="R167" s="59">
        <f t="shared" si="109"/>
        <v>892.93672190800044</v>
      </c>
      <c r="S167" s="59">
        <f ca="1">AVERAGE(OFFSET($R$3,0,0,'Données projet'!$E$9+1,1))-AVERAGE(OFFSET($H$3,0,0,'Données projet'!$E$9+1,1))</f>
        <v>330.30341204367602</v>
      </c>
      <c r="T167" s="59">
        <f t="shared" si="142"/>
        <v>200.36653694091007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29.076082591551835</v>
      </c>
      <c r="AA167" s="21">
        <f>EXP(-LN(2)/25)*AA166+(1-EXP(-LN(2)/25))/(LN(2)/25)*Calculateur!V167*Calculateur!X167*VLOOKUP('Données projet'!$B$9,Paramètres!$A$1:$I$89,3,0)*0.475*44/12</f>
        <v>0.85257705972751496</v>
      </c>
      <c r="AB167" s="21">
        <f>EXP(-LN(2)/2)*AB166+(1-EXP(-LN(2)/2))/(LN(2)/2)*V167*Y167*VLOOKUP('Données projet'!$B$9,Paramètres!$A$1:$I$89,3,0)*0.475*44/12</f>
        <v>6.3501149189830822E-8</v>
      </c>
      <c r="AC167" s="22">
        <f t="shared" si="163"/>
        <v>29.928659714780498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971.99999999999977</v>
      </c>
      <c r="AJ167" s="13">
        <f>AI167*VLOOKUP('Données projet'!$B$10,Paramètres!$A$1:$I$89,3,0)*VLOOKUP('Données projet'!$B$10,Paramètres!$A$1:$I$89,5,0)</f>
        <v>581.25599999999986</v>
      </c>
      <c r="AK167" s="13">
        <f t="shared" si="164"/>
        <v>127.68713506014205</v>
      </c>
      <c r="AL167" s="20">
        <f t="shared" si="165"/>
        <v>1234.7426268964139</v>
      </c>
      <c r="AM167" s="59">
        <f t="shared" si="113"/>
        <v>1528.0759602297471</v>
      </c>
      <c r="AN167" s="59">
        <f ca="1">AVERAGE(OFFSET($AM$3,0,0,'Données projet'!$E$10+1,1))-AVERAGE(OFFSET($H$3,0,0,'Données projet'!$E$10+1,1))</f>
        <v>465.77577582457678</v>
      </c>
      <c r="AO167" s="59">
        <f t="shared" si="144"/>
        <v>301.15495784503042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8.1409483061138346</v>
      </c>
      <c r="AV167" s="21">
        <f>EXP(-LN(2)/25)*AV166+(1-EXP(-LN(2)/25))/(LN(2)/25)*Calculateur!AQ167*Calculateur!AS167*VLOOKUP('Données projet'!$B$10,Paramètres!$A$1:$I$89,3,0)*0.475*44/12</f>
        <v>2.2095266774968985</v>
      </c>
      <c r="AW167" s="21">
        <f>EXP(-LN(2)/2)*AW166+(1-EXP(-LN(2)/2))/(LN(2)/2)*AQ167*AT167*VLOOKUP('Données projet'!$B$10,Paramètres!$A$1:$I$89,3,0)*0.475*44/12</f>
        <v>1.1553426965878723E-14</v>
      </c>
      <c r="AX167" s="21">
        <f t="shared" si="166"/>
        <v>10.350474983610745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273.00000000000023</v>
      </c>
      <c r="BE167" s="13">
        <f>BD167*VLOOKUP('Données projet'!$B$11,Paramètres!$A$1:$I$89,3,0)*VLOOKUP('Données projet'!$B$11,Paramètres!$A$1:$I$89,5,0)</f>
        <v>212.9400000000002</v>
      </c>
      <c r="BF167" s="13">
        <f t="shared" si="167"/>
        <v>52.577528895212915</v>
      </c>
      <c r="BG167" s="20">
        <f t="shared" si="168"/>
        <v>462.44302949249618</v>
      </c>
      <c r="BH167" s="59">
        <f t="shared" si="116"/>
        <v>755.77636282582944</v>
      </c>
      <c r="BI167" s="59">
        <f ca="1">AVERAGE(OFFSET($BH$3,0,0,'Données projet'!$E$11+1,1))-AVERAGE(OFFSET($H$3,0,0,'Données projet'!$E$11+1,1))</f>
        <v>219.5868031007679</v>
      </c>
      <c r="BJ167" s="59">
        <f t="shared" si="146"/>
        <v>263.3830219837742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4.1616853123255781</v>
      </c>
      <c r="BQ167" s="21">
        <f>EXP(-LN(2)/25)*BQ166+(1-EXP(-LN(2)/25))/(LN(2)/25)*Calculateur!BL167*Calculateur!BN167*VLOOKUP('Données projet'!$B$11,Paramètres!$A$1:$I$89,3,0)*0.475*44/12</f>
        <v>0.33185991224728473</v>
      </c>
      <c r="BR167" s="21">
        <f>EXP(-LN(2)/2)*BR166+(1-EXP(-LN(2)/2))/(LN(2)/2)*BL167*BO167*VLOOKUP('Données projet'!$B$11,Paramètres!$A$1:$I$89,3,0)*0.475*44/12</f>
        <v>1.0911990794162731E-15</v>
      </c>
      <c r="BS167" s="22">
        <f t="shared" si="169"/>
        <v>4.4935452245728635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243.99999999999989</v>
      </c>
      <c r="BZ167" s="13">
        <f>BY167*VLOOKUP('Données projet'!$B$12,Paramètres!$A$1:$I$89,3,0)*VLOOKUP('Données projet'!$B$12,Paramètres!$A$1:$I$89,5,0)</f>
        <v>262.64159999999987</v>
      </c>
      <c r="CA167" s="13">
        <f t="shared" si="170"/>
        <v>63.285128621471941</v>
      </c>
      <c r="CB167" s="20">
        <f t="shared" si="171"/>
        <v>567.65571901573003</v>
      </c>
      <c r="CC167" s="59">
        <f t="shared" si="119"/>
        <v>860.98905234906329</v>
      </c>
      <c r="CD167" s="59">
        <f ca="1">AVERAGE(OFFSET($CC$3,0,0,'Données projet'!$E$12+1,1))-AVERAGE(OFFSET($H$3,0,0,'Données projet'!$E$12+1,1))</f>
        <v>244.7364260963538</v>
      </c>
      <c r="CE167" s="59">
        <f t="shared" si="148"/>
        <v>270.32853612539299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4.5603190052363525</v>
      </c>
      <c r="CL167" s="21">
        <f>EXP(-LN(2)/25)*CL166+(1-EXP(-LN(2)/25))/(LN(2)/25)*Calculateur!CG167*Calculateur!CI167*VLOOKUP('Données projet'!$B$12,Paramètres!$A$1:$I$89,3,0)*0.475*44/12</f>
        <v>0.36544691213806429</v>
      </c>
      <c r="CM167" s="21">
        <f>EXP(-LN(2)/2)*CM166+(1-EXP(-LN(2)/2))/(LN(2)/2)*CG167*CJ167*VLOOKUP('Données projet'!$B$12,Paramètres!$A$1:$I$89,3,0)*0.475*44/12</f>
        <v>1.1314338270274015E-15</v>
      </c>
      <c r="CN167" s="22">
        <f t="shared" si="172"/>
        <v>4.9257659173744175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243.99999999999989</v>
      </c>
      <c r="CU167" s="17">
        <f>CT167*VLOOKUP('Données projet'!$B$13,Paramètres!$A$1:$I$89,3,0)*VLOOKUP('Données projet'!$B$13,Paramètres!$A$1:$I$89,5,0)</f>
        <v>235.99679999999987</v>
      </c>
      <c r="CV167" s="13">
        <f t="shared" si="173"/>
        <v>57.577381127598322</v>
      </c>
      <c r="CW167" s="20">
        <f t="shared" si="174"/>
        <v>511.30836546390015</v>
      </c>
      <c r="CX167" s="59">
        <f t="shared" si="122"/>
        <v>804.6416987972334</v>
      </c>
      <c r="CY167" s="59">
        <f ca="1">AVERAGE(OFFSET($CX$3,0,0,'Données projet'!$E$13+1,1))-AVERAGE(OFFSET($H$3,0,0,'Données projet'!$E$13+1,1))</f>
        <v>216.39536568500222</v>
      </c>
      <c r="CZ167" s="59">
        <f t="shared" si="150"/>
        <v>239.44686980897467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4.0976779467341151</v>
      </c>
      <c r="DG167" s="21">
        <f>EXP(-LN(2)/25)*DG166+(1-EXP(-LN(2)/25))/(LN(2)/25)*Calculateur!DB167*Calculateur!DD167*VLOOKUP('Données projet'!$B$13,Paramètres!$A$1:$I$89,3,0)*0.475*44/12</f>
        <v>0.32837258771826011</v>
      </c>
      <c r="DH167" s="21">
        <f>EXP(-LN(2)/2)*DH166+(1-EXP(-LN(2)/2))/(LN(2)/2)*DB167*DE167*VLOOKUP('Données projet'!$B$13,Paramètres!$A$1:$I$89,3,0)*0.475*44/12</f>
        <v>1.0166506851550555E-15</v>
      </c>
      <c r="DI167" s="22">
        <f t="shared" si="175"/>
        <v>4.4260505344523757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97.811999999999671</v>
      </c>
      <c r="D168" s="11">
        <f t="shared" si="140"/>
        <v>26.440067470123214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959.13876643603635</v>
      </c>
      <c r="H168" s="67">
        <f t="shared" si="110"/>
        <v>509.73901751046401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306.99999999999994</v>
      </c>
      <c r="O168" s="13">
        <f>N168*VLOOKUP('Données projet'!$B$9,Paramètres!$A$1:$I$89,3,0)*VLOOKUP('Données projet'!$B$9,Paramètres!$A$1:$I$89,5,0)</f>
        <v>277.77359999999993</v>
      </c>
      <c r="P168" s="13">
        <f t="shared" si="141"/>
        <v>66.496288176842356</v>
      </c>
      <c r="Q168" s="20">
        <f t="shared" si="162"/>
        <v>599.60338857466706</v>
      </c>
      <c r="R168" s="59">
        <f t="shared" si="109"/>
        <v>892.93672190800044</v>
      </c>
      <c r="S168" s="59">
        <f ca="1">AVERAGE(OFFSET($R$3,0,0,'Données projet'!$E$9+1,1))-AVERAGE(OFFSET($H$3,0,0,'Données projet'!$E$9+1,1))</f>
        <v>330.30341204367602</v>
      </c>
      <c r="T168" s="59">
        <f t="shared" si="142"/>
        <v>200.36653694091007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28.505918346590732</v>
      </c>
      <c r="AA168" s="21">
        <f>EXP(-LN(2)/25)*AA167+(1-EXP(-LN(2)/25))/(LN(2)/25)*Calculateur!V168*Calculateur!X168*VLOOKUP('Données projet'!$B$9,Paramètres!$A$1:$I$89,3,0)*0.475*44/12</f>
        <v>0.82926329519418707</v>
      </c>
      <c r="AB168" s="21">
        <f>EXP(-LN(2)/2)*AB167+(1-EXP(-LN(2)/2))/(LN(2)/2)*V168*Y168*VLOOKUP('Données projet'!$B$9,Paramètres!$A$1:$I$89,3,0)*0.475*44/12</f>
        <v>4.4902093205268013E-8</v>
      </c>
      <c r="AC168" s="22">
        <f t="shared" si="163"/>
        <v>29.335181686687015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971.99999999999977</v>
      </c>
      <c r="AJ168" s="13">
        <f>AI168*VLOOKUP('Données projet'!$B$10,Paramètres!$A$1:$I$89,3,0)*VLOOKUP('Données projet'!$B$10,Paramètres!$A$1:$I$89,5,0)</f>
        <v>581.25599999999986</v>
      </c>
      <c r="AK168" s="13">
        <f t="shared" si="164"/>
        <v>127.68713506014205</v>
      </c>
      <c r="AL168" s="20">
        <f t="shared" si="165"/>
        <v>1234.7426268964139</v>
      </c>
      <c r="AM168" s="59">
        <f t="shared" si="113"/>
        <v>1528.0759602297471</v>
      </c>
      <c r="AN168" s="59">
        <f ca="1">AVERAGE(OFFSET($AM$3,0,0,'Données projet'!$E$10+1,1))-AVERAGE(OFFSET($H$3,0,0,'Données projet'!$E$10+1,1))</f>
        <v>465.77577582457678</v>
      </c>
      <c r="AO168" s="59">
        <f t="shared" si="144"/>
        <v>301.15495784503042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7.9813092753191075</v>
      </c>
      <c r="AV168" s="21">
        <f>EXP(-LN(2)/25)*AV167+(1-EXP(-LN(2)/25))/(LN(2)/25)*Calculateur!AQ168*Calculateur!AS168*VLOOKUP('Données projet'!$B$10,Paramètres!$A$1:$I$89,3,0)*0.475*44/12</f>
        <v>2.1491070543067878</v>
      </c>
      <c r="AW168" s="21">
        <f>EXP(-LN(2)/2)*AW167+(1-EXP(-LN(2)/2))/(LN(2)/2)*AQ168*AT168*VLOOKUP('Données projet'!$B$10,Paramètres!$A$1:$I$89,3,0)*0.475*44/12</f>
        <v>8.1695065535163636E-15</v>
      </c>
      <c r="AX168" s="21">
        <f t="shared" si="166"/>
        <v>10.130416329625904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273.00000000000023</v>
      </c>
      <c r="BE168" s="13">
        <f>BD168*VLOOKUP('Données projet'!$B$11,Paramètres!$A$1:$I$89,3,0)*VLOOKUP('Données projet'!$B$11,Paramètres!$A$1:$I$89,5,0)</f>
        <v>212.9400000000002</v>
      </c>
      <c r="BF168" s="13">
        <f t="shared" si="167"/>
        <v>52.577528895212915</v>
      </c>
      <c r="BG168" s="20">
        <f t="shared" si="168"/>
        <v>462.44302949249618</v>
      </c>
      <c r="BH168" s="59">
        <f t="shared" si="116"/>
        <v>755.77636282582944</v>
      </c>
      <c r="BI168" s="59">
        <f ca="1">AVERAGE(OFFSET($BH$3,0,0,'Données projet'!$E$11+1,1))-AVERAGE(OFFSET($H$3,0,0,'Données projet'!$E$11+1,1))</f>
        <v>219.5868031007679</v>
      </c>
      <c r="BJ168" s="59">
        <f t="shared" si="146"/>
        <v>263.3830219837742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4.0800772017282698</v>
      </c>
      <c r="BQ168" s="21">
        <f>EXP(-LN(2)/25)*BQ167+(1-EXP(-LN(2)/25))/(LN(2)/25)*Calculateur!BL168*Calculateur!BN168*VLOOKUP('Données projet'!$B$11,Paramètres!$A$1:$I$89,3,0)*0.475*44/12</f>
        <v>0.32278518549512841</v>
      </c>
      <c r="BR168" s="21">
        <f>EXP(-LN(2)/2)*BR167+(1-EXP(-LN(2)/2))/(LN(2)/2)*BL168*BO168*VLOOKUP('Données projet'!$B$11,Paramètres!$A$1:$I$89,3,0)*0.475*44/12</f>
        <v>7.7159426867976476E-16</v>
      </c>
      <c r="BS168" s="22">
        <f t="shared" si="169"/>
        <v>4.402862387223399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243.99999999999989</v>
      </c>
      <c r="BZ168" s="13">
        <f>BY168*VLOOKUP('Données projet'!$B$12,Paramètres!$A$1:$I$89,3,0)*VLOOKUP('Données projet'!$B$12,Paramètres!$A$1:$I$89,5,0)</f>
        <v>262.64159999999987</v>
      </c>
      <c r="CA168" s="13">
        <f t="shared" si="170"/>
        <v>63.285128621471941</v>
      </c>
      <c r="CB168" s="20">
        <f t="shared" si="171"/>
        <v>567.65571901573003</v>
      </c>
      <c r="CC168" s="59">
        <f t="shared" si="119"/>
        <v>860.98905234906329</v>
      </c>
      <c r="CD168" s="59">
        <f ca="1">AVERAGE(OFFSET($CC$3,0,0,'Données projet'!$E$12+1,1))-AVERAGE(OFFSET($H$3,0,0,'Données projet'!$E$12+1,1))</f>
        <v>244.7364260963538</v>
      </c>
      <c r="CE168" s="59">
        <f t="shared" si="148"/>
        <v>270.32853612539299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4.4708939310636087</v>
      </c>
      <c r="CL168" s="21">
        <f>EXP(-LN(2)/25)*CL167+(1-EXP(-LN(2)/25))/(LN(2)/25)*Calculateur!CG168*Calculateur!CI168*VLOOKUP('Données projet'!$B$12,Paramètres!$A$1:$I$89,3,0)*0.475*44/12</f>
        <v>0.35545374710763106</v>
      </c>
      <c r="CM168" s="21">
        <f>EXP(-LN(2)/2)*CM167+(1-EXP(-LN(2)/2))/(LN(2)/2)*CG168*CJ168*VLOOKUP('Données projet'!$B$12,Paramètres!$A$1:$I$89,3,0)*0.475*44/12</f>
        <v>8.0004453155492289E-16</v>
      </c>
      <c r="CN168" s="22">
        <f t="shared" si="172"/>
        <v>4.8263476781712402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243.99999999999989</v>
      </c>
      <c r="CU168" s="17">
        <f>CT168*VLOOKUP('Données projet'!$B$13,Paramètres!$A$1:$I$89,3,0)*VLOOKUP('Données projet'!$B$13,Paramètres!$A$1:$I$89,5,0)</f>
        <v>235.99679999999987</v>
      </c>
      <c r="CV168" s="13">
        <f t="shared" si="173"/>
        <v>57.577381127598322</v>
      </c>
      <c r="CW168" s="20">
        <f t="shared" si="174"/>
        <v>511.30836546390015</v>
      </c>
      <c r="CX168" s="59">
        <f t="shared" si="122"/>
        <v>804.6416987972334</v>
      </c>
      <c r="CY168" s="59">
        <f ca="1">AVERAGE(OFFSET($CX$3,0,0,'Données projet'!$E$13+1,1))-AVERAGE(OFFSET($H$3,0,0,'Données projet'!$E$13+1,1))</f>
        <v>216.39536568500222</v>
      </c>
      <c r="CZ168" s="59">
        <f t="shared" si="150"/>
        <v>239.44686980897467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4.0173249815354177</v>
      </c>
      <c r="DG168" s="21">
        <f>EXP(-LN(2)/25)*DG167+(1-EXP(-LN(2)/25))/(LN(2)/25)*Calculateur!DB168*Calculateur!DD168*VLOOKUP('Données projet'!$B$13,Paramètres!$A$1:$I$89,3,0)*0.475*44/12</f>
        <v>0.31939322203874043</v>
      </c>
      <c r="DH168" s="21">
        <f>EXP(-LN(2)/2)*DH167+(1-EXP(-LN(2)/2))/(LN(2)/2)*DB168*DE168*VLOOKUP('Données projet'!$B$13,Paramètres!$A$1:$I$89,3,0)*0.475*44/12</f>
        <v>7.1888059357108945E-16</v>
      </c>
      <c r="DI168" s="22">
        <f t="shared" si="175"/>
        <v>4.3367182035741587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98.404799999999668</v>
      </c>
      <c r="D169" s="11">
        <f t="shared" si="140"/>
        <v>26.581608206920826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964.8073615972811</v>
      </c>
      <c r="H169" s="67">
        <f t="shared" si="110"/>
        <v>511.01799429371982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306.99999999999994</v>
      </c>
      <c r="O169" s="13">
        <f>N169*VLOOKUP('Données projet'!$B$9,Paramètres!$A$1:$I$89,3,0)*VLOOKUP('Données projet'!$B$9,Paramètres!$A$1:$I$89,5,0)</f>
        <v>277.77359999999993</v>
      </c>
      <c r="P169" s="13">
        <f t="shared" si="141"/>
        <v>66.496288176842356</v>
      </c>
      <c r="Q169" s="20">
        <f t="shared" si="162"/>
        <v>599.60338857466706</v>
      </c>
      <c r="R169" s="59">
        <f t="shared" si="109"/>
        <v>892.93672190800044</v>
      </c>
      <c r="S169" s="59">
        <f ca="1">AVERAGE(OFFSET($R$3,0,0,'Données projet'!$E$9+1,1))-AVERAGE(OFFSET($H$3,0,0,'Données projet'!$E$9+1,1))</f>
        <v>330.30341204367602</v>
      </c>
      <c r="T169" s="59">
        <f t="shared" si="142"/>
        <v>200.36653694091007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27.946934674707467</v>
      </c>
      <c r="AA169" s="21">
        <f>EXP(-LN(2)/25)*AA168+(1-EXP(-LN(2)/25))/(LN(2)/25)*Calculateur!V169*Calculateur!X169*VLOOKUP('Données projet'!$B$9,Paramètres!$A$1:$I$89,3,0)*0.475*44/12</f>
        <v>0.80658704677804061</v>
      </c>
      <c r="AB169" s="21">
        <f>EXP(-LN(2)/2)*AB168+(1-EXP(-LN(2)/2))/(LN(2)/2)*V169*Y169*VLOOKUP('Données projet'!$B$9,Paramètres!$A$1:$I$89,3,0)*0.475*44/12</f>
        <v>3.1750574594915411E-8</v>
      </c>
      <c r="AC169" s="22">
        <f t="shared" si="163"/>
        <v>28.753521753236083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971.99999999999977</v>
      </c>
      <c r="AJ169" s="13">
        <f>AI169*VLOOKUP('Données projet'!$B$10,Paramètres!$A$1:$I$89,3,0)*VLOOKUP('Données projet'!$B$10,Paramètres!$A$1:$I$89,5,0)</f>
        <v>581.25599999999986</v>
      </c>
      <c r="AK169" s="13">
        <f t="shared" si="164"/>
        <v>127.68713506014205</v>
      </c>
      <c r="AL169" s="20">
        <f t="shared" si="165"/>
        <v>1234.7426268964139</v>
      </c>
      <c r="AM169" s="59">
        <f t="shared" si="113"/>
        <v>1528.0759602297471</v>
      </c>
      <c r="AN169" s="59">
        <f ca="1">AVERAGE(OFFSET($AM$3,0,0,'Données projet'!$E$10+1,1))-AVERAGE(OFFSET($H$3,0,0,'Données projet'!$E$10+1,1))</f>
        <v>465.77577582457678</v>
      </c>
      <c r="AO169" s="59">
        <f t="shared" si="144"/>
        <v>301.15495784503042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7.8248006685480709</v>
      </c>
      <c r="AV169" s="21">
        <f>EXP(-LN(2)/25)*AV168+(1-EXP(-LN(2)/25))/(LN(2)/25)*Calculateur!AQ169*Calculateur!AS169*VLOOKUP('Données projet'!$B$10,Paramètres!$A$1:$I$89,3,0)*0.475*44/12</f>
        <v>2.0903396088901407</v>
      </c>
      <c r="AW169" s="21">
        <f>EXP(-LN(2)/2)*AW168+(1-EXP(-LN(2)/2))/(LN(2)/2)*AQ169*AT169*VLOOKUP('Données projet'!$B$10,Paramètres!$A$1:$I$89,3,0)*0.475*44/12</f>
        <v>5.7767134829393613E-15</v>
      </c>
      <c r="AX169" s="21">
        <f t="shared" si="166"/>
        <v>9.9151402774382174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273.00000000000023</v>
      </c>
      <c r="BE169" s="13">
        <f>BD169*VLOOKUP('Données projet'!$B$11,Paramètres!$A$1:$I$89,3,0)*VLOOKUP('Données projet'!$B$11,Paramètres!$A$1:$I$89,5,0)</f>
        <v>212.9400000000002</v>
      </c>
      <c r="BF169" s="13">
        <f t="shared" si="167"/>
        <v>52.577528895212915</v>
      </c>
      <c r="BG169" s="20">
        <f t="shared" si="168"/>
        <v>462.44302949249618</v>
      </c>
      <c r="BH169" s="59">
        <f t="shared" si="116"/>
        <v>755.77636282582944</v>
      </c>
      <c r="BI169" s="59">
        <f ca="1">AVERAGE(OFFSET($BH$3,0,0,'Données projet'!$E$11+1,1))-AVERAGE(OFFSET($H$3,0,0,'Données projet'!$E$11+1,1))</f>
        <v>219.5868031007679</v>
      </c>
      <c r="BJ169" s="59">
        <f t="shared" si="146"/>
        <v>263.3830219837742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4.0000693764037427</v>
      </c>
      <c r="BQ169" s="21">
        <f>EXP(-LN(2)/25)*BQ168+(1-EXP(-LN(2)/25))/(LN(2)/25)*Calculateur!BL169*Calculateur!BN169*VLOOKUP('Données projet'!$B$11,Paramètres!$A$1:$I$89,3,0)*0.475*44/12</f>
        <v>0.31395860762322897</v>
      </c>
      <c r="BR169" s="21">
        <f>EXP(-LN(2)/2)*BR168+(1-EXP(-LN(2)/2))/(LN(2)/2)*BL169*BO169*VLOOKUP('Données projet'!$B$11,Paramètres!$A$1:$I$89,3,0)*0.475*44/12</f>
        <v>5.4559953970813657E-16</v>
      </c>
      <c r="BS169" s="22">
        <f t="shared" si="169"/>
        <v>4.3140279840269722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243.99999999999989</v>
      </c>
      <c r="BZ169" s="13">
        <f>BY169*VLOOKUP('Données projet'!$B$12,Paramètres!$A$1:$I$89,3,0)*VLOOKUP('Données projet'!$B$12,Paramètres!$A$1:$I$89,5,0)</f>
        <v>262.64159999999987</v>
      </c>
      <c r="CA169" s="13">
        <f t="shared" si="170"/>
        <v>63.285128621471941</v>
      </c>
      <c r="CB169" s="20">
        <f t="shared" si="171"/>
        <v>567.65571901573003</v>
      </c>
      <c r="CC169" s="59">
        <f t="shared" si="119"/>
        <v>860.98905234906329</v>
      </c>
      <c r="CD169" s="59">
        <f ca="1">AVERAGE(OFFSET($CC$3,0,0,'Données projet'!$E$12+1,1))-AVERAGE(OFFSET($H$3,0,0,'Données projet'!$E$12+1,1))</f>
        <v>244.7364260963538</v>
      </c>
      <c r="CE169" s="59">
        <f t="shared" si="148"/>
        <v>270.32853612539299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4.3832224280514831</v>
      </c>
      <c r="CL169" s="21">
        <f>EXP(-LN(2)/25)*CL168+(1-EXP(-LN(2)/25))/(LN(2)/25)*Calculateur!CG169*Calculateur!CI169*VLOOKUP('Données projet'!$B$12,Paramètres!$A$1:$I$89,3,0)*0.475*44/12</f>
        <v>0.34573384570047272</v>
      </c>
      <c r="CM169" s="21">
        <f>EXP(-LN(2)/2)*CM168+(1-EXP(-LN(2)/2))/(LN(2)/2)*CG169*CJ169*VLOOKUP('Données projet'!$B$12,Paramètres!$A$1:$I$89,3,0)*0.475*44/12</f>
        <v>5.6571691351370077E-16</v>
      </c>
      <c r="CN169" s="22">
        <f t="shared" si="172"/>
        <v>4.7289562737519564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243.99999999999989</v>
      </c>
      <c r="CU169" s="17">
        <f>CT169*VLOOKUP('Données projet'!$B$13,Paramètres!$A$1:$I$89,3,0)*VLOOKUP('Données projet'!$B$13,Paramètres!$A$1:$I$89,5,0)</f>
        <v>235.99679999999987</v>
      </c>
      <c r="CV169" s="13">
        <f t="shared" si="173"/>
        <v>57.577381127598322</v>
      </c>
      <c r="CW169" s="20">
        <f t="shared" si="174"/>
        <v>511.30836546390015</v>
      </c>
      <c r="CX169" s="59">
        <f t="shared" si="122"/>
        <v>804.6416987972334</v>
      </c>
      <c r="CY169" s="59">
        <f ca="1">AVERAGE(OFFSET($CX$3,0,0,'Données projet'!$E$13+1,1))-AVERAGE(OFFSET($H$3,0,0,'Données projet'!$E$13+1,1))</f>
        <v>216.39536568500222</v>
      </c>
      <c r="CZ169" s="59">
        <f t="shared" si="150"/>
        <v>239.44686980897467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3.9385476889737974</v>
      </c>
      <c r="DG169" s="21">
        <f>EXP(-LN(2)/25)*DG168+(1-EXP(-LN(2)/25))/(LN(2)/25)*Calculateur!DB169*Calculateur!DD169*VLOOKUP('Données projet'!$B$13,Paramètres!$A$1:$I$89,3,0)*0.475*44/12</f>
        <v>0.31065939758593153</v>
      </c>
      <c r="DH169" s="21">
        <f>EXP(-LN(2)/2)*DH168+(1-EXP(-LN(2)/2))/(LN(2)/2)*DB169*DE169*VLOOKUP('Données projet'!$B$13,Paramètres!$A$1:$I$89,3,0)*0.475*44/12</f>
        <v>5.0832534257752774E-16</v>
      </c>
      <c r="DI169" s="22">
        <f t="shared" si="175"/>
        <v>4.2492070865597293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98.997599999999665</v>
      </c>
      <c r="D170" s="11">
        <f t="shared" si="140"/>
        <v>26.723049728825711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970.47519088917841</v>
      </c>
      <c r="H170" s="67">
        <f t="shared" si="110"/>
        <v>512.29679827770417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306.99999999999994</v>
      </c>
      <c r="O170" s="13">
        <f>N170*VLOOKUP('Données projet'!$B$9,Paramètres!$A$1:$I$89,3,0)*VLOOKUP('Données projet'!$B$9,Paramètres!$A$1:$I$89,5,0)</f>
        <v>277.77359999999993</v>
      </c>
      <c r="P170" s="13">
        <f t="shared" si="141"/>
        <v>66.496288176842356</v>
      </c>
      <c r="Q170" s="20">
        <f t="shared" si="162"/>
        <v>599.60338857466706</v>
      </c>
      <c r="R170" s="59">
        <f t="shared" si="109"/>
        <v>892.93672190800044</v>
      </c>
      <c r="S170" s="59">
        <f ca="1">AVERAGE(OFFSET($R$3,0,0,'Données projet'!$E$9+1,1))-AVERAGE(OFFSET($H$3,0,0,'Données projet'!$E$9+1,1))</f>
        <v>330.30341204367602</v>
      </c>
      <c r="T170" s="59">
        <f t="shared" si="142"/>
        <v>200.36653694091007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27.398912331683459</v>
      </c>
      <c r="AA170" s="21">
        <f>EXP(-LN(2)/25)*AA169+(1-EXP(-LN(2)/25))/(LN(2)/25)*Calculateur!V170*Calculateur!X170*VLOOKUP('Données projet'!$B$9,Paramètres!$A$1:$I$89,3,0)*0.475*44/12</f>
        <v>0.78453088156732576</v>
      </c>
      <c r="AB170" s="21">
        <f>EXP(-LN(2)/2)*AB169+(1-EXP(-LN(2)/2))/(LN(2)/2)*V170*Y170*VLOOKUP('Données projet'!$B$9,Paramètres!$A$1:$I$89,3,0)*0.475*44/12</f>
        <v>2.2451046602634006E-8</v>
      </c>
      <c r="AC170" s="22">
        <f t="shared" si="163"/>
        <v>28.18344323570183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971.99999999999977</v>
      </c>
      <c r="AJ170" s="13">
        <f>AI170*VLOOKUP('Données projet'!$B$10,Paramètres!$A$1:$I$89,3,0)*VLOOKUP('Données projet'!$B$10,Paramètres!$A$1:$I$89,5,0)</f>
        <v>581.25599999999986</v>
      </c>
      <c r="AK170" s="13">
        <f t="shared" si="164"/>
        <v>127.68713506014205</v>
      </c>
      <c r="AL170" s="20">
        <f t="shared" si="165"/>
        <v>1234.7426268964139</v>
      </c>
      <c r="AM170" s="59">
        <f t="shared" si="113"/>
        <v>1528.0759602297471</v>
      </c>
      <c r="AN170" s="59">
        <f ca="1">AVERAGE(OFFSET($AM$3,0,0,'Données projet'!$E$10+1,1))-AVERAGE(OFFSET($H$3,0,0,'Données projet'!$E$10+1,1))</f>
        <v>465.77577582457678</v>
      </c>
      <c r="AO170" s="59">
        <f t="shared" si="144"/>
        <v>301.15495784503042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7.6713611000949902</v>
      </c>
      <c r="AV170" s="21">
        <f>EXP(-LN(2)/25)*AV169+(1-EXP(-LN(2)/25))/(LN(2)/25)*Calculateur!AQ170*Calculateur!AS170*VLOOKUP('Données projet'!$B$10,Paramètres!$A$1:$I$89,3,0)*0.475*44/12</f>
        <v>2.0331791623588571</v>
      </c>
      <c r="AW170" s="21">
        <f>EXP(-LN(2)/2)*AW169+(1-EXP(-LN(2)/2))/(LN(2)/2)*AQ170*AT170*VLOOKUP('Données projet'!$B$10,Paramètres!$A$1:$I$89,3,0)*0.475*44/12</f>
        <v>4.0847532767581818E-15</v>
      </c>
      <c r="AX170" s="21">
        <f t="shared" si="166"/>
        <v>9.7045402624538504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273.00000000000023</v>
      </c>
      <c r="BE170" s="13">
        <f>BD170*VLOOKUP('Données projet'!$B$11,Paramètres!$A$1:$I$89,3,0)*VLOOKUP('Données projet'!$B$11,Paramètres!$A$1:$I$89,5,0)</f>
        <v>212.9400000000002</v>
      </c>
      <c r="BF170" s="13">
        <f t="shared" si="167"/>
        <v>52.577528895212915</v>
      </c>
      <c r="BG170" s="20">
        <f t="shared" si="168"/>
        <v>462.44302949249618</v>
      </c>
      <c r="BH170" s="59">
        <f t="shared" si="116"/>
        <v>755.77636282582944</v>
      </c>
      <c r="BI170" s="59">
        <f ca="1">AVERAGE(OFFSET($BH$3,0,0,'Données projet'!$E$11+1,1))-AVERAGE(OFFSET($H$3,0,0,'Données projet'!$E$11+1,1))</f>
        <v>219.5868031007679</v>
      </c>
      <c r="BJ170" s="59">
        <f t="shared" si="146"/>
        <v>263.3830219837742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3.9216304557338746</v>
      </c>
      <c r="BQ170" s="21">
        <f>EXP(-LN(2)/25)*BQ169+(1-EXP(-LN(2)/25))/(LN(2)/25)*Calculateur!BL170*Calculateur!BN170*VLOOKUP('Données projet'!$B$11,Paramètres!$A$1:$I$89,3,0)*0.475*44/12</f>
        <v>0.30537339298740618</v>
      </c>
      <c r="BR170" s="21">
        <f>EXP(-LN(2)/2)*BR169+(1-EXP(-LN(2)/2))/(LN(2)/2)*BL170*BO170*VLOOKUP('Données projet'!$B$11,Paramètres!$A$1:$I$89,3,0)*0.475*44/12</f>
        <v>3.8579713433988238E-16</v>
      </c>
      <c r="BS170" s="22">
        <f t="shared" si="169"/>
        <v>4.2270038487212807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243.99999999999989</v>
      </c>
      <c r="BZ170" s="13">
        <f>BY170*VLOOKUP('Données projet'!$B$12,Paramètres!$A$1:$I$89,3,0)*VLOOKUP('Données projet'!$B$12,Paramètres!$A$1:$I$89,5,0)</f>
        <v>262.64159999999987</v>
      </c>
      <c r="CA170" s="13">
        <f t="shared" si="170"/>
        <v>63.285128621471941</v>
      </c>
      <c r="CB170" s="20">
        <f t="shared" si="171"/>
        <v>567.65571901573003</v>
      </c>
      <c r="CC170" s="59">
        <f t="shared" si="119"/>
        <v>860.98905234906329</v>
      </c>
      <c r="CD170" s="59">
        <f ca="1">AVERAGE(OFFSET($CC$3,0,0,'Données projet'!$E$12+1,1))-AVERAGE(OFFSET($H$3,0,0,'Données projet'!$E$12+1,1))</f>
        <v>244.7364260963538</v>
      </c>
      <c r="CE170" s="59">
        <f t="shared" si="148"/>
        <v>270.32853612539299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4.2972701097390882</v>
      </c>
      <c r="CL170" s="21">
        <f>EXP(-LN(2)/25)*CL169+(1-EXP(-LN(2)/25))/(LN(2)/25)*Calculateur!CG170*Calculateur!CI170*VLOOKUP('Données projet'!$B$12,Paramètres!$A$1:$I$89,3,0)*0.475*44/12</f>
        <v>0.33627973550844054</v>
      </c>
      <c r="CM170" s="21">
        <f>EXP(-LN(2)/2)*CM169+(1-EXP(-LN(2)/2))/(LN(2)/2)*CG170*CJ170*VLOOKUP('Données projet'!$B$12,Paramètres!$A$1:$I$89,3,0)*0.475*44/12</f>
        <v>4.0002226577746145E-16</v>
      </c>
      <c r="CN170" s="22">
        <f t="shared" si="172"/>
        <v>4.6335498452475283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243.99999999999989</v>
      </c>
      <c r="CU170" s="17">
        <f>CT170*VLOOKUP('Données projet'!$B$13,Paramètres!$A$1:$I$89,3,0)*VLOOKUP('Données projet'!$B$13,Paramètres!$A$1:$I$89,5,0)</f>
        <v>235.99679999999987</v>
      </c>
      <c r="CV170" s="13">
        <f t="shared" si="173"/>
        <v>57.577381127598322</v>
      </c>
      <c r="CW170" s="20">
        <f t="shared" si="174"/>
        <v>511.30836546390015</v>
      </c>
      <c r="CX170" s="59">
        <f t="shared" si="122"/>
        <v>804.6416987972334</v>
      </c>
      <c r="CY170" s="59">
        <f ca="1">AVERAGE(OFFSET($CX$3,0,0,'Données projet'!$E$13+1,1))-AVERAGE(OFFSET($H$3,0,0,'Données projet'!$E$13+1,1))</f>
        <v>216.39536568500222</v>
      </c>
      <c r="CZ170" s="59">
        <f t="shared" si="150"/>
        <v>239.44686980897467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3.8613151710699065</v>
      </c>
      <c r="DG170" s="21">
        <f>EXP(-LN(2)/25)*DG169+(1-EXP(-LN(2)/25))/(LN(2)/25)*Calculateur!DB170*Calculateur!DD170*VLOOKUP('Données projet'!$B$13,Paramètres!$A$1:$I$89,3,0)*0.475*44/12</f>
        <v>0.30216440002207651</v>
      </c>
      <c r="DH170" s="21">
        <f>EXP(-LN(2)/2)*DH169+(1-EXP(-LN(2)/2))/(LN(2)/2)*DB170*DE170*VLOOKUP('Données projet'!$B$13,Paramètres!$A$1:$I$89,3,0)*0.475*44/12</f>
        <v>3.5944029678554473E-16</v>
      </c>
      <c r="DI170" s="22">
        <f t="shared" si="175"/>
        <v>4.1634795710919832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99.590399999999661</v>
      </c>
      <c r="D171" s="11">
        <f t="shared" si="140"/>
        <v>26.864392698869253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976.14225942986525</v>
      </c>
      <c r="H171" s="67">
        <f t="shared" si="110"/>
        <v>513.57543061719662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306.99999999999994</v>
      </c>
      <c r="O171" s="13">
        <f>N171*VLOOKUP('Données projet'!$B$9,Paramètres!$A$1:$I$89,3,0)*VLOOKUP('Données projet'!$B$9,Paramètres!$A$1:$I$89,5,0)</f>
        <v>277.77359999999993</v>
      </c>
      <c r="P171" s="13">
        <f t="shared" si="141"/>
        <v>66.496288176842356</v>
      </c>
      <c r="Q171" s="20">
        <f t="shared" si="162"/>
        <v>599.60338857466706</v>
      </c>
      <c r="R171" s="59">
        <f t="shared" si="109"/>
        <v>892.93672190800044</v>
      </c>
      <c r="S171" s="59">
        <f ca="1">AVERAGE(OFFSET($R$3,0,0,'Données projet'!$E$9+1,1))-AVERAGE(OFFSET($H$3,0,0,'Données projet'!$E$9+1,1))</f>
        <v>330.30341204367602</v>
      </c>
      <c r="T171" s="59">
        <f t="shared" si="142"/>
        <v>200.36653694091007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26.861636372545526</v>
      </c>
      <c r="AA171" s="21">
        <f>EXP(-LN(2)/25)*AA170+(1-EXP(-LN(2)/25))/(LN(2)/25)*Calculateur!V171*Calculateur!X171*VLOOKUP('Données projet'!$B$9,Paramètres!$A$1:$I$89,3,0)*0.475*44/12</f>
        <v>0.76307784335418127</v>
      </c>
      <c r="AB171" s="21">
        <f>EXP(-LN(2)/2)*AB170+(1-EXP(-LN(2)/2))/(LN(2)/2)*V171*Y171*VLOOKUP('Données projet'!$B$9,Paramètres!$A$1:$I$89,3,0)*0.475*44/12</f>
        <v>1.5875287297457706E-8</v>
      </c>
      <c r="AC171" s="22">
        <f t="shared" si="163"/>
        <v>27.624714231774995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971.99999999999977</v>
      </c>
      <c r="AJ171" s="13">
        <f>AI171*VLOOKUP('Données projet'!$B$10,Paramètres!$A$1:$I$89,3,0)*VLOOKUP('Données projet'!$B$10,Paramètres!$A$1:$I$89,5,0)</f>
        <v>581.25599999999986</v>
      </c>
      <c r="AK171" s="13">
        <f t="shared" si="164"/>
        <v>127.68713506014205</v>
      </c>
      <c r="AL171" s="20">
        <f t="shared" si="165"/>
        <v>1234.7426268964139</v>
      </c>
      <c r="AM171" s="59">
        <f t="shared" si="113"/>
        <v>1528.0759602297471</v>
      </c>
      <c r="AN171" s="59">
        <f ca="1">AVERAGE(OFFSET($AM$3,0,0,'Données projet'!$E$10+1,1))-AVERAGE(OFFSET($H$3,0,0,'Données projet'!$E$10+1,1))</f>
        <v>465.77577582457678</v>
      </c>
      <c r="AO171" s="59">
        <f t="shared" si="144"/>
        <v>301.15495784503042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7.5209303879903793</v>
      </c>
      <c r="AV171" s="21">
        <f>EXP(-LN(2)/25)*AV170+(1-EXP(-LN(2)/25))/(LN(2)/25)*Calculateur!AQ171*Calculateur!AS171*VLOOKUP('Données projet'!$B$10,Paramètres!$A$1:$I$89,3,0)*0.475*44/12</f>
        <v>1.977581771243909</v>
      </c>
      <c r="AW171" s="21">
        <f>EXP(-LN(2)/2)*AW170+(1-EXP(-LN(2)/2))/(LN(2)/2)*AQ171*AT171*VLOOKUP('Données projet'!$B$10,Paramètres!$A$1:$I$89,3,0)*0.475*44/12</f>
        <v>2.8883567414696807E-15</v>
      </c>
      <c r="AX171" s="21">
        <f t="shared" si="166"/>
        <v>9.4985121592342914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273.00000000000023</v>
      </c>
      <c r="BE171" s="13">
        <f>BD171*VLOOKUP('Données projet'!$B$11,Paramètres!$A$1:$I$89,3,0)*VLOOKUP('Données projet'!$B$11,Paramètres!$A$1:$I$89,5,0)</f>
        <v>212.9400000000002</v>
      </c>
      <c r="BF171" s="13">
        <f t="shared" si="167"/>
        <v>52.577528895212915</v>
      </c>
      <c r="BG171" s="20">
        <f t="shared" si="168"/>
        <v>462.44302949249618</v>
      </c>
      <c r="BH171" s="59">
        <f t="shared" si="116"/>
        <v>755.77636282582944</v>
      </c>
      <c r="BI171" s="59">
        <f ca="1">AVERAGE(OFFSET($BH$3,0,0,'Données projet'!$E$11+1,1))-AVERAGE(OFFSET($H$3,0,0,'Données projet'!$E$11+1,1))</f>
        <v>219.5868031007679</v>
      </c>
      <c r="BJ171" s="59">
        <f t="shared" si="146"/>
        <v>263.3830219837742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3.844729674455325</v>
      </c>
      <c r="BQ171" s="21">
        <f>EXP(-LN(2)/25)*BQ170+(1-EXP(-LN(2)/25))/(LN(2)/25)*Calculateur!BL171*Calculateur!BN171*VLOOKUP('Données projet'!$B$11,Paramètres!$A$1:$I$89,3,0)*0.475*44/12</f>
        <v>0.29702294149727676</v>
      </c>
      <c r="BR171" s="21">
        <f>EXP(-LN(2)/2)*BR170+(1-EXP(-LN(2)/2))/(LN(2)/2)*BL171*BO171*VLOOKUP('Données projet'!$B$11,Paramètres!$A$1:$I$89,3,0)*0.475*44/12</f>
        <v>2.7279976985406828E-16</v>
      </c>
      <c r="BS171" s="22">
        <f t="shared" si="169"/>
        <v>4.1417526159526021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243.99999999999989</v>
      </c>
      <c r="BZ171" s="13">
        <f>BY171*VLOOKUP('Données projet'!$B$12,Paramètres!$A$1:$I$89,3,0)*VLOOKUP('Données projet'!$B$12,Paramètres!$A$1:$I$89,5,0)</f>
        <v>262.64159999999987</v>
      </c>
      <c r="CA171" s="13">
        <f t="shared" si="170"/>
        <v>63.285128621471941</v>
      </c>
      <c r="CB171" s="20">
        <f t="shared" si="171"/>
        <v>567.65571901573003</v>
      </c>
      <c r="CC171" s="59">
        <f t="shared" si="119"/>
        <v>860.98905234906329</v>
      </c>
      <c r="CD171" s="59">
        <f ca="1">AVERAGE(OFFSET($CC$3,0,0,'Données projet'!$E$12+1,1))-AVERAGE(OFFSET($H$3,0,0,'Données projet'!$E$12+1,1))</f>
        <v>244.7364260963538</v>
      </c>
      <c r="CE171" s="59">
        <f t="shared" si="148"/>
        <v>270.32853612539299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4.2130032639630617</v>
      </c>
      <c r="CL171" s="21">
        <f>EXP(-LN(2)/25)*CL170+(1-EXP(-LN(2)/25))/(LN(2)/25)*Calculateur!CG171*Calculateur!CI171*VLOOKUP('Données projet'!$B$12,Paramètres!$A$1:$I$89,3,0)*0.475*44/12</f>
        <v>0.32708414845677952</v>
      </c>
      <c r="CM171" s="21">
        <f>EXP(-LN(2)/2)*CM170+(1-EXP(-LN(2)/2))/(LN(2)/2)*CG171*CJ171*VLOOKUP('Données projet'!$B$12,Paramètres!$A$1:$I$89,3,0)*0.475*44/12</f>
        <v>2.8285845675685039E-16</v>
      </c>
      <c r="CN171" s="22">
        <f t="shared" si="172"/>
        <v>4.5400874124198412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243.99999999999989</v>
      </c>
      <c r="CU171" s="17">
        <f>CT171*VLOOKUP('Données projet'!$B$13,Paramètres!$A$1:$I$89,3,0)*VLOOKUP('Données projet'!$B$13,Paramètres!$A$1:$I$89,5,0)</f>
        <v>235.99679999999987</v>
      </c>
      <c r="CV171" s="13">
        <f t="shared" si="173"/>
        <v>57.577381127598322</v>
      </c>
      <c r="CW171" s="20">
        <f t="shared" si="174"/>
        <v>511.30836546390015</v>
      </c>
      <c r="CX171" s="59">
        <f t="shared" si="122"/>
        <v>804.6416987972334</v>
      </c>
      <c r="CY171" s="59">
        <f ca="1">AVERAGE(OFFSET($CX$3,0,0,'Données projet'!$E$13+1,1))-AVERAGE(OFFSET($H$3,0,0,'Données projet'!$E$13+1,1))</f>
        <v>216.39536568500222</v>
      </c>
      <c r="CZ171" s="59">
        <f t="shared" si="150"/>
        <v>239.44686980897467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3.7855971357349265</v>
      </c>
      <c r="DG171" s="21">
        <f>EXP(-LN(2)/25)*DG170+(1-EXP(-LN(2)/25))/(LN(2)/25)*Calculateur!DB171*Calculateur!DD171*VLOOKUP('Données projet'!$B$13,Paramètres!$A$1:$I$89,3,0)*0.475*44/12</f>
        <v>0.29390169861333765</v>
      </c>
      <c r="DH171" s="21">
        <f>EXP(-LN(2)/2)*DH170+(1-EXP(-LN(2)/2))/(LN(2)/2)*DB171*DE171*VLOOKUP('Données projet'!$B$13,Paramètres!$A$1:$I$89,3,0)*0.475*44/12</f>
        <v>2.5416267128876387E-16</v>
      </c>
      <c r="DI171" s="22">
        <f t="shared" si="175"/>
        <v>4.0794988343482643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100.18319999999966</v>
      </c>
      <c r="D172" s="11">
        <f t="shared" si="140"/>
        <v>27.005637771732946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981.80857227302374</v>
      </c>
      <c r="H172" s="67">
        <f t="shared" si="110"/>
        <v>514.85389245243425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306.99999999999994</v>
      </c>
      <c r="O172" s="13">
        <f>N172*VLOOKUP('Données projet'!$B$9,Paramètres!$A$1:$I$89,3,0)*VLOOKUP('Données projet'!$B$9,Paramètres!$A$1:$I$89,5,0)</f>
        <v>277.77359999999993</v>
      </c>
      <c r="P172" s="13">
        <f t="shared" si="141"/>
        <v>66.496288176842356</v>
      </c>
      <c r="Q172" s="20">
        <f t="shared" si="162"/>
        <v>599.60338857466706</v>
      </c>
      <c r="R172" s="59">
        <f t="shared" si="109"/>
        <v>892.93672190800044</v>
      </c>
      <c r="S172" s="59">
        <f ca="1">AVERAGE(OFFSET($R$3,0,0,'Données projet'!$E$9+1,1))-AVERAGE(OFFSET($H$3,0,0,'Données projet'!$E$9+1,1))</f>
        <v>330.30341204367602</v>
      </c>
      <c r="T172" s="59">
        <f t="shared" si="142"/>
        <v>200.36653694091007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26.334896067260313</v>
      </c>
      <c r="AA172" s="21">
        <f>EXP(-LN(2)/25)*AA171+(1-EXP(-LN(2)/25))/(LN(2)/25)*Calculateur!V172*Calculateur!X172*VLOOKUP('Données projet'!$B$9,Paramètres!$A$1:$I$89,3,0)*0.475*44/12</f>
        <v>0.74221143959914149</v>
      </c>
      <c r="AB172" s="21">
        <f>EXP(-LN(2)/2)*AB171+(1-EXP(-LN(2)/2))/(LN(2)/2)*V172*Y172*VLOOKUP('Données projet'!$B$9,Paramètres!$A$1:$I$89,3,0)*0.475*44/12</f>
        <v>1.1225523301317003E-8</v>
      </c>
      <c r="AC172" s="22">
        <f t="shared" si="163"/>
        <v>27.077107518084979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971.99999999999977</v>
      </c>
      <c r="AJ172" s="13">
        <f>AI172*VLOOKUP('Données projet'!$B$10,Paramètres!$A$1:$I$89,3,0)*VLOOKUP('Données projet'!$B$10,Paramètres!$A$1:$I$89,5,0)</f>
        <v>581.25599999999986</v>
      </c>
      <c r="AK172" s="13">
        <f t="shared" si="164"/>
        <v>127.68713506014205</v>
      </c>
      <c r="AL172" s="20">
        <f t="shared" si="165"/>
        <v>1234.7426268964139</v>
      </c>
      <c r="AM172" s="59">
        <f t="shared" si="113"/>
        <v>1528.0759602297471</v>
      </c>
      <c r="AN172" s="59">
        <f ca="1">AVERAGE(OFFSET($AM$3,0,0,'Données projet'!$E$10+1,1))-AVERAGE(OFFSET($H$3,0,0,'Données projet'!$E$10+1,1))</f>
        <v>465.77577582457678</v>
      </c>
      <c r="AO172" s="59">
        <f t="shared" si="144"/>
        <v>301.15495784503042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7.3734495303964653</v>
      </c>
      <c r="AV172" s="21">
        <f>EXP(-LN(2)/25)*AV171+(1-EXP(-LN(2)/25))/(LN(2)/25)*Calculateur!AQ172*Calculateur!AS172*VLOOKUP('Données projet'!$B$10,Paramètres!$A$1:$I$89,3,0)*0.475*44/12</f>
        <v>1.9235046937127387</v>
      </c>
      <c r="AW172" s="21">
        <f>EXP(-LN(2)/2)*AW171+(1-EXP(-LN(2)/2))/(LN(2)/2)*AQ172*AT172*VLOOKUP('Données projet'!$B$10,Paramètres!$A$1:$I$89,3,0)*0.475*44/12</f>
        <v>2.0423766383790909E-15</v>
      </c>
      <c r="AX172" s="21">
        <f t="shared" si="166"/>
        <v>9.2969542241092054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273.00000000000023</v>
      </c>
      <c r="BE172" s="13">
        <f>BD172*VLOOKUP('Données projet'!$B$11,Paramètres!$A$1:$I$89,3,0)*VLOOKUP('Données projet'!$B$11,Paramètres!$A$1:$I$89,5,0)</f>
        <v>212.9400000000002</v>
      </c>
      <c r="BF172" s="13">
        <f t="shared" si="167"/>
        <v>52.577528895212915</v>
      </c>
      <c r="BG172" s="20">
        <f t="shared" si="168"/>
        <v>462.44302949249618</v>
      </c>
      <c r="BH172" s="59">
        <f t="shared" si="116"/>
        <v>755.77636282582944</v>
      </c>
      <c r="BI172" s="59">
        <f ca="1">AVERAGE(OFFSET($BH$3,0,0,'Données projet'!$E$11+1,1))-AVERAGE(OFFSET($H$3,0,0,'Données projet'!$E$11+1,1))</f>
        <v>219.5868031007679</v>
      </c>
      <c r="BJ172" s="59">
        <f t="shared" si="146"/>
        <v>263.3830219837742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3.7693368705928028</v>
      </c>
      <c r="BQ172" s="21">
        <f>EXP(-LN(2)/25)*BQ171+(1-EXP(-LN(2)/25))/(LN(2)/25)*Calculateur!BL172*Calculateur!BN172*VLOOKUP('Données projet'!$B$11,Paramètres!$A$1:$I$89,3,0)*0.475*44/12</f>
        <v>0.28890083354227608</v>
      </c>
      <c r="BR172" s="21">
        <f>EXP(-LN(2)/2)*BR171+(1-EXP(-LN(2)/2))/(LN(2)/2)*BL172*BO172*VLOOKUP('Données projet'!$B$11,Paramètres!$A$1:$I$89,3,0)*0.475*44/12</f>
        <v>1.9289856716994119E-16</v>
      </c>
      <c r="BS172" s="22">
        <f t="shared" si="169"/>
        <v>4.0582377041350792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243.99999999999989</v>
      </c>
      <c r="BZ172" s="13">
        <f>BY172*VLOOKUP('Données projet'!$B$12,Paramètres!$A$1:$I$89,3,0)*VLOOKUP('Données projet'!$B$12,Paramètres!$A$1:$I$89,5,0)</f>
        <v>262.64159999999987</v>
      </c>
      <c r="CA172" s="13">
        <f t="shared" si="170"/>
        <v>63.285128621471941</v>
      </c>
      <c r="CB172" s="20">
        <f t="shared" si="171"/>
        <v>567.65571901573003</v>
      </c>
      <c r="CC172" s="59">
        <f t="shared" si="119"/>
        <v>860.98905234906329</v>
      </c>
      <c r="CD172" s="59">
        <f ca="1">AVERAGE(OFFSET($CC$3,0,0,'Données projet'!$E$12+1,1))-AVERAGE(OFFSET($H$3,0,0,'Données projet'!$E$12+1,1))</f>
        <v>244.7364260963538</v>
      </c>
      <c r="CE172" s="59">
        <f t="shared" si="148"/>
        <v>270.32853612539299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4.1303888396350024</v>
      </c>
      <c r="CL172" s="21">
        <f>EXP(-LN(2)/25)*CL171+(1-EXP(-LN(2)/25))/(LN(2)/25)*Calculateur!CG172*Calculateur!CI172*VLOOKUP('Données projet'!$B$12,Paramètres!$A$1:$I$89,3,0)*0.475*44/12</f>
        <v>0.31814001521662105</v>
      </c>
      <c r="CM172" s="21">
        <f>EXP(-LN(2)/2)*CM171+(1-EXP(-LN(2)/2))/(LN(2)/2)*CG172*CJ172*VLOOKUP('Données projet'!$B$12,Paramètres!$A$1:$I$89,3,0)*0.475*44/12</f>
        <v>2.0001113288873072E-16</v>
      </c>
      <c r="CN172" s="22">
        <f t="shared" si="172"/>
        <v>4.4485288548516237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243.99999999999989</v>
      </c>
      <c r="CU172" s="17">
        <f>CT172*VLOOKUP('Données projet'!$B$13,Paramètres!$A$1:$I$89,3,0)*VLOOKUP('Données projet'!$B$13,Paramètres!$A$1:$I$89,5,0)</f>
        <v>235.99679999999987</v>
      </c>
      <c r="CV172" s="13">
        <f t="shared" si="173"/>
        <v>57.577381127598322</v>
      </c>
      <c r="CW172" s="20">
        <f t="shared" si="174"/>
        <v>511.30836546390015</v>
      </c>
      <c r="CX172" s="59">
        <f t="shared" si="122"/>
        <v>804.6416987972334</v>
      </c>
      <c r="CY172" s="59">
        <f ca="1">AVERAGE(OFFSET($CX$3,0,0,'Données projet'!$E$13+1,1))-AVERAGE(OFFSET($H$3,0,0,'Données projet'!$E$13+1,1))</f>
        <v>216.39536568500222</v>
      </c>
      <c r="CZ172" s="59">
        <f t="shared" si="150"/>
        <v>239.44686980897467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3.7113638848894239</v>
      </c>
      <c r="DG172" s="21">
        <f>EXP(-LN(2)/25)*DG171+(1-EXP(-LN(2)/25))/(LN(2)/25)*Calculateur!DB172*Calculateur!DD172*VLOOKUP('Données projet'!$B$13,Paramètres!$A$1:$I$89,3,0)*0.475*44/12</f>
        <v>0.2858649412091373</v>
      </c>
      <c r="DH172" s="21">
        <f>EXP(-LN(2)/2)*DH171+(1-EXP(-LN(2)/2))/(LN(2)/2)*DB172*DE172*VLOOKUP('Données projet'!$B$13,Paramètres!$A$1:$I$89,3,0)*0.475*44/12</f>
        <v>1.7972014839277236E-16</v>
      </c>
      <c r="DI172" s="22">
        <f t="shared" si="175"/>
        <v>3.9972288260985613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100.77599999999966</v>
      </c>
      <c r="D173" s="11">
        <f t="shared" si="140"/>
        <v>27.146785593902401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987.4741344090686</v>
      </c>
      <c r="H173" s="67">
        <f t="shared" si="110"/>
        <v>516.13218490937948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306.99999999999994</v>
      </c>
      <c r="O173" s="13">
        <f>N173*VLOOKUP('Données projet'!$B$9,Paramètres!$A$1:$I$89,3,0)*VLOOKUP('Données projet'!$B$9,Paramètres!$A$1:$I$89,5,0)</f>
        <v>277.77359999999993</v>
      </c>
      <c r="P173" s="13">
        <f t="shared" si="141"/>
        <v>66.496288176842356</v>
      </c>
      <c r="Q173" s="20">
        <f t="shared" si="162"/>
        <v>599.60338857466706</v>
      </c>
      <c r="R173" s="59">
        <f t="shared" si="109"/>
        <v>892.93672190800044</v>
      </c>
      <c r="S173" s="59">
        <f ca="1">AVERAGE(OFFSET($R$3,0,0,'Données projet'!$E$9+1,1))-AVERAGE(OFFSET($H$3,0,0,'Données projet'!$E$9+1,1))</f>
        <v>330.30341204367602</v>
      </c>
      <c r="T173" s="59">
        <f t="shared" si="142"/>
        <v>200.36653694091007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25.818484818081881</v>
      </c>
      <c r="AA173" s="21">
        <f>EXP(-LN(2)/25)*AA172+(1-EXP(-LN(2)/25))/(LN(2)/25)*Calculateur!V173*Calculateur!X173*VLOOKUP('Données projet'!$B$9,Paramètres!$A$1:$I$89,3,0)*0.475*44/12</f>
        <v>0.72191562875209969</v>
      </c>
      <c r="AB173" s="21">
        <f>EXP(-LN(2)/2)*AB172+(1-EXP(-LN(2)/2))/(LN(2)/2)*V173*Y173*VLOOKUP('Données projet'!$B$9,Paramètres!$A$1:$I$89,3,0)*0.475*44/12</f>
        <v>7.9376436487288528E-9</v>
      </c>
      <c r="AC173" s="22">
        <f t="shared" si="163"/>
        <v>26.540400454771625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971.99999999999977</v>
      </c>
      <c r="AJ173" s="13">
        <f>AI173*VLOOKUP('Données projet'!$B$10,Paramètres!$A$1:$I$89,3,0)*VLOOKUP('Données projet'!$B$10,Paramètres!$A$1:$I$89,5,0)</f>
        <v>581.25599999999986</v>
      </c>
      <c r="AK173" s="13">
        <f t="shared" si="164"/>
        <v>127.68713506014205</v>
      </c>
      <c r="AL173" s="20">
        <f t="shared" si="165"/>
        <v>1234.7426268964139</v>
      </c>
      <c r="AM173" s="59">
        <f t="shared" si="113"/>
        <v>1528.0759602297471</v>
      </c>
      <c r="AN173" s="59">
        <f ca="1">AVERAGE(OFFSET($AM$3,0,0,'Données projet'!$E$10+1,1))-AVERAGE(OFFSET($H$3,0,0,'Données projet'!$E$10+1,1))</f>
        <v>465.77577582457678</v>
      </c>
      <c r="AO173" s="59">
        <f t="shared" si="144"/>
        <v>301.15495784503042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7.2288606824655268</v>
      </c>
      <c r="AV173" s="21">
        <f>EXP(-LN(2)/25)*AV172+(1-EXP(-LN(2)/25))/(LN(2)/25)*Calculateur!AQ173*Calculateur!AS173*VLOOKUP('Données projet'!$B$10,Paramètres!$A$1:$I$89,3,0)*0.475*44/12</f>
        <v>1.8709063567104482</v>
      </c>
      <c r="AW173" s="21">
        <f>EXP(-LN(2)/2)*AW172+(1-EXP(-LN(2)/2))/(LN(2)/2)*AQ173*AT173*VLOOKUP('Données projet'!$B$10,Paramètres!$A$1:$I$89,3,0)*0.475*44/12</f>
        <v>1.4441783707348403E-15</v>
      </c>
      <c r="AX173" s="21">
        <f t="shared" si="166"/>
        <v>9.0997670391759762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273.00000000000023</v>
      </c>
      <c r="BE173" s="13">
        <f>BD173*VLOOKUP('Données projet'!$B$11,Paramètres!$A$1:$I$89,3,0)*VLOOKUP('Données projet'!$B$11,Paramètres!$A$1:$I$89,5,0)</f>
        <v>212.9400000000002</v>
      </c>
      <c r="BF173" s="13">
        <f t="shared" si="167"/>
        <v>52.577528895212915</v>
      </c>
      <c r="BG173" s="20">
        <f t="shared" si="168"/>
        <v>462.44302949249618</v>
      </c>
      <c r="BH173" s="59">
        <f t="shared" si="116"/>
        <v>755.77636282582944</v>
      </c>
      <c r="BI173" s="59">
        <f ca="1">AVERAGE(OFFSET($BH$3,0,0,'Données projet'!$E$11+1,1))-AVERAGE(OFFSET($H$3,0,0,'Données projet'!$E$11+1,1))</f>
        <v>219.5868031007679</v>
      </c>
      <c r="BJ173" s="59">
        <f t="shared" si="146"/>
        <v>263.3830219837742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3.6954224736289549</v>
      </c>
      <c r="BQ173" s="21">
        <f>EXP(-LN(2)/25)*BQ172+(1-EXP(-LN(2)/25))/(LN(2)/25)*Calculateur!BL173*Calculateur!BN173*VLOOKUP('Données projet'!$B$11,Paramètres!$A$1:$I$89,3,0)*0.475*44/12</f>
        <v>0.28100082505642798</v>
      </c>
      <c r="BR173" s="21">
        <f>EXP(-LN(2)/2)*BR172+(1-EXP(-LN(2)/2))/(LN(2)/2)*BL173*BO173*VLOOKUP('Données projet'!$B$11,Paramètres!$A$1:$I$89,3,0)*0.475*44/12</f>
        <v>1.3639988492703414E-16</v>
      </c>
      <c r="BS173" s="22">
        <f t="shared" si="169"/>
        <v>3.9764232986853827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243.99999999999989</v>
      </c>
      <c r="BZ173" s="13">
        <f>BY173*VLOOKUP('Données projet'!$B$12,Paramètres!$A$1:$I$89,3,0)*VLOOKUP('Données projet'!$B$12,Paramètres!$A$1:$I$89,5,0)</f>
        <v>262.64159999999987</v>
      </c>
      <c r="CA173" s="13">
        <f t="shared" si="170"/>
        <v>63.285128621471941</v>
      </c>
      <c r="CB173" s="20">
        <f t="shared" si="171"/>
        <v>567.65571901573003</v>
      </c>
      <c r="CC173" s="59">
        <f t="shared" si="119"/>
        <v>860.98905234906329</v>
      </c>
      <c r="CD173" s="59">
        <f ca="1">AVERAGE(OFFSET($CC$3,0,0,'Données projet'!$E$12+1,1))-AVERAGE(OFFSET($H$3,0,0,'Données projet'!$E$12+1,1))</f>
        <v>244.7364260963538</v>
      </c>
      <c r="CE173" s="59">
        <f t="shared" si="148"/>
        <v>270.32853612539299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4.0493944337781933</v>
      </c>
      <c r="CL173" s="21">
        <f>EXP(-LN(2)/25)*CL172+(1-EXP(-LN(2)/25))/(LN(2)/25)*Calculateur!CG173*Calculateur!CI173*VLOOKUP('Données projet'!$B$12,Paramètres!$A$1:$I$89,3,0)*0.475*44/12</f>
        <v>0.3094404597702663</v>
      </c>
      <c r="CM173" s="21">
        <f>EXP(-LN(2)/2)*CM172+(1-EXP(-LN(2)/2))/(LN(2)/2)*CG173*CJ173*VLOOKUP('Données projet'!$B$12,Paramètres!$A$1:$I$89,3,0)*0.475*44/12</f>
        <v>1.4142922837842519E-16</v>
      </c>
      <c r="CN173" s="22">
        <f t="shared" si="172"/>
        <v>4.35883489354846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243.99999999999989</v>
      </c>
      <c r="CU173" s="17">
        <f>CT173*VLOOKUP('Données projet'!$B$13,Paramètres!$A$1:$I$89,3,0)*VLOOKUP('Données projet'!$B$13,Paramètres!$A$1:$I$89,5,0)</f>
        <v>235.99679999999987</v>
      </c>
      <c r="CV173" s="13">
        <f t="shared" si="173"/>
        <v>57.577381127598322</v>
      </c>
      <c r="CW173" s="20">
        <f t="shared" si="174"/>
        <v>511.30836546390015</v>
      </c>
      <c r="CX173" s="59">
        <f t="shared" si="122"/>
        <v>804.6416987972334</v>
      </c>
      <c r="CY173" s="59">
        <f ca="1">AVERAGE(OFFSET($CX$3,0,0,'Données projet'!$E$13+1,1))-AVERAGE(OFFSET($H$3,0,0,'Données projet'!$E$13+1,1))</f>
        <v>216.39536568500222</v>
      </c>
      <c r="CZ173" s="59">
        <f t="shared" si="150"/>
        <v>239.44686980897467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3.6385863028151895</v>
      </c>
      <c r="DG173" s="21">
        <f>EXP(-LN(2)/25)*DG172+(1-EXP(-LN(2)/25))/(LN(2)/25)*Calculateur!DB173*Calculateur!DD173*VLOOKUP('Données projet'!$B$13,Paramètres!$A$1:$I$89,3,0)*0.475*44/12</f>
        <v>0.27804794935878951</v>
      </c>
      <c r="DH173" s="21">
        <f>EXP(-LN(2)/2)*DH172+(1-EXP(-LN(2)/2))/(LN(2)/2)*DB173*DE173*VLOOKUP('Données projet'!$B$13,Paramètres!$A$1:$I$89,3,0)*0.475*44/12</f>
        <v>1.2708133564438194E-16</v>
      </c>
      <c r="DI173" s="22">
        <f t="shared" si="175"/>
        <v>3.9166342521739788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101.36879999999965</v>
      </c>
      <c r="D174" s="11">
        <f t="shared" si="140"/>
        <v>27.287836803817378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993.13895076630706</v>
      </c>
      <c r="H174" s="67">
        <f t="shared" si="110"/>
        <v>517.4103090999813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306.99999999999994</v>
      </c>
      <c r="O174" s="13">
        <f>N174*VLOOKUP('Données projet'!$B$9,Paramètres!$A$1:$I$89,3,0)*VLOOKUP('Données projet'!$B$9,Paramètres!$A$1:$I$89,5,0)</f>
        <v>277.77359999999993</v>
      </c>
      <c r="P174" s="13">
        <f t="shared" si="141"/>
        <v>66.496288176842356</v>
      </c>
      <c r="Q174" s="20">
        <f t="shared" si="162"/>
        <v>599.60338857466706</v>
      </c>
      <c r="R174" s="59">
        <f t="shared" si="109"/>
        <v>892.93672190800044</v>
      </c>
      <c r="S174" s="59">
        <f ca="1">AVERAGE(OFFSET($R$3,0,0,'Données projet'!$E$9+1,1))-AVERAGE(OFFSET($H$3,0,0,'Données projet'!$E$9+1,1))</f>
        <v>330.30341204367602</v>
      </c>
      <c r="T174" s="59">
        <f t="shared" si="142"/>
        <v>200.36653694091007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25.312200078520075</v>
      </c>
      <c r="AA174" s="21">
        <f>EXP(-LN(2)/25)*AA173+(1-EXP(-LN(2)/25))/(LN(2)/25)*Calculateur!V174*Calculateur!X174*VLOOKUP('Données projet'!$B$9,Paramètres!$A$1:$I$89,3,0)*0.475*44/12</f>
        <v>0.70217480791998055</v>
      </c>
      <c r="AB174" s="21">
        <f>EXP(-LN(2)/2)*AB173+(1-EXP(-LN(2)/2))/(LN(2)/2)*V174*Y174*VLOOKUP('Données projet'!$B$9,Paramètres!$A$1:$I$89,3,0)*0.475*44/12</f>
        <v>5.6127616506585016E-9</v>
      </c>
      <c r="AC174" s="22">
        <f t="shared" si="163"/>
        <v>26.014374892052818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971.99999999999977</v>
      </c>
      <c r="AJ174" s="13">
        <f>AI174*VLOOKUP('Données projet'!$B$10,Paramètres!$A$1:$I$89,3,0)*VLOOKUP('Données projet'!$B$10,Paramètres!$A$1:$I$89,5,0)</f>
        <v>581.25599999999986</v>
      </c>
      <c r="AK174" s="13">
        <f t="shared" si="164"/>
        <v>127.68713506014205</v>
      </c>
      <c r="AL174" s="20">
        <f t="shared" si="165"/>
        <v>1234.7426268964139</v>
      </c>
      <c r="AM174" s="59">
        <f t="shared" si="113"/>
        <v>1528.0759602297471</v>
      </c>
      <c r="AN174" s="59">
        <f ca="1">AVERAGE(OFFSET($AM$3,0,0,'Données projet'!$E$10+1,1))-AVERAGE(OFFSET($H$3,0,0,'Données projet'!$E$10+1,1))</f>
        <v>465.77577582457678</v>
      </c>
      <c r="AO174" s="59">
        <f t="shared" si="144"/>
        <v>301.15495784503042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7.087107133652025</v>
      </c>
      <c r="AV174" s="21">
        <f>EXP(-LN(2)/25)*AV173+(1-EXP(-LN(2)/25))/(LN(2)/25)*Calculateur!AQ174*Calculateur!AS174*VLOOKUP('Données projet'!$B$10,Paramètres!$A$1:$I$89,3,0)*0.475*44/12</f>
        <v>1.8197463239995118</v>
      </c>
      <c r="AW174" s="21">
        <f>EXP(-LN(2)/2)*AW173+(1-EXP(-LN(2)/2))/(LN(2)/2)*AQ174*AT174*VLOOKUP('Données projet'!$B$10,Paramètres!$A$1:$I$89,3,0)*0.475*44/12</f>
        <v>1.0211883191895454E-15</v>
      </c>
      <c r="AX174" s="21">
        <f t="shared" si="166"/>
        <v>8.9068534576515379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273.00000000000023</v>
      </c>
      <c r="BE174" s="13">
        <f>BD174*VLOOKUP('Données projet'!$B$11,Paramètres!$A$1:$I$89,3,0)*VLOOKUP('Données projet'!$B$11,Paramètres!$A$1:$I$89,5,0)</f>
        <v>212.9400000000002</v>
      </c>
      <c r="BF174" s="13">
        <f t="shared" si="167"/>
        <v>52.577528895212915</v>
      </c>
      <c r="BG174" s="20">
        <f t="shared" si="168"/>
        <v>462.44302949249618</v>
      </c>
      <c r="BH174" s="59">
        <f t="shared" si="116"/>
        <v>755.77636282582944</v>
      </c>
      <c r="BI174" s="59">
        <f ca="1">AVERAGE(OFFSET($BH$3,0,0,'Données projet'!$E$11+1,1))-AVERAGE(OFFSET($H$3,0,0,'Données projet'!$E$11+1,1))</f>
        <v>219.5868031007679</v>
      </c>
      <c r="BJ174" s="59">
        <f t="shared" si="146"/>
        <v>263.3830219837742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3.6229574929062376</v>
      </c>
      <c r="BQ174" s="21">
        <f>EXP(-LN(2)/25)*BQ173+(1-EXP(-LN(2)/25))/(LN(2)/25)*Calculateur!BL174*Calculateur!BN174*VLOOKUP('Données projet'!$B$11,Paramètres!$A$1:$I$89,3,0)*0.475*44/12</f>
        <v>0.27331684271806883</v>
      </c>
      <c r="BR174" s="21">
        <f>EXP(-LN(2)/2)*BR173+(1-EXP(-LN(2)/2))/(LN(2)/2)*BL174*BO174*VLOOKUP('Données projet'!$B$11,Paramètres!$A$1:$I$89,3,0)*0.475*44/12</f>
        <v>9.6449283584970595E-17</v>
      </c>
      <c r="BS174" s="22">
        <f t="shared" si="169"/>
        <v>3.8962743356243066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243.99999999999989</v>
      </c>
      <c r="BZ174" s="13">
        <f>BY174*VLOOKUP('Données projet'!$B$12,Paramètres!$A$1:$I$89,3,0)*VLOOKUP('Données projet'!$B$12,Paramètres!$A$1:$I$89,5,0)</f>
        <v>262.64159999999987</v>
      </c>
      <c r="CA174" s="13">
        <f t="shared" si="170"/>
        <v>63.285128621471941</v>
      </c>
      <c r="CB174" s="20">
        <f t="shared" si="171"/>
        <v>567.65571901573003</v>
      </c>
      <c r="CC174" s="59">
        <f t="shared" si="119"/>
        <v>860.98905234906329</v>
      </c>
      <c r="CD174" s="59">
        <f ca="1">AVERAGE(OFFSET($CC$3,0,0,'Données projet'!$E$12+1,1))-AVERAGE(OFFSET($H$3,0,0,'Données projet'!$E$12+1,1))</f>
        <v>244.7364260963538</v>
      </c>
      <c r="CE174" s="59">
        <f t="shared" si="148"/>
        <v>270.32853612539299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3.9699882788185263</v>
      </c>
      <c r="CL174" s="21">
        <f>EXP(-LN(2)/25)*CL173+(1-EXP(-LN(2)/25))/(LN(2)/25)*Calculateur!CG174*Calculateur!CI174*VLOOKUP('Données projet'!$B$12,Paramètres!$A$1:$I$89,3,0)*0.475*44/12</f>
        <v>0.30097879412508183</v>
      </c>
      <c r="CM174" s="21">
        <f>EXP(-LN(2)/2)*CM173+(1-EXP(-LN(2)/2))/(LN(2)/2)*CG174*CJ174*VLOOKUP('Données projet'!$B$12,Paramètres!$A$1:$I$89,3,0)*0.475*44/12</f>
        <v>1.0000556644436536E-16</v>
      </c>
      <c r="CN174" s="22">
        <f t="shared" si="172"/>
        <v>4.2709670729436082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243.99999999999989</v>
      </c>
      <c r="CU174" s="17">
        <f>CT174*VLOOKUP('Données projet'!$B$13,Paramètres!$A$1:$I$89,3,0)*VLOOKUP('Données projet'!$B$13,Paramètres!$A$1:$I$89,5,0)</f>
        <v>235.99679999999987</v>
      </c>
      <c r="CV174" s="13">
        <f t="shared" si="173"/>
        <v>57.577381127598322</v>
      </c>
      <c r="CW174" s="20">
        <f t="shared" si="174"/>
        <v>511.30836546390015</v>
      </c>
      <c r="CX174" s="59">
        <f t="shared" si="122"/>
        <v>804.6416987972334</v>
      </c>
      <c r="CY174" s="59">
        <f ca="1">AVERAGE(OFFSET($CX$3,0,0,'Données projet'!$E$13+1,1))-AVERAGE(OFFSET($H$3,0,0,'Données projet'!$E$13+1,1))</f>
        <v>216.39536568500222</v>
      </c>
      <c r="CZ174" s="59">
        <f t="shared" si="150"/>
        <v>239.44686980897467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3.5672358447354888</v>
      </c>
      <c r="DG174" s="21">
        <f>EXP(-LN(2)/25)*DG173+(1-EXP(-LN(2)/25))/(LN(2)/25)*Calculateur!DB174*Calculateur!DD174*VLOOKUP('Données projet'!$B$13,Paramètres!$A$1:$I$89,3,0)*0.475*44/12</f>
        <v>0.27044471356166727</v>
      </c>
      <c r="DH174" s="21">
        <f>EXP(-LN(2)/2)*DH173+(1-EXP(-LN(2)/2))/(LN(2)/2)*DB174*DE174*VLOOKUP('Données projet'!$B$13,Paramètres!$A$1:$I$89,3,0)*0.475*44/12</f>
        <v>8.9860074196386182E-17</v>
      </c>
      <c r="DI174" s="22">
        <f t="shared" si="175"/>
        <v>3.8376805582971563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101.96159999999965</v>
      </c>
      <c r="D175" s="11">
        <f t="shared" si="140"/>
        <v>27.428792032018549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998.80302621207045</v>
      </c>
      <c r="H175" s="67">
        <f t="shared" si="110"/>
        <v>518.68826612243174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306.99999999999994</v>
      </c>
      <c r="O175" s="13">
        <f>N175*VLOOKUP('Données projet'!$B$9,Paramètres!$A$1:$I$89,3,0)*VLOOKUP('Données projet'!$B$9,Paramètres!$A$1:$I$89,5,0)</f>
        <v>277.77359999999993</v>
      </c>
      <c r="P175" s="13">
        <f t="shared" si="141"/>
        <v>66.496288176842356</v>
      </c>
      <c r="Q175" s="20">
        <f t="shared" si="162"/>
        <v>599.60338857466706</v>
      </c>
      <c r="R175" s="59">
        <f t="shared" si="109"/>
        <v>892.93672190800044</v>
      </c>
      <c r="S175" s="59">
        <f ca="1">AVERAGE(OFFSET($R$3,0,0,'Données projet'!$E$9+1,1))-AVERAGE(OFFSET($H$3,0,0,'Données projet'!$E$9+1,1))</f>
        <v>330.30341204367602</v>
      </c>
      <c r="T175" s="59">
        <f t="shared" si="142"/>
        <v>200.36653694091007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24.815843273897876</v>
      </c>
      <c r="AA175" s="21">
        <f>EXP(-LN(2)/25)*AA174+(1-EXP(-LN(2)/25))/(LN(2)/25)*Calculateur!V175*Calculateur!X175*VLOOKUP('Données projet'!$B$9,Paramètres!$A$1:$I$89,3,0)*0.475*44/12</f>
        <v>0.68297380087164039</v>
      </c>
      <c r="AB175" s="21">
        <f>EXP(-LN(2)/2)*AB174+(1-EXP(-LN(2)/2))/(LN(2)/2)*V175*Y175*VLOOKUP('Données projet'!$B$9,Paramètres!$A$1:$I$89,3,0)*0.475*44/12</f>
        <v>3.9688218243644264E-9</v>
      </c>
      <c r="AC175" s="22">
        <f t="shared" si="163"/>
        <v>25.498817078738337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971.99999999999977</v>
      </c>
      <c r="AJ175" s="13">
        <f>AI175*VLOOKUP('Données projet'!$B$10,Paramètres!$A$1:$I$89,3,0)*VLOOKUP('Données projet'!$B$10,Paramètres!$A$1:$I$89,5,0)</f>
        <v>581.25599999999986</v>
      </c>
      <c r="AK175" s="13">
        <f t="shared" si="164"/>
        <v>127.68713506014205</v>
      </c>
      <c r="AL175" s="20">
        <f t="shared" si="165"/>
        <v>1234.7426268964139</v>
      </c>
      <c r="AM175" s="59">
        <f t="shared" si="113"/>
        <v>1528.0759602297471</v>
      </c>
      <c r="AN175" s="59">
        <f ca="1">AVERAGE(OFFSET($AM$3,0,0,'Données projet'!$E$10+1,1))-AVERAGE(OFFSET($H$3,0,0,'Données projet'!$E$10+1,1))</f>
        <v>465.77577582457678</v>
      </c>
      <c r="AO175" s="59">
        <f t="shared" si="144"/>
        <v>301.15495784503042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6.9481332854696287</v>
      </c>
      <c r="AV175" s="21">
        <f>EXP(-LN(2)/25)*AV174+(1-EXP(-LN(2)/25))/(LN(2)/25)*Calculateur!AQ175*Calculateur!AS175*VLOOKUP('Données projet'!$B$10,Paramètres!$A$1:$I$89,3,0)*0.475*44/12</f>
        <v>1.7699852650734451</v>
      </c>
      <c r="AW175" s="21">
        <f>EXP(-LN(2)/2)*AW174+(1-EXP(-LN(2)/2))/(LN(2)/2)*AQ175*AT175*VLOOKUP('Données projet'!$B$10,Paramètres!$A$1:$I$89,3,0)*0.475*44/12</f>
        <v>7.2208918536742016E-16</v>
      </c>
      <c r="AX175" s="21">
        <f t="shared" si="166"/>
        <v>8.7181185505430747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273.00000000000023</v>
      </c>
      <c r="BE175" s="13">
        <f>BD175*VLOOKUP('Données projet'!$B$11,Paramètres!$A$1:$I$89,3,0)*VLOOKUP('Données projet'!$B$11,Paramètres!$A$1:$I$89,5,0)</f>
        <v>212.9400000000002</v>
      </c>
      <c r="BF175" s="13">
        <f t="shared" si="167"/>
        <v>52.577528895212915</v>
      </c>
      <c r="BG175" s="20">
        <f t="shared" si="168"/>
        <v>462.44302949249618</v>
      </c>
      <c r="BH175" s="59">
        <f t="shared" si="116"/>
        <v>755.77636282582944</v>
      </c>
      <c r="BI175" s="59">
        <f ca="1">AVERAGE(OFFSET($BH$3,0,0,'Données projet'!$E$11+1,1))-AVERAGE(OFFSET($H$3,0,0,'Données projet'!$E$11+1,1))</f>
        <v>219.5868031007679</v>
      </c>
      <c r="BJ175" s="59">
        <f t="shared" si="146"/>
        <v>263.3830219837742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3.5519135062562186</v>
      </c>
      <c r="BQ175" s="21">
        <f>EXP(-LN(2)/25)*BQ174+(1-EXP(-LN(2)/25))/(LN(2)/25)*Calculateur!BL175*Calculateur!BN175*VLOOKUP('Données projet'!$B$11,Paramètres!$A$1:$I$89,3,0)*0.475*44/12</f>
        <v>0.26584297928083517</v>
      </c>
      <c r="BR175" s="21">
        <f>EXP(-LN(2)/2)*BR174+(1-EXP(-LN(2)/2))/(LN(2)/2)*BL175*BO175*VLOOKUP('Données projet'!$B$11,Paramètres!$A$1:$I$89,3,0)*0.475*44/12</f>
        <v>6.8199942463517071E-17</v>
      </c>
      <c r="BS175" s="22">
        <f t="shared" si="169"/>
        <v>3.8177564855370538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243.99999999999989</v>
      </c>
      <c r="BZ175" s="13">
        <f>BY175*VLOOKUP('Données projet'!$B$12,Paramètres!$A$1:$I$89,3,0)*VLOOKUP('Données projet'!$B$12,Paramètres!$A$1:$I$89,5,0)</f>
        <v>262.64159999999987</v>
      </c>
      <c r="CA175" s="13">
        <f t="shared" si="170"/>
        <v>63.285128621471941</v>
      </c>
      <c r="CB175" s="20">
        <f t="shared" si="171"/>
        <v>567.65571901573003</v>
      </c>
      <c r="CC175" s="59">
        <f t="shared" si="119"/>
        <v>860.98905234906329</v>
      </c>
      <c r="CD175" s="59">
        <f ca="1">AVERAGE(OFFSET($CC$3,0,0,'Données projet'!$E$12+1,1))-AVERAGE(OFFSET($H$3,0,0,'Données projet'!$E$12+1,1))</f>
        <v>244.7364260963538</v>
      </c>
      <c r="CE175" s="59">
        <f t="shared" si="148"/>
        <v>270.32853612539299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3.8921392301246462</v>
      </c>
      <c r="CL175" s="21">
        <f>EXP(-LN(2)/25)*CL174+(1-EXP(-LN(2)/25))/(LN(2)/25)*Calculateur!CG175*Calculateur!CI175*VLOOKUP('Données projet'!$B$12,Paramètres!$A$1:$I$89,3,0)*0.475*44/12</f>
        <v>0.29274851317194456</v>
      </c>
      <c r="CM175" s="21">
        <f>EXP(-LN(2)/2)*CM174+(1-EXP(-LN(2)/2))/(LN(2)/2)*CG175*CJ175*VLOOKUP('Données projet'!$B$12,Paramètres!$A$1:$I$89,3,0)*0.475*44/12</f>
        <v>7.0714614189212597E-17</v>
      </c>
      <c r="CN175" s="22">
        <f t="shared" si="172"/>
        <v>4.1848877432965912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243.99999999999989</v>
      </c>
      <c r="CU175" s="17">
        <f>CT175*VLOOKUP('Données projet'!$B$13,Paramètres!$A$1:$I$89,3,0)*VLOOKUP('Données projet'!$B$13,Paramètres!$A$1:$I$89,5,0)</f>
        <v>235.99679999999987</v>
      </c>
      <c r="CV175" s="13">
        <f t="shared" si="173"/>
        <v>57.577381127598322</v>
      </c>
      <c r="CW175" s="20">
        <f t="shared" si="174"/>
        <v>511.30836546390015</v>
      </c>
      <c r="CX175" s="59">
        <f t="shared" si="122"/>
        <v>804.6416987972334</v>
      </c>
      <c r="CY175" s="59">
        <f ca="1">AVERAGE(OFFSET($CX$3,0,0,'Données projet'!$E$13+1,1))-AVERAGE(OFFSET($H$3,0,0,'Données projet'!$E$13+1,1))</f>
        <v>216.39536568500222</v>
      </c>
      <c r="CZ175" s="59">
        <f t="shared" si="150"/>
        <v>239.44686980897467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3.4972845256192491</v>
      </c>
      <c r="DG175" s="21">
        <f>EXP(-LN(2)/25)*DG174+(1-EXP(-LN(2)/25))/(LN(2)/25)*Calculateur!DB175*Calculateur!DD175*VLOOKUP('Données projet'!$B$13,Paramètres!$A$1:$I$89,3,0)*0.475*44/12</f>
        <v>0.26304938864725408</v>
      </c>
      <c r="DH175" s="21">
        <f>EXP(-LN(2)/2)*DH174+(1-EXP(-LN(2)/2))/(LN(2)/2)*DB175*DE175*VLOOKUP('Données projet'!$B$13,Paramètres!$A$1:$I$89,3,0)*0.475*44/12</f>
        <v>6.3540667822190968E-17</v>
      </c>
      <c r="DI175" s="22">
        <f t="shared" si="175"/>
        <v>3.7603339142665031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102.55439999999965</v>
      </c>
      <c r="D176" s="11">
        <f t="shared" si="140"/>
        <v>27.569651901290516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1004.4663655538188</v>
      </c>
      <c r="H176" s="67">
        <f t="shared" si="110"/>
        <v>519.96605706141372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306.99999999999994</v>
      </c>
      <c r="O176" s="13">
        <f>N176*VLOOKUP('Données projet'!$B$9,Paramètres!$A$1:$I$89,3,0)*VLOOKUP('Données projet'!$B$9,Paramètres!$A$1:$I$89,5,0)</f>
        <v>277.77359999999993</v>
      </c>
      <c r="P176" s="13">
        <f t="shared" si="141"/>
        <v>66.496288176842356</v>
      </c>
      <c r="Q176" s="20">
        <f t="shared" si="162"/>
        <v>599.60338857466706</v>
      </c>
      <c r="R176" s="59">
        <f t="shared" si="109"/>
        <v>892.93672190800044</v>
      </c>
      <c r="S176" s="59">
        <f ca="1">AVERAGE(OFFSET($R$3,0,0,'Données projet'!$E$9+1,1))-AVERAGE(OFFSET($H$3,0,0,'Données projet'!$E$9+1,1))</f>
        <v>330.30341204367602</v>
      </c>
      <c r="T176" s="59">
        <f t="shared" si="142"/>
        <v>200.36653694091007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24.329219723466561</v>
      </c>
      <c r="AA176" s="21">
        <f>EXP(-LN(2)/25)*AA175+(1-EXP(-LN(2)/25))/(LN(2)/25)*Calculateur!V176*Calculateur!X176*VLOOKUP('Données projet'!$B$9,Paramètres!$A$1:$I$89,3,0)*0.475*44/12</f>
        <v>0.66429784637077416</v>
      </c>
      <c r="AB176" s="21">
        <f>EXP(-LN(2)/2)*AB175+(1-EXP(-LN(2)/2))/(LN(2)/2)*V176*Y176*VLOOKUP('Données projet'!$B$9,Paramètres!$A$1:$I$89,3,0)*0.475*44/12</f>
        <v>2.8063808253292508E-9</v>
      </c>
      <c r="AC176" s="22">
        <f t="shared" si="163"/>
        <v>24.993517572643718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971.99999999999977</v>
      </c>
      <c r="AJ176" s="13">
        <f>AI176*VLOOKUP('Données projet'!$B$10,Paramètres!$A$1:$I$89,3,0)*VLOOKUP('Données projet'!$B$10,Paramètres!$A$1:$I$89,5,0)</f>
        <v>581.25599999999986</v>
      </c>
      <c r="AK176" s="13">
        <f t="shared" si="164"/>
        <v>127.68713506014205</v>
      </c>
      <c r="AL176" s="20">
        <f t="shared" si="165"/>
        <v>1234.7426268964139</v>
      </c>
      <c r="AM176" s="59">
        <f t="shared" si="113"/>
        <v>1528.0759602297471</v>
      </c>
      <c r="AN176" s="59">
        <f ca="1">AVERAGE(OFFSET($AM$3,0,0,'Données projet'!$E$10+1,1))-AVERAGE(OFFSET($H$3,0,0,'Données projet'!$E$10+1,1))</f>
        <v>465.77577582457678</v>
      </c>
      <c r="AO176" s="59">
        <f t="shared" si="144"/>
        <v>301.15495784503042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6.8118846296844113</v>
      </c>
      <c r="AV176" s="21">
        <f>EXP(-LN(2)/25)*AV175+(1-EXP(-LN(2)/25))/(LN(2)/25)*Calculateur!AQ176*Calculateur!AS176*VLOOKUP('Données projet'!$B$10,Paramètres!$A$1:$I$89,3,0)*0.475*44/12</f>
        <v>1.7215849249205319</v>
      </c>
      <c r="AW176" s="21">
        <f>EXP(-LN(2)/2)*AW175+(1-EXP(-LN(2)/2))/(LN(2)/2)*AQ176*AT176*VLOOKUP('Données projet'!$B$10,Paramètres!$A$1:$I$89,3,0)*0.475*44/12</f>
        <v>5.1059415959477272E-16</v>
      </c>
      <c r="AX176" s="21">
        <f t="shared" si="166"/>
        <v>8.5334695546049435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273.00000000000023</v>
      </c>
      <c r="BE176" s="13">
        <f>BD176*VLOOKUP('Données projet'!$B$11,Paramètres!$A$1:$I$89,3,0)*VLOOKUP('Données projet'!$B$11,Paramètres!$A$1:$I$89,5,0)</f>
        <v>212.9400000000002</v>
      </c>
      <c r="BF176" s="13">
        <f t="shared" si="167"/>
        <v>52.577528895212915</v>
      </c>
      <c r="BG176" s="20">
        <f t="shared" si="168"/>
        <v>462.44302949249618</v>
      </c>
      <c r="BH176" s="59">
        <f t="shared" si="116"/>
        <v>755.77636282582944</v>
      </c>
      <c r="BI176" s="59">
        <f ca="1">AVERAGE(OFFSET($BH$3,0,0,'Données projet'!$E$11+1,1))-AVERAGE(OFFSET($H$3,0,0,'Données projet'!$E$11+1,1))</f>
        <v>219.5868031007679</v>
      </c>
      <c r="BJ176" s="59">
        <f t="shared" si="146"/>
        <v>263.3830219837742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3.4822626488518535</v>
      </c>
      <c r="BQ176" s="21">
        <f>EXP(-LN(2)/25)*BQ175+(1-EXP(-LN(2)/25))/(LN(2)/25)*Calculateur!BL176*Calculateur!BN176*VLOOKUP('Données projet'!$B$11,Paramètres!$A$1:$I$89,3,0)*0.475*44/12</f>
        <v>0.25857348903232602</v>
      </c>
      <c r="BR176" s="21">
        <f>EXP(-LN(2)/2)*BR175+(1-EXP(-LN(2)/2))/(LN(2)/2)*BL176*BO176*VLOOKUP('Données projet'!$B$11,Paramètres!$A$1:$I$89,3,0)*0.475*44/12</f>
        <v>4.8224641792485297E-17</v>
      </c>
      <c r="BS176" s="22">
        <f t="shared" si="169"/>
        <v>3.7408361378841795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243.99999999999989</v>
      </c>
      <c r="BZ176" s="13">
        <f>BY176*VLOOKUP('Données projet'!$B$12,Paramètres!$A$1:$I$89,3,0)*VLOOKUP('Données projet'!$B$12,Paramètres!$A$1:$I$89,5,0)</f>
        <v>262.64159999999987</v>
      </c>
      <c r="CA176" s="13">
        <f t="shared" si="170"/>
        <v>63.285128621471941</v>
      </c>
      <c r="CB176" s="20">
        <f t="shared" si="171"/>
        <v>567.65571901573003</v>
      </c>
      <c r="CC176" s="59">
        <f t="shared" si="119"/>
        <v>860.98905234906329</v>
      </c>
      <c r="CD176" s="59">
        <f ca="1">AVERAGE(OFFSET($CC$3,0,0,'Données projet'!$E$12+1,1))-AVERAGE(OFFSET($H$3,0,0,'Données projet'!$E$12+1,1))</f>
        <v>244.7364260963538</v>
      </c>
      <c r="CE176" s="59">
        <f t="shared" si="148"/>
        <v>270.32853612539299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3.8158167537924221</v>
      </c>
      <c r="CL176" s="21">
        <f>EXP(-LN(2)/25)*CL175+(1-EXP(-LN(2)/25))/(LN(2)/25)*Calculateur!CG176*Calculateur!CI176*VLOOKUP('Données projet'!$B$12,Paramètres!$A$1:$I$89,3,0)*0.475*44/12</f>
        <v>0.28474328968428253</v>
      </c>
      <c r="CM176" s="21">
        <f>EXP(-LN(2)/2)*CM175+(1-EXP(-LN(2)/2))/(LN(2)/2)*CG176*CJ176*VLOOKUP('Données projet'!$B$12,Paramètres!$A$1:$I$89,3,0)*0.475*44/12</f>
        <v>5.0002783222182681E-17</v>
      </c>
      <c r="CN176" s="22">
        <f t="shared" si="172"/>
        <v>4.1005600434767047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243.99999999999989</v>
      </c>
      <c r="CU176" s="17">
        <f>CT176*VLOOKUP('Données projet'!$B$13,Paramètres!$A$1:$I$89,3,0)*VLOOKUP('Données projet'!$B$13,Paramètres!$A$1:$I$89,5,0)</f>
        <v>235.99679999999987</v>
      </c>
      <c r="CV176" s="13">
        <f t="shared" si="173"/>
        <v>57.577381127598322</v>
      </c>
      <c r="CW176" s="20">
        <f t="shared" si="174"/>
        <v>511.30836546390015</v>
      </c>
      <c r="CX176" s="59">
        <f t="shared" si="122"/>
        <v>804.6416987972334</v>
      </c>
      <c r="CY176" s="59">
        <f ca="1">AVERAGE(OFFSET($CX$3,0,0,'Données projet'!$E$13+1,1))-AVERAGE(OFFSET($H$3,0,0,'Données projet'!$E$13+1,1))</f>
        <v>216.39536568500222</v>
      </c>
      <c r="CZ176" s="59">
        <f t="shared" si="150"/>
        <v>239.44686980897467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3.4287049092047868</v>
      </c>
      <c r="DG176" s="21">
        <f>EXP(-LN(2)/25)*DG175+(1-EXP(-LN(2)/25))/(LN(2)/25)*Calculateur!DB176*Calculateur!DD176*VLOOKUP('Données projet'!$B$13,Paramètres!$A$1:$I$89,3,0)*0.475*44/12</f>
        <v>0.25585628928152876</v>
      </c>
      <c r="DH176" s="21">
        <f>EXP(-LN(2)/2)*DH175+(1-EXP(-LN(2)/2))/(LN(2)/2)*DB176*DE176*VLOOKUP('Données projet'!$B$13,Paramètres!$A$1:$I$89,3,0)*0.475*44/12</f>
        <v>4.4930037098193091E-17</v>
      </c>
      <c r="DI176" s="22">
        <f t="shared" si="175"/>
        <v>3.6845611984863154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103.14719999999964</v>
      </c>
      <c r="D177" s="11">
        <f t="shared" si="140"/>
        <v>27.710417026801377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1010.1289735402185</v>
      </c>
      <c r="H177" s="67">
        <f t="shared" si="110"/>
        <v>521.24368298834509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306.99999999999994</v>
      </c>
      <c r="O177" s="13">
        <f>N177*VLOOKUP('Données projet'!$B$9,Paramètres!$A$1:$I$89,3,0)*VLOOKUP('Données projet'!$B$9,Paramètres!$A$1:$I$89,5,0)</f>
        <v>277.77359999999993</v>
      </c>
      <c r="P177" s="13">
        <f t="shared" si="141"/>
        <v>66.496288176842356</v>
      </c>
      <c r="Q177" s="20">
        <f t="shared" si="162"/>
        <v>599.60338857466706</v>
      </c>
      <c r="R177" s="59">
        <f t="shared" si="109"/>
        <v>892.93672190800044</v>
      </c>
      <c r="S177" s="59">
        <f ca="1">AVERAGE(OFFSET($R$3,0,0,'Données projet'!$E$9+1,1))-AVERAGE(OFFSET($H$3,0,0,'Données projet'!$E$9+1,1))</f>
        <v>330.30341204367602</v>
      </c>
      <c r="T177" s="59">
        <f t="shared" si="142"/>
        <v>200.36653694091007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23.852138564048147</v>
      </c>
      <c r="AA177" s="21">
        <f>EXP(-LN(2)/25)*AA176+(1-EXP(-LN(2)/25))/(LN(2)/25)*Calculateur!V177*Calculateur!X177*VLOOKUP('Données projet'!$B$9,Paramètres!$A$1:$I$89,3,0)*0.475*44/12</f>
        <v>0.6461325868278599</v>
      </c>
      <c r="AB177" s="21">
        <f>EXP(-LN(2)/2)*AB176+(1-EXP(-LN(2)/2))/(LN(2)/2)*V177*Y177*VLOOKUP('Données projet'!$B$9,Paramètres!$A$1:$I$89,3,0)*0.475*44/12</f>
        <v>1.9844109121822132E-9</v>
      </c>
      <c r="AC177" s="22">
        <f t="shared" si="163"/>
        <v>24.498271152860418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971.99999999999977</v>
      </c>
      <c r="AJ177" s="13">
        <f>AI177*VLOOKUP('Données projet'!$B$10,Paramètres!$A$1:$I$89,3,0)*VLOOKUP('Données projet'!$B$10,Paramètres!$A$1:$I$89,5,0)</f>
        <v>581.25599999999986</v>
      </c>
      <c r="AK177" s="13">
        <f t="shared" si="164"/>
        <v>127.68713506014205</v>
      </c>
      <c r="AL177" s="20">
        <f t="shared" si="165"/>
        <v>1234.7426268964139</v>
      </c>
      <c r="AM177" s="59">
        <f t="shared" si="113"/>
        <v>1528.0759602297471</v>
      </c>
      <c r="AN177" s="59">
        <f ca="1">AVERAGE(OFFSET($AM$3,0,0,'Données projet'!$E$10+1,1))-AVERAGE(OFFSET($H$3,0,0,'Données projet'!$E$10+1,1))</f>
        <v>465.77577582457678</v>
      </c>
      <c r="AO177" s="59">
        <f t="shared" si="144"/>
        <v>301.15495784503042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6.6783077269356674</v>
      </c>
      <c r="AV177" s="21">
        <f>EXP(-LN(2)/25)*AV176+(1-EXP(-LN(2)/25))/(LN(2)/25)*Calculateur!AQ177*Calculateur!AS177*VLOOKUP('Données projet'!$B$10,Paramètres!$A$1:$I$89,3,0)*0.475*44/12</f>
        <v>1.6745080946143636</v>
      </c>
      <c r="AW177" s="21">
        <f>EXP(-LN(2)/2)*AW176+(1-EXP(-LN(2)/2))/(LN(2)/2)*AQ177*AT177*VLOOKUP('Données projet'!$B$10,Paramètres!$A$1:$I$89,3,0)*0.475*44/12</f>
        <v>3.6104459268371008E-16</v>
      </c>
      <c r="AX177" s="21">
        <f t="shared" si="166"/>
        <v>8.3528158215500312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273.00000000000023</v>
      </c>
      <c r="BE177" s="13">
        <f>BD177*VLOOKUP('Données projet'!$B$11,Paramètres!$A$1:$I$89,3,0)*VLOOKUP('Données projet'!$B$11,Paramètres!$A$1:$I$89,5,0)</f>
        <v>212.9400000000002</v>
      </c>
      <c r="BF177" s="13">
        <f t="shared" si="167"/>
        <v>52.577528895212915</v>
      </c>
      <c r="BG177" s="20">
        <f t="shared" si="168"/>
        <v>462.44302949249618</v>
      </c>
      <c r="BH177" s="59">
        <f t="shared" si="116"/>
        <v>755.77636282582944</v>
      </c>
      <c r="BI177" s="59">
        <f ca="1">AVERAGE(OFFSET($BH$3,0,0,'Données projet'!$E$11+1,1))-AVERAGE(OFFSET($H$3,0,0,'Données projet'!$E$11+1,1))</f>
        <v>219.5868031007679</v>
      </c>
      <c r="BJ177" s="59">
        <f t="shared" si="146"/>
        <v>263.3830219837742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3.4139776022783597</v>
      </c>
      <c r="BQ177" s="21">
        <f>EXP(-LN(2)/25)*BQ176+(1-EXP(-LN(2)/25))/(LN(2)/25)*Calculateur!BL177*Calculateur!BN177*VLOOKUP('Données projet'!$B$11,Paramètres!$A$1:$I$89,3,0)*0.475*44/12</f>
        <v>0.25150278337694826</v>
      </c>
      <c r="BR177" s="21">
        <f>EXP(-LN(2)/2)*BR176+(1-EXP(-LN(2)/2))/(LN(2)/2)*BL177*BO177*VLOOKUP('Données projet'!$B$11,Paramètres!$A$1:$I$89,3,0)*0.475*44/12</f>
        <v>3.4099971231758535E-17</v>
      </c>
      <c r="BS177" s="22">
        <f t="shared" si="169"/>
        <v>3.6654803856553078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243.99999999999989</v>
      </c>
      <c r="BZ177" s="13">
        <f>BY177*VLOOKUP('Données projet'!$B$12,Paramètres!$A$1:$I$89,3,0)*VLOOKUP('Données projet'!$B$12,Paramètres!$A$1:$I$89,5,0)</f>
        <v>262.64159999999987</v>
      </c>
      <c r="CA177" s="13">
        <f t="shared" si="170"/>
        <v>63.285128621471941</v>
      </c>
      <c r="CB177" s="20">
        <f t="shared" si="171"/>
        <v>567.65571901573003</v>
      </c>
      <c r="CC177" s="59">
        <f t="shared" si="119"/>
        <v>860.98905234906329</v>
      </c>
      <c r="CD177" s="59">
        <f ca="1">AVERAGE(OFFSET($CC$3,0,0,'Données projet'!$E$12+1,1))-AVERAGE(OFFSET($H$3,0,0,'Données projet'!$E$12+1,1))</f>
        <v>244.7364260963538</v>
      </c>
      <c r="CE177" s="59">
        <f t="shared" si="148"/>
        <v>270.32853612539299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3.7409909146689593</v>
      </c>
      <c r="CL177" s="21">
        <f>EXP(-LN(2)/25)*CL176+(1-EXP(-LN(2)/25))/(LN(2)/25)*Calculateur!CG177*Calculateur!CI177*VLOOKUP('Données projet'!$B$12,Paramètres!$A$1:$I$89,3,0)*0.475*44/12</f>
        <v>0.276956969453867</v>
      </c>
      <c r="CM177" s="21">
        <f>EXP(-LN(2)/2)*CM176+(1-EXP(-LN(2)/2))/(LN(2)/2)*CG177*CJ177*VLOOKUP('Données projet'!$B$12,Paramètres!$A$1:$I$89,3,0)*0.475*44/12</f>
        <v>3.5357307094606298E-17</v>
      </c>
      <c r="CN177" s="22">
        <f t="shared" si="172"/>
        <v>4.017947884122826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243.99999999999989</v>
      </c>
      <c r="CU177" s="17">
        <f>CT177*VLOOKUP('Données projet'!$B$13,Paramètres!$A$1:$I$89,3,0)*VLOOKUP('Données projet'!$B$13,Paramètres!$A$1:$I$89,5,0)</f>
        <v>235.99679999999987</v>
      </c>
      <c r="CV177" s="13">
        <f t="shared" si="173"/>
        <v>57.577381127598322</v>
      </c>
      <c r="CW177" s="20">
        <f t="shared" si="174"/>
        <v>511.30836546390015</v>
      </c>
      <c r="CX177" s="59">
        <f t="shared" si="122"/>
        <v>804.6416987972334</v>
      </c>
      <c r="CY177" s="59">
        <f ca="1">AVERAGE(OFFSET($CX$3,0,0,'Données projet'!$E$13+1,1))-AVERAGE(OFFSET($H$3,0,0,'Données projet'!$E$13+1,1))</f>
        <v>216.39536568500222</v>
      </c>
      <c r="CZ177" s="59">
        <f t="shared" si="150"/>
        <v>239.44686980897467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3.3614700972387763</v>
      </c>
      <c r="DG177" s="21">
        <f>EXP(-LN(2)/25)*DG176+(1-EXP(-LN(2)/25))/(LN(2)/25)*Calculateur!DB177*Calculateur!DD177*VLOOKUP('Données projet'!$B$13,Paramètres!$A$1:$I$89,3,0)*0.475*44/12</f>
        <v>0.24885988559622788</v>
      </c>
      <c r="DH177" s="21">
        <f>EXP(-LN(2)/2)*DH176+(1-EXP(-LN(2)/2))/(LN(2)/2)*DB177*DE177*VLOOKUP('Données projet'!$B$13,Paramètres!$A$1:$I$89,3,0)*0.475*44/12</f>
        <v>3.1770333911095484E-17</v>
      </c>
      <c r="DI177" s="22">
        <f t="shared" si="175"/>
        <v>3.6103299828350042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103.73999999999964</v>
      </c>
      <c r="D178" s="11">
        <f t="shared" si="140"/>
        <v>27.851088016239277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1015.7908548621953</v>
      </c>
      <c r="H178" s="67">
        <f t="shared" si="110"/>
        <v>522.52114496161607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306.99999999999994</v>
      </c>
      <c r="O178" s="13">
        <f>N178*VLOOKUP('Données projet'!$B$9,Paramètres!$A$1:$I$89,3,0)*VLOOKUP('Données projet'!$B$9,Paramètres!$A$1:$I$89,5,0)</f>
        <v>277.77359999999993</v>
      </c>
      <c r="P178" s="13">
        <f t="shared" si="141"/>
        <v>66.496288176842356</v>
      </c>
      <c r="Q178" s="20">
        <f t="shared" si="162"/>
        <v>599.60338857466706</v>
      </c>
      <c r="R178" s="59">
        <f t="shared" si="109"/>
        <v>892.93672190800044</v>
      </c>
      <c r="S178" s="59">
        <f ca="1">AVERAGE(OFFSET($R$3,0,0,'Données projet'!$E$9+1,1))-AVERAGE(OFFSET($H$3,0,0,'Données projet'!$E$9+1,1))</f>
        <v>330.30341204367602</v>
      </c>
      <c r="T178" s="59">
        <f t="shared" si="142"/>
        <v>200.36653694091007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23.384412675175156</v>
      </c>
      <c r="AA178" s="21">
        <f>EXP(-LN(2)/25)*AA177+(1-EXP(-LN(2)/25))/(LN(2)/25)*Calculateur!V178*Calculateur!X178*VLOOKUP('Données projet'!$B$9,Paramètres!$A$1:$I$89,3,0)*0.475*44/12</f>
        <v>0.62846405726241605</v>
      </c>
      <c r="AB178" s="21">
        <f>EXP(-LN(2)/2)*AB177+(1-EXP(-LN(2)/2))/(LN(2)/2)*V178*Y178*VLOOKUP('Données projet'!$B$9,Paramètres!$A$1:$I$89,3,0)*0.475*44/12</f>
        <v>1.4031904126646254E-9</v>
      </c>
      <c r="AC178" s="22">
        <f t="shared" si="163"/>
        <v>24.012876733840763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971.99999999999977</v>
      </c>
      <c r="AJ178" s="13">
        <f>AI178*VLOOKUP('Données projet'!$B$10,Paramètres!$A$1:$I$89,3,0)*VLOOKUP('Données projet'!$B$10,Paramètres!$A$1:$I$89,5,0)</f>
        <v>581.25599999999986</v>
      </c>
      <c r="AK178" s="13">
        <f t="shared" si="164"/>
        <v>127.68713506014205</v>
      </c>
      <c r="AL178" s="20">
        <f t="shared" si="165"/>
        <v>1234.7426268964139</v>
      </c>
      <c r="AM178" s="59">
        <f t="shared" si="113"/>
        <v>1528.0759602297471</v>
      </c>
      <c r="AN178" s="59">
        <f ca="1">AVERAGE(OFFSET($AM$3,0,0,'Données projet'!$E$10+1,1))-AVERAGE(OFFSET($H$3,0,0,'Données projet'!$E$10+1,1))</f>
        <v>465.77577582457678</v>
      </c>
      <c r="AO178" s="59">
        <f t="shared" si="144"/>
        <v>301.15495784503042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6.5473501857759606</v>
      </c>
      <c r="AV178" s="21">
        <f>EXP(-LN(2)/25)*AV177+(1-EXP(-LN(2)/25))/(LN(2)/25)*Calculateur!AQ178*Calculateur!AS178*VLOOKUP('Données projet'!$B$10,Paramètres!$A$1:$I$89,3,0)*0.475*44/12</f>
        <v>1.6287185827085802</v>
      </c>
      <c r="AW178" s="21">
        <f>EXP(-LN(2)/2)*AW177+(1-EXP(-LN(2)/2))/(LN(2)/2)*AQ178*AT178*VLOOKUP('Données projet'!$B$10,Paramètres!$A$1:$I$89,3,0)*0.475*44/12</f>
        <v>2.5529707979738636E-16</v>
      </c>
      <c r="AX178" s="21">
        <f t="shared" si="166"/>
        <v>8.1760687684845408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273.00000000000023</v>
      </c>
      <c r="BE178" s="13">
        <f>BD178*VLOOKUP('Données projet'!$B$11,Paramètres!$A$1:$I$89,3,0)*VLOOKUP('Données projet'!$B$11,Paramètres!$A$1:$I$89,5,0)</f>
        <v>212.9400000000002</v>
      </c>
      <c r="BF178" s="13">
        <f t="shared" si="167"/>
        <v>52.577528895212915</v>
      </c>
      <c r="BG178" s="20">
        <f t="shared" si="168"/>
        <v>462.44302949249618</v>
      </c>
      <c r="BH178" s="59">
        <f t="shared" si="116"/>
        <v>755.77636282582944</v>
      </c>
      <c r="BI178" s="59">
        <f ca="1">AVERAGE(OFFSET($BH$3,0,0,'Données projet'!$E$11+1,1))-AVERAGE(OFFSET($H$3,0,0,'Données projet'!$E$11+1,1))</f>
        <v>219.5868031007679</v>
      </c>
      <c r="BJ178" s="59">
        <f t="shared" si="146"/>
        <v>263.3830219837742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3.3470315838184064</v>
      </c>
      <c r="BQ178" s="21">
        <f>EXP(-LN(2)/25)*BQ177+(1-EXP(-LN(2)/25))/(LN(2)/25)*Calculateur!BL178*Calculateur!BN178*VLOOKUP('Données projet'!$B$11,Paramètres!$A$1:$I$89,3,0)*0.475*44/12</f>
        <v>0.24462542653954905</v>
      </c>
      <c r="BR178" s="21">
        <f>EXP(-LN(2)/2)*BR177+(1-EXP(-LN(2)/2))/(LN(2)/2)*BL178*BO178*VLOOKUP('Données projet'!$B$11,Paramètres!$A$1:$I$89,3,0)*0.475*44/12</f>
        <v>2.4112320896242649E-17</v>
      </c>
      <c r="BS178" s="22">
        <f t="shared" si="169"/>
        <v>3.5916570103579555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243.99999999999989</v>
      </c>
      <c r="BZ178" s="13">
        <f>BY178*VLOOKUP('Données projet'!$B$12,Paramètres!$A$1:$I$89,3,0)*VLOOKUP('Données projet'!$B$12,Paramètres!$A$1:$I$89,5,0)</f>
        <v>262.64159999999987</v>
      </c>
      <c r="CA178" s="13">
        <f t="shared" si="170"/>
        <v>63.285128621471941</v>
      </c>
      <c r="CB178" s="20">
        <f t="shared" si="171"/>
        <v>567.65571901573003</v>
      </c>
      <c r="CC178" s="59">
        <f t="shared" si="119"/>
        <v>860.98905234906329</v>
      </c>
      <c r="CD178" s="59">
        <f ca="1">AVERAGE(OFFSET($CC$3,0,0,'Données projet'!$E$12+1,1))-AVERAGE(OFFSET($H$3,0,0,'Données projet'!$E$12+1,1))</f>
        <v>244.7364260963538</v>
      </c>
      <c r="CE178" s="59">
        <f t="shared" si="148"/>
        <v>270.32853612539299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3.6676323646114519</v>
      </c>
      <c r="CL178" s="21">
        <f>EXP(-LN(2)/25)*CL177+(1-EXP(-LN(2)/25))/(LN(2)/25)*Calculateur!CG178*Calculateur!CI178*VLOOKUP('Données projet'!$B$12,Paramètres!$A$1:$I$89,3,0)*0.475*44/12</f>
        <v>0.26938356655961698</v>
      </c>
      <c r="CM178" s="21">
        <f>EXP(-LN(2)/2)*CM177+(1-EXP(-LN(2)/2))/(LN(2)/2)*CG178*CJ178*VLOOKUP('Données projet'!$B$12,Paramètres!$A$1:$I$89,3,0)*0.475*44/12</f>
        <v>2.500139161109134E-17</v>
      </c>
      <c r="CN178" s="22">
        <f t="shared" si="172"/>
        <v>3.9370159311710688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243.99999999999989</v>
      </c>
      <c r="CU178" s="17">
        <f>CT178*VLOOKUP('Données projet'!$B$13,Paramètres!$A$1:$I$89,3,0)*VLOOKUP('Données projet'!$B$13,Paramètres!$A$1:$I$89,5,0)</f>
        <v>235.99679999999987</v>
      </c>
      <c r="CV178" s="13">
        <f t="shared" si="173"/>
        <v>57.577381127598322</v>
      </c>
      <c r="CW178" s="20">
        <f t="shared" si="174"/>
        <v>511.30836546390015</v>
      </c>
      <c r="CX178" s="59">
        <f t="shared" si="122"/>
        <v>804.6416987972334</v>
      </c>
      <c r="CY178" s="59">
        <f ca="1">AVERAGE(OFFSET($CX$3,0,0,'Données projet'!$E$13+1,1))-AVERAGE(OFFSET($H$3,0,0,'Données projet'!$E$13+1,1))</f>
        <v>216.39536568500222</v>
      </c>
      <c r="CZ178" s="59">
        <f t="shared" si="150"/>
        <v>239.44686980897467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3.2955537189262336</v>
      </c>
      <c r="DG178" s="21">
        <f>EXP(-LN(2)/25)*DG177+(1-EXP(-LN(2)/25))/(LN(2)/25)*Calculateur!DB178*Calculateur!DD178*VLOOKUP('Données projet'!$B$13,Paramètres!$A$1:$I$89,3,0)*0.475*44/12</f>
        <v>0.24205479893762641</v>
      </c>
      <c r="DH178" s="21">
        <f>EXP(-LN(2)/2)*DH177+(1-EXP(-LN(2)/2))/(LN(2)/2)*DB178*DE178*VLOOKUP('Données projet'!$B$13,Paramètres!$A$1:$I$89,3,0)*0.475*44/12</f>
        <v>2.2465018549096545E-17</v>
      </c>
      <c r="DI178" s="22">
        <f t="shared" si="175"/>
        <v>3.5376085178638599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104.33279999999964</v>
      </c>
      <c r="D179" s="11">
        <f t="shared" si="140"/>
        <v>27.991665469945453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1021.4520141539623</v>
      </c>
      <c r="H179" s="67">
        <f t="shared" si="110"/>
        <v>523.79844402682102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306.99999999999994</v>
      </c>
      <c r="O179" s="13">
        <f>N179*VLOOKUP('Données projet'!$B$9,Paramètres!$A$1:$I$89,3,0)*VLOOKUP('Données projet'!$B$9,Paramètres!$A$1:$I$89,5,0)</f>
        <v>277.77359999999993</v>
      </c>
      <c r="P179" s="13">
        <f t="shared" si="141"/>
        <v>66.496288176842356</v>
      </c>
      <c r="Q179" s="20">
        <f t="shared" si="162"/>
        <v>599.60338857466706</v>
      </c>
      <c r="R179" s="59">
        <f t="shared" si="109"/>
        <v>892.93672190800044</v>
      </c>
      <c r="S179" s="59">
        <f ca="1">AVERAGE(OFFSET($R$3,0,0,'Données projet'!$E$9+1,1))-AVERAGE(OFFSET($H$3,0,0,'Données projet'!$E$9+1,1))</f>
        <v>330.30341204367602</v>
      </c>
      <c r="T179" s="59">
        <f t="shared" si="142"/>
        <v>200.36653694091007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22.925858605698341</v>
      </c>
      <c r="AA179" s="21">
        <f>EXP(-LN(2)/25)*AA178+(1-EXP(-LN(2)/25))/(LN(2)/25)*Calculateur!V179*Calculateur!X179*VLOOKUP('Données projet'!$B$9,Paramètres!$A$1:$I$89,3,0)*0.475*44/12</f>
        <v>0.61127867456708684</v>
      </c>
      <c r="AB179" s="21">
        <f>EXP(-LN(2)/2)*AB178+(1-EXP(-LN(2)/2))/(LN(2)/2)*V179*Y179*VLOOKUP('Données projet'!$B$9,Paramètres!$A$1:$I$89,3,0)*0.475*44/12</f>
        <v>9.922054560911066E-10</v>
      </c>
      <c r="AC179" s="22">
        <f t="shared" si="163"/>
        <v>23.537137281257632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971.99999999999977</v>
      </c>
      <c r="AJ179" s="13">
        <f>AI179*VLOOKUP('Données projet'!$B$10,Paramètres!$A$1:$I$89,3,0)*VLOOKUP('Données projet'!$B$10,Paramètres!$A$1:$I$89,5,0)</f>
        <v>581.25599999999986</v>
      </c>
      <c r="AK179" s="13">
        <f t="shared" si="164"/>
        <v>127.68713506014205</v>
      </c>
      <c r="AL179" s="20">
        <f t="shared" si="165"/>
        <v>1234.7426268964139</v>
      </c>
      <c r="AM179" s="59">
        <f t="shared" si="113"/>
        <v>1528.0759602297471</v>
      </c>
      <c r="AN179" s="59">
        <f ca="1">AVERAGE(OFFSET($AM$3,0,0,'Données projet'!$E$10+1,1))-AVERAGE(OFFSET($H$3,0,0,'Données projet'!$E$10+1,1))</f>
        <v>465.77577582457678</v>
      </c>
      <c r="AO179" s="59">
        <f t="shared" si="144"/>
        <v>301.15495784503042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6.4189606421221832</v>
      </c>
      <c r="AV179" s="21">
        <f>EXP(-LN(2)/25)*AV178+(1-EXP(-LN(2)/25))/(LN(2)/25)*Calculateur!AQ179*Calculateur!AS179*VLOOKUP('Données projet'!$B$10,Paramètres!$A$1:$I$89,3,0)*0.475*44/12</f>
        <v>1.5841811874138263</v>
      </c>
      <c r="AW179" s="21">
        <f>EXP(-LN(2)/2)*AW178+(1-EXP(-LN(2)/2))/(LN(2)/2)*AQ179*AT179*VLOOKUP('Données projet'!$B$10,Paramètres!$A$1:$I$89,3,0)*0.475*44/12</f>
        <v>1.8052229634185504E-16</v>
      </c>
      <c r="AX179" s="21">
        <f t="shared" si="166"/>
        <v>8.0031418295360091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273.00000000000023</v>
      </c>
      <c r="BE179" s="13">
        <f>BD179*VLOOKUP('Données projet'!$B$11,Paramètres!$A$1:$I$89,3,0)*VLOOKUP('Données projet'!$B$11,Paramètres!$A$1:$I$89,5,0)</f>
        <v>212.9400000000002</v>
      </c>
      <c r="BF179" s="13">
        <f t="shared" si="167"/>
        <v>52.577528895212915</v>
      </c>
      <c r="BG179" s="20">
        <f t="shared" si="168"/>
        <v>462.44302949249618</v>
      </c>
      <c r="BH179" s="59">
        <f t="shared" si="116"/>
        <v>755.77636282582944</v>
      </c>
      <c r="BI179" s="59">
        <f ca="1">AVERAGE(OFFSET($BH$3,0,0,'Données projet'!$E$11+1,1))-AVERAGE(OFFSET($H$3,0,0,'Données projet'!$E$11+1,1))</f>
        <v>219.5868031007679</v>
      </c>
      <c r="BJ179" s="59">
        <f t="shared" si="146"/>
        <v>263.3830219837742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3.2813983359474133</v>
      </c>
      <c r="BQ179" s="21">
        <f>EXP(-LN(2)/25)*BQ178+(1-EXP(-LN(2)/25))/(LN(2)/25)*Calculateur!BL179*Calculateur!BN179*VLOOKUP('Données projet'!$B$11,Paramètres!$A$1:$I$89,3,0)*0.475*44/12</f>
        <v>0.237936131386533</v>
      </c>
      <c r="BR179" s="21">
        <f>EXP(-LN(2)/2)*BR178+(1-EXP(-LN(2)/2))/(LN(2)/2)*BL179*BO179*VLOOKUP('Données projet'!$B$11,Paramètres!$A$1:$I$89,3,0)*0.475*44/12</f>
        <v>1.7049985615879268E-17</v>
      </c>
      <c r="BS179" s="22">
        <f t="shared" si="169"/>
        <v>3.5193344673339464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243.99999999999989</v>
      </c>
      <c r="BZ179" s="13">
        <f>BY179*VLOOKUP('Données projet'!$B$12,Paramètres!$A$1:$I$89,3,0)*VLOOKUP('Données projet'!$B$12,Paramètres!$A$1:$I$89,5,0)</f>
        <v>262.64159999999987</v>
      </c>
      <c r="CA179" s="13">
        <f t="shared" si="170"/>
        <v>63.285128621471941</v>
      </c>
      <c r="CB179" s="20">
        <f t="shared" si="171"/>
        <v>567.65571901573003</v>
      </c>
      <c r="CC179" s="59">
        <f t="shared" si="119"/>
        <v>860.98905234906329</v>
      </c>
      <c r="CD179" s="59">
        <f ca="1">AVERAGE(OFFSET($CC$3,0,0,'Données projet'!$E$12+1,1))-AVERAGE(OFFSET($H$3,0,0,'Données projet'!$E$12+1,1))</f>
        <v>244.7364260963538</v>
      </c>
      <c r="CE179" s="59">
        <f t="shared" si="148"/>
        <v>270.32853612539299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3.5957123309762751</v>
      </c>
      <c r="CL179" s="21">
        <f>EXP(-LN(2)/25)*CL178+(1-EXP(-LN(2)/25))/(LN(2)/25)*Calculateur!CG179*Calculateur!CI179*VLOOKUP('Données projet'!$B$12,Paramètres!$A$1:$I$89,3,0)*0.475*44/12</f>
        <v>0.26201725876577819</v>
      </c>
      <c r="CM179" s="21">
        <f>EXP(-LN(2)/2)*CM178+(1-EXP(-LN(2)/2))/(LN(2)/2)*CG179*CJ179*VLOOKUP('Données projet'!$B$12,Paramètres!$A$1:$I$89,3,0)*0.475*44/12</f>
        <v>1.7678653547303149E-17</v>
      </c>
      <c r="CN179" s="22">
        <f t="shared" si="172"/>
        <v>3.8577295897420534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243.99999999999989</v>
      </c>
      <c r="CU179" s="17">
        <f>CT179*VLOOKUP('Données projet'!$B$13,Paramètres!$A$1:$I$89,3,0)*VLOOKUP('Données projet'!$B$13,Paramètres!$A$1:$I$89,5,0)</f>
        <v>235.99679999999987</v>
      </c>
      <c r="CV179" s="13">
        <f t="shared" si="173"/>
        <v>57.577381127598322</v>
      </c>
      <c r="CW179" s="20">
        <f t="shared" si="174"/>
        <v>511.30836546390015</v>
      </c>
      <c r="CX179" s="59">
        <f t="shared" si="122"/>
        <v>804.6416987972334</v>
      </c>
      <c r="CY179" s="59">
        <f ca="1">AVERAGE(OFFSET($CX$3,0,0,'Données projet'!$E$13+1,1))-AVERAGE(OFFSET($H$3,0,0,'Données projet'!$E$13+1,1))</f>
        <v>216.39536568500222</v>
      </c>
      <c r="CZ179" s="59">
        <f t="shared" si="150"/>
        <v>239.44686980897467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3.2309299205873789</v>
      </c>
      <c r="DG179" s="21">
        <f>EXP(-LN(2)/25)*DG178+(1-EXP(-LN(2)/25))/(LN(2)/25)*Calculateur!DB179*Calculateur!DD179*VLOOKUP('Données projet'!$B$13,Paramètres!$A$1:$I$89,3,0)*0.475*44/12</f>
        <v>0.23543579773156836</v>
      </c>
      <c r="DH179" s="21">
        <f>EXP(-LN(2)/2)*DH178+(1-EXP(-LN(2)/2))/(LN(2)/2)*DB179*DE179*VLOOKUP('Données projet'!$B$13,Paramètres!$A$1:$I$89,3,0)*0.475*44/12</f>
        <v>1.5885166955547742E-17</v>
      </c>
      <c r="DI179" s="22">
        <f t="shared" si="175"/>
        <v>3.4663657183189471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104.92559999999963</v>
      </c>
      <c r="D180" s="11">
        <f t="shared" si="140"/>
        <v>28.132149981044268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1027.1124559940233</v>
      </c>
      <c r="H180" s="67">
        <f t="shared" si="110"/>
        <v>525.0755812169848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306.99999999999994</v>
      </c>
      <c r="O180" s="13">
        <f>N180*VLOOKUP('Données projet'!$B$9,Paramètres!$A$1:$I$89,3,0)*VLOOKUP('Données projet'!$B$9,Paramètres!$A$1:$I$89,5,0)</f>
        <v>277.77359999999993</v>
      </c>
      <c r="P180" s="13">
        <f t="shared" si="141"/>
        <v>66.496288176842356</v>
      </c>
      <c r="Q180" s="20">
        <f t="shared" si="162"/>
        <v>599.60338857466706</v>
      </c>
      <c r="R180" s="59">
        <f t="shared" si="109"/>
        <v>892.93672190800044</v>
      </c>
      <c r="S180" s="59">
        <f ca="1">AVERAGE(OFFSET($R$3,0,0,'Données projet'!$E$9+1,1))-AVERAGE(OFFSET($H$3,0,0,'Données projet'!$E$9+1,1))</f>
        <v>330.30341204367602</v>
      </c>
      <c r="T180" s="59">
        <f t="shared" si="142"/>
        <v>200.36653694091007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22.476296501833602</v>
      </c>
      <c r="AA180" s="21">
        <f>EXP(-LN(2)/25)*AA179+(1-EXP(-LN(2)/25))/(LN(2)/25)*Calculateur!V180*Calculateur!X180*VLOOKUP('Données projet'!$B$9,Paramètres!$A$1:$I$89,3,0)*0.475*44/12</f>
        <v>0.5945632270653014</v>
      </c>
      <c r="AB180" s="21">
        <f>EXP(-LN(2)/2)*AB179+(1-EXP(-LN(2)/2))/(LN(2)/2)*V180*Y180*VLOOKUP('Données projet'!$B$9,Paramètres!$A$1:$I$89,3,0)*0.475*44/12</f>
        <v>7.015952063323127E-10</v>
      </c>
      <c r="AC180" s="22">
        <f t="shared" si="163"/>
        <v>23.070859729600496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971.99999999999977</v>
      </c>
      <c r="AJ180" s="13">
        <f>AI180*VLOOKUP('Données projet'!$B$10,Paramètres!$A$1:$I$89,3,0)*VLOOKUP('Données projet'!$B$10,Paramètres!$A$1:$I$89,5,0)</f>
        <v>581.25599999999986</v>
      </c>
      <c r="AK180" s="13">
        <f t="shared" si="164"/>
        <v>127.68713506014205</v>
      </c>
      <c r="AL180" s="20">
        <f t="shared" si="165"/>
        <v>1234.7426268964139</v>
      </c>
      <c r="AM180" s="59">
        <f t="shared" si="113"/>
        <v>1528.0759602297471</v>
      </c>
      <c r="AN180" s="59">
        <f ca="1">AVERAGE(OFFSET($AM$3,0,0,'Données projet'!$E$10+1,1))-AVERAGE(OFFSET($H$3,0,0,'Données projet'!$E$10+1,1))</f>
        <v>465.77577582457678</v>
      </c>
      <c r="AO180" s="59">
        <f t="shared" si="144"/>
        <v>301.15495784503042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6.2930887391095673</v>
      </c>
      <c r="AV180" s="21">
        <f>EXP(-LN(2)/25)*AV179+(1-EXP(-LN(2)/25))/(LN(2)/25)*Calculateur!AQ180*Calculateur!AS180*VLOOKUP('Données projet'!$B$10,Paramètres!$A$1:$I$89,3,0)*0.475*44/12</f>
        <v>1.5408616695355273</v>
      </c>
      <c r="AW180" s="21">
        <f>EXP(-LN(2)/2)*AW179+(1-EXP(-LN(2)/2))/(LN(2)/2)*AQ180*AT180*VLOOKUP('Données projet'!$B$10,Paramètres!$A$1:$I$89,3,0)*0.475*44/12</f>
        <v>1.2764853989869318E-16</v>
      </c>
      <c r="AX180" s="21">
        <f t="shared" si="166"/>
        <v>7.8339504086450944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273.00000000000023</v>
      </c>
      <c r="BE180" s="13">
        <f>BD180*VLOOKUP('Données projet'!$B$11,Paramètres!$A$1:$I$89,3,0)*VLOOKUP('Données projet'!$B$11,Paramètres!$A$1:$I$89,5,0)</f>
        <v>212.9400000000002</v>
      </c>
      <c r="BF180" s="13">
        <f t="shared" si="167"/>
        <v>52.577528895212915</v>
      </c>
      <c r="BG180" s="20">
        <f t="shared" si="168"/>
        <v>462.44302949249618</v>
      </c>
      <c r="BH180" s="59">
        <f t="shared" si="116"/>
        <v>755.77636282582944</v>
      </c>
      <c r="BI180" s="59">
        <f ca="1">AVERAGE(OFFSET($BH$3,0,0,'Données projet'!$E$11+1,1))-AVERAGE(OFFSET($H$3,0,0,'Données projet'!$E$11+1,1))</f>
        <v>219.5868031007679</v>
      </c>
      <c r="BJ180" s="59">
        <f t="shared" si="146"/>
        <v>263.3830219837742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3.217052116034842</v>
      </c>
      <c r="BQ180" s="21">
        <f>EXP(-LN(2)/25)*BQ179+(1-EXP(-LN(2)/25))/(LN(2)/25)*Calculateur!BL180*Calculateur!BN180*VLOOKUP('Données projet'!$B$11,Paramètres!$A$1:$I$89,3,0)*0.475*44/12</f>
        <v>0.23142975536125091</v>
      </c>
      <c r="BR180" s="21">
        <f>EXP(-LN(2)/2)*BR179+(1-EXP(-LN(2)/2))/(LN(2)/2)*BL180*BO180*VLOOKUP('Données projet'!$B$11,Paramètres!$A$1:$I$89,3,0)*0.475*44/12</f>
        <v>1.2056160448121324E-17</v>
      </c>
      <c r="BS180" s="22">
        <f t="shared" si="169"/>
        <v>3.4484818713960927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243.99999999999989</v>
      </c>
      <c r="BZ180" s="13">
        <f>BY180*VLOOKUP('Données projet'!$B$12,Paramètres!$A$1:$I$89,3,0)*VLOOKUP('Données projet'!$B$12,Paramètres!$A$1:$I$89,5,0)</f>
        <v>262.64159999999987</v>
      </c>
      <c r="CA180" s="13">
        <f t="shared" si="170"/>
        <v>63.285128621471941</v>
      </c>
      <c r="CB180" s="20">
        <f t="shared" si="171"/>
        <v>567.65571901573003</v>
      </c>
      <c r="CC180" s="59">
        <f t="shared" si="119"/>
        <v>860.98905234906329</v>
      </c>
      <c r="CD180" s="59">
        <f ca="1">AVERAGE(OFFSET($CC$3,0,0,'Données projet'!$E$12+1,1))-AVERAGE(OFFSET($H$3,0,0,'Données projet'!$E$12+1,1))</f>
        <v>244.7364260963538</v>
      </c>
      <c r="CE180" s="59">
        <f t="shared" si="148"/>
        <v>270.32853612539299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3.5252026053337948</v>
      </c>
      <c r="CL180" s="21">
        <f>EXP(-LN(2)/25)*CL179+(1-EXP(-LN(2)/25))/(LN(2)/25)*Calculateur!CG180*Calculateur!CI180*VLOOKUP('Données projet'!$B$12,Paramètres!$A$1:$I$89,3,0)*0.475*44/12</f>
        <v>0.25485238304593921</v>
      </c>
      <c r="CM180" s="21">
        <f>EXP(-LN(2)/2)*CM179+(1-EXP(-LN(2)/2))/(LN(2)/2)*CG180*CJ180*VLOOKUP('Données projet'!$B$12,Paramètres!$A$1:$I$89,3,0)*0.475*44/12</f>
        <v>1.250069580554567E-17</v>
      </c>
      <c r="CN180" s="22">
        <f t="shared" si="172"/>
        <v>3.7800549883797339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243.99999999999989</v>
      </c>
      <c r="CU180" s="17">
        <f>CT180*VLOOKUP('Données projet'!$B$13,Paramètres!$A$1:$I$89,3,0)*VLOOKUP('Données projet'!$B$13,Paramètres!$A$1:$I$89,5,0)</f>
        <v>235.99679999999987</v>
      </c>
      <c r="CV180" s="13">
        <f t="shared" si="173"/>
        <v>57.577381127598322</v>
      </c>
      <c r="CW180" s="20">
        <f t="shared" si="174"/>
        <v>511.30836546390015</v>
      </c>
      <c r="CX180" s="59">
        <f t="shared" si="122"/>
        <v>804.6416987972334</v>
      </c>
      <c r="CY180" s="59">
        <f ca="1">AVERAGE(OFFSET($CX$3,0,0,'Données projet'!$E$13+1,1))-AVERAGE(OFFSET($H$3,0,0,'Données projet'!$E$13+1,1))</f>
        <v>216.39536568500222</v>
      </c>
      <c r="CZ180" s="59">
        <f t="shared" si="150"/>
        <v>239.44686980897467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3.1675733555173244</v>
      </c>
      <c r="DG180" s="21">
        <f>EXP(-LN(2)/25)*DG179+(1-EXP(-LN(2)/25))/(LN(2)/25)*Calculateur!DB180*Calculateur!DD180*VLOOKUP('Données projet'!$B$13,Paramètres!$A$1:$I$89,3,0)*0.475*44/12</f>
        <v>0.22899779346156812</v>
      </c>
      <c r="DH180" s="21">
        <f>EXP(-LN(2)/2)*DH179+(1-EXP(-LN(2)/2))/(LN(2)/2)*DB180*DE180*VLOOKUP('Données projet'!$B$13,Paramètres!$A$1:$I$89,3,0)*0.475*44/12</f>
        <v>1.1232509274548273E-17</v>
      </c>
      <c r="DI180" s="22">
        <f t="shared" si="175"/>
        <v>3.3965711489788926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105.51839999999963</v>
      </c>
      <c r="D181" s="11">
        <f t="shared" si="140"/>
        <v>28.272542135570333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1032.7721849061541</v>
      </c>
      <c r="H181" s="67">
        <f t="shared" si="110"/>
        <v>526.35255755278433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306.99999999999994</v>
      </c>
      <c r="O181" s="13">
        <f>N181*VLOOKUP('Données projet'!$B$9,Paramètres!$A$1:$I$89,3,0)*VLOOKUP('Données projet'!$B$9,Paramètres!$A$1:$I$89,5,0)</f>
        <v>277.77359999999993</v>
      </c>
      <c r="P181" s="13">
        <f t="shared" si="141"/>
        <v>66.496288176842356</v>
      </c>
      <c r="Q181" s="20">
        <f t="shared" si="162"/>
        <v>599.60338857466706</v>
      </c>
      <c r="R181" s="59">
        <f t="shared" si="109"/>
        <v>892.93672190800044</v>
      </c>
      <c r="S181" s="59">
        <f ca="1">AVERAGE(OFFSET($R$3,0,0,'Données projet'!$E$9+1,1))-AVERAGE(OFFSET($H$3,0,0,'Données projet'!$E$9+1,1))</f>
        <v>330.30341204367602</v>
      </c>
      <c r="T181" s="59">
        <f t="shared" si="142"/>
        <v>200.36653694091007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22.035550036619842</v>
      </c>
      <c r="AA181" s="21">
        <f>EXP(-LN(2)/25)*AA180+(1-EXP(-LN(2)/25))/(LN(2)/25)*Calculateur!V181*Calculateur!X181*VLOOKUP('Données projet'!$B$9,Paramètres!$A$1:$I$89,3,0)*0.475*44/12</f>
        <v>0.57830486435447948</v>
      </c>
      <c r="AB181" s="21">
        <f>EXP(-LN(2)/2)*AB180+(1-EXP(-LN(2)/2))/(LN(2)/2)*V181*Y181*VLOOKUP('Données projet'!$B$9,Paramètres!$A$1:$I$89,3,0)*0.475*44/12</f>
        <v>4.961027280455533E-10</v>
      </c>
      <c r="AC181" s="22">
        <f t="shared" si="163"/>
        <v>22.613854901470425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971.99999999999977</v>
      </c>
      <c r="AJ181" s="13">
        <f>AI181*VLOOKUP('Données projet'!$B$10,Paramètres!$A$1:$I$89,3,0)*VLOOKUP('Données projet'!$B$10,Paramètres!$A$1:$I$89,5,0)</f>
        <v>581.25599999999986</v>
      </c>
      <c r="AK181" s="13">
        <f t="shared" si="164"/>
        <v>127.68713506014205</v>
      </c>
      <c r="AL181" s="20">
        <f t="shared" si="165"/>
        <v>1234.7426268964139</v>
      </c>
      <c r="AM181" s="59">
        <f t="shared" si="113"/>
        <v>1528.0759602297471</v>
      </c>
      <c r="AN181" s="59">
        <f ca="1">AVERAGE(OFFSET($AM$3,0,0,'Données projet'!$E$10+1,1))-AVERAGE(OFFSET($H$3,0,0,'Données projet'!$E$10+1,1))</f>
        <v>465.77577582457678</v>
      </c>
      <c r="AO181" s="59">
        <f t="shared" si="144"/>
        <v>301.15495784503042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6.1696851073407482</v>
      </c>
      <c r="AV181" s="21">
        <f>EXP(-LN(2)/25)*AV180+(1-EXP(-LN(2)/25))/(LN(2)/25)*Calculateur!AQ181*Calculateur!AS181*VLOOKUP('Données projet'!$B$10,Paramètres!$A$1:$I$89,3,0)*0.475*44/12</f>
        <v>1.4987267261516848</v>
      </c>
      <c r="AW181" s="21">
        <f>EXP(-LN(2)/2)*AW180+(1-EXP(-LN(2)/2))/(LN(2)/2)*AQ181*AT181*VLOOKUP('Données projet'!$B$10,Paramètres!$A$1:$I$89,3,0)*0.475*44/12</f>
        <v>9.0261148170927521E-17</v>
      </c>
      <c r="AX181" s="21">
        <f t="shared" si="166"/>
        <v>7.6684118334924332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273.00000000000023</v>
      </c>
      <c r="BE181" s="13">
        <f>BD181*VLOOKUP('Données projet'!$B$11,Paramètres!$A$1:$I$89,3,0)*VLOOKUP('Données projet'!$B$11,Paramètres!$A$1:$I$89,5,0)</f>
        <v>212.9400000000002</v>
      </c>
      <c r="BF181" s="13">
        <f t="shared" si="167"/>
        <v>52.577528895212915</v>
      </c>
      <c r="BG181" s="20">
        <f t="shared" si="168"/>
        <v>462.44302949249618</v>
      </c>
      <c r="BH181" s="59">
        <f t="shared" si="116"/>
        <v>755.77636282582944</v>
      </c>
      <c r="BI181" s="59">
        <f ca="1">AVERAGE(OFFSET($BH$3,0,0,'Données projet'!$E$11+1,1))-AVERAGE(OFFSET($H$3,0,0,'Données projet'!$E$11+1,1))</f>
        <v>219.5868031007679</v>
      </c>
      <c r="BJ181" s="59">
        <f t="shared" si="146"/>
        <v>263.3830219837742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3.1539676862474377</v>
      </c>
      <c r="BQ181" s="21">
        <f>EXP(-LN(2)/25)*BQ180+(1-EXP(-LN(2)/25))/(LN(2)/25)*Calculateur!BL181*Calculateur!BN181*VLOOKUP('Données projet'!$B$11,Paramètres!$A$1:$I$89,3,0)*0.475*44/12</f>
        <v>0.22510129653053559</v>
      </c>
      <c r="BR181" s="21">
        <f>EXP(-LN(2)/2)*BR180+(1-EXP(-LN(2)/2))/(LN(2)/2)*BL181*BO181*VLOOKUP('Données projet'!$B$11,Paramètres!$A$1:$I$89,3,0)*0.475*44/12</f>
        <v>8.5249928079396339E-18</v>
      </c>
      <c r="BS181" s="22">
        <f t="shared" si="169"/>
        <v>3.3790689827779734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243.99999999999989</v>
      </c>
      <c r="BZ181" s="13">
        <f>BY181*VLOOKUP('Données projet'!$B$12,Paramètres!$A$1:$I$89,3,0)*VLOOKUP('Données projet'!$B$12,Paramètres!$A$1:$I$89,5,0)</f>
        <v>262.64159999999987</v>
      </c>
      <c r="CA181" s="13">
        <f t="shared" si="170"/>
        <v>63.285128621471941</v>
      </c>
      <c r="CB181" s="20">
        <f t="shared" si="171"/>
        <v>567.65571901573003</v>
      </c>
      <c r="CC181" s="59">
        <f t="shared" si="119"/>
        <v>860.98905234906329</v>
      </c>
      <c r="CD181" s="59">
        <f ca="1">AVERAGE(OFFSET($CC$3,0,0,'Données projet'!$E$12+1,1))-AVERAGE(OFFSET($H$3,0,0,'Données projet'!$E$12+1,1))</f>
        <v>244.7364260963538</v>
      </c>
      <c r="CE181" s="59">
        <f t="shared" si="148"/>
        <v>270.32853612539299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3.4560755324044776</v>
      </c>
      <c r="CL181" s="21">
        <f>EXP(-LN(2)/25)*CL180+(1-EXP(-LN(2)/25))/(LN(2)/25)*Calculateur!CG181*Calculateur!CI181*VLOOKUP('Données projet'!$B$12,Paramètres!$A$1:$I$89,3,0)*0.475*44/12</f>
        <v>0.24788343122944365</v>
      </c>
      <c r="CM181" s="21">
        <f>EXP(-LN(2)/2)*CM180+(1-EXP(-LN(2)/2))/(LN(2)/2)*CG181*CJ181*VLOOKUP('Données projet'!$B$12,Paramètres!$A$1:$I$89,3,0)*0.475*44/12</f>
        <v>8.8393267736515746E-18</v>
      </c>
      <c r="CN181" s="22">
        <f t="shared" si="172"/>
        <v>3.7039589636339212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243.99999999999989</v>
      </c>
      <c r="CU181" s="17">
        <f>CT181*VLOOKUP('Données projet'!$B$13,Paramètres!$A$1:$I$89,3,0)*VLOOKUP('Données projet'!$B$13,Paramètres!$A$1:$I$89,5,0)</f>
        <v>235.99679999999987</v>
      </c>
      <c r="CV181" s="13">
        <f t="shared" si="173"/>
        <v>57.577381127598322</v>
      </c>
      <c r="CW181" s="20">
        <f t="shared" si="174"/>
        <v>511.30836546390015</v>
      </c>
      <c r="CX181" s="59">
        <f t="shared" si="122"/>
        <v>804.6416987972334</v>
      </c>
      <c r="CY181" s="59">
        <f ca="1">AVERAGE(OFFSET($CX$3,0,0,'Données projet'!$E$13+1,1))-AVERAGE(OFFSET($H$3,0,0,'Données projet'!$E$13+1,1))</f>
        <v>216.39536568500222</v>
      </c>
      <c r="CZ181" s="59">
        <f t="shared" si="150"/>
        <v>239.44686980897467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3.1054591740446047</v>
      </c>
      <c r="DG181" s="21">
        <f>EXP(-LN(2)/25)*DG180+(1-EXP(-LN(2)/25))/(LN(2)/25)*Calculateur!DB181*Calculateur!DD181*VLOOKUP('Données projet'!$B$13,Paramètres!$A$1:$I$89,3,0)*0.475*44/12</f>
        <v>0.22273583675689096</v>
      </c>
      <c r="DH181" s="21">
        <f>EXP(-LN(2)/2)*DH180+(1-EXP(-LN(2)/2))/(LN(2)/2)*DB181*DE181*VLOOKUP('Données projet'!$B$13,Paramètres!$A$1:$I$89,3,0)*0.475*44/12</f>
        <v>7.9425834777738709E-18</v>
      </c>
      <c r="DI181" s="22">
        <f t="shared" si="175"/>
        <v>3.3281950108014957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106.11119999999963</v>
      </c>
      <c r="D182" s="11">
        <f t="shared" si="140"/>
        <v>28.41284251259254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1038.4312053603605</v>
      </c>
      <c r="H182" s="67">
        <f t="shared" si="110"/>
        <v>527.62937404276465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306.99999999999994</v>
      </c>
      <c r="O182" s="13">
        <f>N182*VLOOKUP('Données projet'!$B$9,Paramètres!$A$1:$I$89,3,0)*VLOOKUP('Données projet'!$B$9,Paramètres!$A$1:$I$89,5,0)</f>
        <v>277.77359999999993</v>
      </c>
      <c r="P182" s="13">
        <f t="shared" si="141"/>
        <v>66.496288176842356</v>
      </c>
      <c r="Q182" s="20">
        <f t="shared" si="162"/>
        <v>599.60338857466706</v>
      </c>
      <c r="R182" s="59">
        <f t="shared" si="109"/>
        <v>892.93672190800044</v>
      </c>
      <c r="S182" s="59">
        <f ca="1">AVERAGE(OFFSET($R$3,0,0,'Données projet'!$E$9+1,1))-AVERAGE(OFFSET($H$3,0,0,'Données projet'!$E$9+1,1))</f>
        <v>330.30341204367602</v>
      </c>
      <c r="T182" s="59">
        <f t="shared" si="142"/>
        <v>200.36653694091007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21.603446340760126</v>
      </c>
      <c r="AA182" s="21">
        <f>EXP(-LN(2)/25)*AA181+(1-EXP(-LN(2)/25))/(LN(2)/25)*Calculateur!V182*Calculateur!X182*VLOOKUP('Données projet'!$B$9,Paramètres!$A$1:$I$89,3,0)*0.475*44/12</f>
        <v>0.56249108742697518</v>
      </c>
      <c r="AB182" s="21">
        <f>EXP(-LN(2)/2)*AB181+(1-EXP(-LN(2)/2))/(LN(2)/2)*V182*Y182*VLOOKUP('Données projet'!$B$9,Paramètres!$A$1:$I$89,3,0)*0.475*44/12</f>
        <v>3.5079760316615635E-10</v>
      </c>
      <c r="AC182" s="22">
        <f t="shared" si="163"/>
        <v>22.165937428537898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971.99999999999977</v>
      </c>
      <c r="AJ182" s="13">
        <f>AI182*VLOOKUP('Données projet'!$B$10,Paramètres!$A$1:$I$89,3,0)*VLOOKUP('Données projet'!$B$10,Paramètres!$A$1:$I$89,5,0)</f>
        <v>581.25599999999986</v>
      </c>
      <c r="AK182" s="13">
        <f t="shared" si="164"/>
        <v>127.68713506014205</v>
      </c>
      <c r="AL182" s="20">
        <f t="shared" si="165"/>
        <v>1234.7426268964139</v>
      </c>
      <c r="AM182" s="59">
        <f t="shared" si="113"/>
        <v>1528.0759602297471</v>
      </c>
      <c r="AN182" s="59">
        <f ca="1">AVERAGE(OFFSET($AM$3,0,0,'Données projet'!$E$10+1,1))-AVERAGE(OFFSET($H$3,0,0,'Données projet'!$E$10+1,1))</f>
        <v>465.77577582457678</v>
      </c>
      <c r="AO182" s="59">
        <f t="shared" si="144"/>
        <v>301.15495784503042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6.048701345522133</v>
      </c>
      <c r="AV182" s="21">
        <f>EXP(-LN(2)/25)*AV181+(1-EXP(-LN(2)/25))/(LN(2)/25)*Calculateur!AQ182*Calculateur!AS182*VLOOKUP('Données projet'!$B$10,Paramètres!$A$1:$I$89,3,0)*0.475*44/12</f>
        <v>1.4577439650104538</v>
      </c>
      <c r="AW182" s="21">
        <f>EXP(-LN(2)/2)*AW181+(1-EXP(-LN(2)/2))/(LN(2)/2)*AQ182*AT182*VLOOKUP('Données projet'!$B$10,Paramètres!$A$1:$I$89,3,0)*0.475*44/12</f>
        <v>6.3824269949346591E-17</v>
      </c>
      <c r="AX182" s="21">
        <f t="shared" si="166"/>
        <v>7.5064453105325866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273.00000000000023</v>
      </c>
      <c r="BE182" s="13">
        <f>BD182*VLOOKUP('Données projet'!$B$11,Paramètres!$A$1:$I$89,3,0)*VLOOKUP('Données projet'!$B$11,Paramètres!$A$1:$I$89,5,0)</f>
        <v>212.9400000000002</v>
      </c>
      <c r="BF182" s="13">
        <f t="shared" si="167"/>
        <v>52.577528895212915</v>
      </c>
      <c r="BG182" s="20">
        <f t="shared" si="168"/>
        <v>462.44302949249618</v>
      </c>
      <c r="BH182" s="59">
        <f t="shared" si="116"/>
        <v>755.77636282582944</v>
      </c>
      <c r="BI182" s="59">
        <f ca="1">AVERAGE(OFFSET($BH$3,0,0,'Données projet'!$E$11+1,1))-AVERAGE(OFFSET($H$3,0,0,'Données projet'!$E$11+1,1))</f>
        <v>219.5868031007679</v>
      </c>
      <c r="BJ182" s="59">
        <f t="shared" si="146"/>
        <v>263.3830219837742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3.0921203036504616</v>
      </c>
      <c r="BQ182" s="21">
        <f>EXP(-LN(2)/25)*BQ181+(1-EXP(-LN(2)/25))/(LN(2)/25)*Calculateur!BL182*Calculateur!BN182*VLOOKUP('Données projet'!$B$11,Paramètres!$A$1:$I$89,3,0)*0.475*44/12</f>
        <v>0.2189458897393454</v>
      </c>
      <c r="BR182" s="21">
        <f>EXP(-LN(2)/2)*BR181+(1-EXP(-LN(2)/2))/(LN(2)/2)*BL182*BO182*VLOOKUP('Données projet'!$B$11,Paramètres!$A$1:$I$89,3,0)*0.475*44/12</f>
        <v>6.0280802240606622E-18</v>
      </c>
      <c r="BS182" s="22">
        <f t="shared" si="169"/>
        <v>3.3110661933898071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243.99999999999989</v>
      </c>
      <c r="BZ182" s="13">
        <f>BY182*VLOOKUP('Données projet'!$B$12,Paramètres!$A$1:$I$89,3,0)*VLOOKUP('Données projet'!$B$12,Paramètres!$A$1:$I$89,5,0)</f>
        <v>262.64159999999987</v>
      </c>
      <c r="CA182" s="13">
        <f t="shared" si="170"/>
        <v>63.285128621471941</v>
      </c>
      <c r="CB182" s="20">
        <f t="shared" si="171"/>
        <v>567.65571901573003</v>
      </c>
      <c r="CC182" s="59">
        <f t="shared" si="119"/>
        <v>860.98905234906329</v>
      </c>
      <c r="CD182" s="59">
        <f ca="1">AVERAGE(OFFSET($CC$3,0,0,'Données projet'!$E$12+1,1))-AVERAGE(OFFSET($H$3,0,0,'Données projet'!$E$12+1,1))</f>
        <v>244.7364260963538</v>
      </c>
      <c r="CE182" s="59">
        <f t="shared" si="148"/>
        <v>270.32853612539299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3.3883039992119532</v>
      </c>
      <c r="CL182" s="21">
        <f>EXP(-LN(2)/25)*CL181+(1-EXP(-LN(2)/25))/(LN(2)/25)*Calculateur!CG182*Calculateur!CI182*VLOOKUP('Données projet'!$B$12,Paramètres!$A$1:$I$89,3,0)*0.475*44/12</f>
        <v>0.24110504576685141</v>
      </c>
      <c r="CM182" s="21">
        <f>EXP(-LN(2)/2)*CM181+(1-EXP(-LN(2)/2))/(LN(2)/2)*CG182*CJ182*VLOOKUP('Données projet'!$B$12,Paramètres!$A$1:$I$89,3,0)*0.475*44/12</f>
        <v>6.2503479027728351E-18</v>
      </c>
      <c r="CN182" s="22">
        <f t="shared" si="172"/>
        <v>3.6294090449788046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243.99999999999989</v>
      </c>
      <c r="CU182" s="17">
        <f>CT182*VLOOKUP('Données projet'!$B$13,Paramètres!$A$1:$I$89,3,0)*VLOOKUP('Données projet'!$B$13,Paramètres!$A$1:$I$89,5,0)</f>
        <v>235.99679999999987</v>
      </c>
      <c r="CV182" s="13">
        <f t="shared" si="173"/>
        <v>57.577381127598322</v>
      </c>
      <c r="CW182" s="20">
        <f t="shared" si="174"/>
        <v>511.30836546390015</v>
      </c>
      <c r="CX182" s="59">
        <f t="shared" si="122"/>
        <v>804.6416987972334</v>
      </c>
      <c r="CY182" s="59">
        <f ca="1">AVERAGE(OFFSET($CX$3,0,0,'Données projet'!$E$13+1,1))-AVERAGE(OFFSET($H$3,0,0,'Données projet'!$E$13+1,1))</f>
        <v>216.39536568500222</v>
      </c>
      <c r="CZ182" s="59">
        <f t="shared" si="150"/>
        <v>239.44686980897467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3.0445630137846549</v>
      </c>
      <c r="DG182" s="21">
        <f>EXP(-LN(2)/25)*DG181+(1-EXP(-LN(2)/25))/(LN(2)/25)*Calculateur!DB182*Calculateur!DD182*VLOOKUP('Données projet'!$B$13,Paramètres!$A$1:$I$89,3,0)*0.475*44/12</f>
        <v>0.21664511358760519</v>
      </c>
      <c r="DH182" s="21">
        <f>EXP(-LN(2)/2)*DH181+(1-EXP(-LN(2)/2))/(LN(2)/2)*DB182*DE182*VLOOKUP('Données projet'!$B$13,Paramètres!$A$1:$I$89,3,0)*0.475*44/12</f>
        <v>5.6162546372741363E-18</v>
      </c>
      <c r="DI182" s="22">
        <f t="shared" si="175"/>
        <v>3.2612081273722602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106.70399999999962</v>
      </c>
      <c r="D183" s="11">
        <f t="shared" si="140"/>
        <v>28.553051684335252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1044.089521773813</v>
      </c>
      <c r="H183" s="67">
        <f t="shared" si="110"/>
        <v>528.90603168354983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306.99999999999994</v>
      </c>
      <c r="O183" s="13">
        <f>N183*VLOOKUP('Données projet'!$B$9,Paramètres!$A$1:$I$89,3,0)*VLOOKUP('Données projet'!$B$9,Paramètres!$A$1:$I$89,5,0)</f>
        <v>277.77359999999993</v>
      </c>
      <c r="P183" s="13">
        <f t="shared" si="141"/>
        <v>66.496288176842356</v>
      </c>
      <c r="Q183" s="20">
        <f t="shared" si="162"/>
        <v>599.60338857466706</v>
      </c>
      <c r="R183" s="59">
        <f t="shared" si="109"/>
        <v>892.93672190800044</v>
      </c>
      <c r="S183" s="59">
        <f ca="1">AVERAGE(OFFSET($R$3,0,0,'Données projet'!$E$9+1,1))-AVERAGE(OFFSET($H$3,0,0,'Données projet'!$E$9+1,1))</f>
        <v>330.30341204367602</v>
      </c>
      <c r="T183" s="59">
        <f t="shared" si="142"/>
        <v>200.36653694091007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21.179815934818986</v>
      </c>
      <c r="AA183" s="21">
        <f>EXP(-LN(2)/25)*AA182+(1-EXP(-LN(2)/25))/(LN(2)/25)*Calculateur!V183*Calculateur!X183*VLOOKUP('Données projet'!$B$9,Paramètres!$A$1:$I$89,3,0)*0.475*44/12</f>
        <v>0.54710973906116389</v>
      </c>
      <c r="AB183" s="21">
        <f>EXP(-LN(2)/2)*AB182+(1-EXP(-LN(2)/2))/(LN(2)/2)*V183*Y183*VLOOKUP('Données projet'!$B$9,Paramètres!$A$1:$I$89,3,0)*0.475*44/12</f>
        <v>2.4805136402277665E-10</v>
      </c>
      <c r="AC183" s="22">
        <f t="shared" si="163"/>
        <v>21.7269256741282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971.99999999999977</v>
      </c>
      <c r="AJ183" s="13">
        <f>AI183*VLOOKUP('Données projet'!$B$10,Paramètres!$A$1:$I$89,3,0)*VLOOKUP('Données projet'!$B$10,Paramètres!$A$1:$I$89,5,0)</f>
        <v>581.25599999999986</v>
      </c>
      <c r="AK183" s="13">
        <f t="shared" si="164"/>
        <v>127.68713506014205</v>
      </c>
      <c r="AL183" s="20">
        <f t="shared" si="165"/>
        <v>1234.7426268964139</v>
      </c>
      <c r="AM183" s="59">
        <f t="shared" si="113"/>
        <v>1528.0759602297471</v>
      </c>
      <c r="AN183" s="59">
        <f ca="1">AVERAGE(OFFSET($AM$3,0,0,'Données projet'!$E$10+1,1))-AVERAGE(OFFSET($H$3,0,0,'Données projet'!$E$10+1,1))</f>
        <v>465.77577582457678</v>
      </c>
      <c r="AO183" s="59">
        <f t="shared" si="144"/>
        <v>301.15495784503042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5.9300900014799725</v>
      </c>
      <c r="AV183" s="21">
        <f>EXP(-LN(2)/25)*AV182+(1-EXP(-LN(2)/25))/(LN(2)/25)*Calculateur!AQ183*Calculateur!AS183*VLOOKUP('Données projet'!$B$10,Paramètres!$A$1:$I$89,3,0)*0.475*44/12</f>
        <v>1.4178818796278194</v>
      </c>
      <c r="AW183" s="21">
        <f>EXP(-LN(2)/2)*AW182+(1-EXP(-LN(2)/2))/(LN(2)/2)*AQ183*AT183*VLOOKUP('Données projet'!$B$10,Paramètres!$A$1:$I$89,3,0)*0.475*44/12</f>
        <v>4.513057408546376E-17</v>
      </c>
      <c r="AX183" s="21">
        <f t="shared" si="166"/>
        <v>7.3479718811077923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273.00000000000023</v>
      </c>
      <c r="BE183" s="13">
        <f>BD183*VLOOKUP('Données projet'!$B$11,Paramètres!$A$1:$I$89,3,0)*VLOOKUP('Données projet'!$B$11,Paramètres!$A$1:$I$89,5,0)</f>
        <v>212.9400000000002</v>
      </c>
      <c r="BF183" s="13">
        <f t="shared" si="167"/>
        <v>52.577528895212915</v>
      </c>
      <c r="BG183" s="20">
        <f t="shared" si="168"/>
        <v>462.44302949249618</v>
      </c>
      <c r="BH183" s="59">
        <f t="shared" si="116"/>
        <v>755.77636282582944</v>
      </c>
      <c r="BI183" s="59">
        <f ca="1">AVERAGE(OFFSET($BH$3,0,0,'Données projet'!$E$11+1,1))-AVERAGE(OFFSET($H$3,0,0,'Données projet'!$E$11+1,1))</f>
        <v>219.5868031007679</v>
      </c>
      <c r="BJ183" s="59">
        <f t="shared" si="146"/>
        <v>263.3830219837742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3.0314857105030337</v>
      </c>
      <c r="BQ183" s="21">
        <f>EXP(-LN(2)/25)*BQ182+(1-EXP(-LN(2)/25))/(LN(2)/25)*Calculateur!BL183*Calculateur!BN183*VLOOKUP('Données projet'!$B$11,Paramètres!$A$1:$I$89,3,0)*0.475*44/12</f>
        <v>0.21295880287055907</v>
      </c>
      <c r="BR183" s="21">
        <f>EXP(-LN(2)/2)*BR182+(1-EXP(-LN(2)/2))/(LN(2)/2)*BL183*BO183*VLOOKUP('Données projet'!$B$11,Paramètres!$A$1:$I$89,3,0)*0.475*44/12</f>
        <v>4.2624964039698169E-18</v>
      </c>
      <c r="BS183" s="22">
        <f t="shared" si="169"/>
        <v>3.2444445133735926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243.99999999999989</v>
      </c>
      <c r="BZ183" s="13">
        <f>BY183*VLOOKUP('Données projet'!$B$12,Paramètres!$A$1:$I$89,3,0)*VLOOKUP('Données projet'!$B$12,Paramètres!$A$1:$I$89,5,0)</f>
        <v>262.64159999999987</v>
      </c>
      <c r="CA183" s="13">
        <f t="shared" si="170"/>
        <v>63.285128621471941</v>
      </c>
      <c r="CB183" s="20">
        <f t="shared" si="171"/>
        <v>567.65571901573003</v>
      </c>
      <c r="CC183" s="59">
        <f t="shared" si="119"/>
        <v>860.98905234906329</v>
      </c>
      <c r="CD183" s="59">
        <f ca="1">AVERAGE(OFFSET($CC$3,0,0,'Données projet'!$E$12+1,1))-AVERAGE(OFFSET($H$3,0,0,'Données projet'!$E$12+1,1))</f>
        <v>244.7364260963538</v>
      </c>
      <c r="CE183" s="59">
        <f t="shared" si="148"/>
        <v>270.32853612539299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3.3218614244487803</v>
      </c>
      <c r="CL183" s="21">
        <f>EXP(-LN(2)/25)*CL182+(1-EXP(-LN(2)/25))/(LN(2)/25)*Calculateur!CG183*Calculateur!CI183*VLOOKUP('Données projet'!$B$12,Paramètres!$A$1:$I$89,3,0)*0.475*44/12</f>
        <v>0.23451201561119356</v>
      </c>
      <c r="CM183" s="21">
        <f>EXP(-LN(2)/2)*CM182+(1-EXP(-LN(2)/2))/(LN(2)/2)*CG183*CJ183*VLOOKUP('Données projet'!$B$12,Paramètres!$A$1:$I$89,3,0)*0.475*44/12</f>
        <v>4.4196633868257873E-18</v>
      </c>
      <c r="CN183" s="22">
        <f t="shared" si="172"/>
        <v>3.556373440059974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243.99999999999989</v>
      </c>
      <c r="CU183" s="17">
        <f>CT183*VLOOKUP('Données projet'!$B$13,Paramètres!$A$1:$I$89,3,0)*VLOOKUP('Données projet'!$B$13,Paramètres!$A$1:$I$89,5,0)</f>
        <v>235.99679999999987</v>
      </c>
      <c r="CV183" s="13">
        <f t="shared" si="173"/>
        <v>57.577381127598322</v>
      </c>
      <c r="CW183" s="20">
        <f t="shared" si="174"/>
        <v>511.30836546390015</v>
      </c>
      <c r="CX183" s="59">
        <f t="shared" si="122"/>
        <v>804.6416987972334</v>
      </c>
      <c r="CY183" s="59">
        <f ca="1">AVERAGE(OFFSET($CX$3,0,0,'Données projet'!$E$13+1,1))-AVERAGE(OFFSET($H$3,0,0,'Données projet'!$E$13+1,1))</f>
        <v>216.39536568500222</v>
      </c>
      <c r="CZ183" s="59">
        <f t="shared" si="150"/>
        <v>239.44686980897467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2.9848609900844125</v>
      </c>
      <c r="DG183" s="21">
        <f>EXP(-LN(2)/25)*DG182+(1-EXP(-LN(2)/25))/(LN(2)/25)*Calculateur!DB183*Calculateur!DD183*VLOOKUP('Données projet'!$B$13,Paramètres!$A$1:$I$89,3,0)*0.475*44/12</f>
        <v>0.21072094156368074</v>
      </c>
      <c r="DH183" s="21">
        <f>EXP(-LN(2)/2)*DH182+(1-EXP(-LN(2)/2))/(LN(2)/2)*DB183*DE183*VLOOKUP('Données projet'!$B$13,Paramètres!$A$1:$I$89,3,0)*0.475*44/12</f>
        <v>3.9712917388869355E-18</v>
      </c>
      <c r="DI183" s="22">
        <f t="shared" si="175"/>
        <v>3.1955819316480931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107.29679999999962</v>
      </c>
      <c r="D184" s="11">
        <f t="shared" si="140"/>
        <v>28.693170216296874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1049.7471385117624</v>
      </c>
      <c r="H184" s="67">
        <f t="shared" si="110"/>
        <v>530.18253146004963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306.99999999999994</v>
      </c>
      <c r="O184" s="13">
        <f>N184*VLOOKUP('Données projet'!$B$9,Paramètres!$A$1:$I$89,3,0)*VLOOKUP('Données projet'!$B$9,Paramètres!$A$1:$I$89,5,0)</f>
        <v>277.77359999999993</v>
      </c>
      <c r="P184" s="13">
        <f t="shared" si="141"/>
        <v>66.496288176842356</v>
      </c>
      <c r="Q184" s="20">
        <f t="shared" si="162"/>
        <v>599.60338857466706</v>
      </c>
      <c r="R184" s="59">
        <f t="shared" si="109"/>
        <v>892.93672190800044</v>
      </c>
      <c r="S184" s="59">
        <f ca="1">AVERAGE(OFFSET($R$3,0,0,'Données projet'!$E$9+1,1))-AVERAGE(OFFSET($H$3,0,0,'Données projet'!$E$9+1,1))</f>
        <v>330.30341204367602</v>
      </c>
      <c r="T184" s="59">
        <f t="shared" si="142"/>
        <v>200.36653694091007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20.764492662749319</v>
      </c>
      <c r="AA184" s="21">
        <f>EXP(-LN(2)/25)*AA183+(1-EXP(-LN(2)/25))/(LN(2)/25)*Calculateur!V184*Calculateur!X184*VLOOKUP('Données projet'!$B$9,Paramètres!$A$1:$I$89,3,0)*0.475*44/12</f>
        <v>0.53214899447528563</v>
      </c>
      <c r="AB184" s="21">
        <f>EXP(-LN(2)/2)*AB183+(1-EXP(-LN(2)/2))/(LN(2)/2)*V184*Y184*VLOOKUP('Données projet'!$B$9,Paramètres!$A$1:$I$89,3,0)*0.475*44/12</f>
        <v>1.7539880158307818E-10</v>
      </c>
      <c r="AC184" s="22">
        <f t="shared" si="163"/>
        <v>21.296641657400002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971.99999999999977</v>
      </c>
      <c r="AJ184" s="13">
        <f>AI184*VLOOKUP('Données projet'!$B$10,Paramètres!$A$1:$I$89,3,0)*VLOOKUP('Données projet'!$B$10,Paramètres!$A$1:$I$89,5,0)</f>
        <v>581.25599999999986</v>
      </c>
      <c r="AK184" s="13">
        <f t="shared" si="164"/>
        <v>127.68713506014205</v>
      </c>
      <c r="AL184" s="20">
        <f t="shared" si="165"/>
        <v>1234.7426268964139</v>
      </c>
      <c r="AM184" s="59">
        <f t="shared" si="113"/>
        <v>1528.0759602297471</v>
      </c>
      <c r="AN184" s="59">
        <f ca="1">AVERAGE(OFFSET($AM$3,0,0,'Données projet'!$E$10+1,1))-AVERAGE(OFFSET($H$3,0,0,'Données projet'!$E$10+1,1))</f>
        <v>465.77577582457678</v>
      </c>
      <c r="AO184" s="59">
        <f t="shared" si="144"/>
        <v>301.15495784503042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5.8138045535487022</v>
      </c>
      <c r="AV184" s="21">
        <f>EXP(-LN(2)/25)*AV183+(1-EXP(-LN(2)/25))/(LN(2)/25)*Calculateur!AQ184*Calculateur!AS184*VLOOKUP('Données projet'!$B$10,Paramètres!$A$1:$I$89,3,0)*0.475*44/12</f>
        <v>1.3791098250662293</v>
      </c>
      <c r="AW184" s="21">
        <f>EXP(-LN(2)/2)*AW183+(1-EXP(-LN(2)/2))/(LN(2)/2)*AQ184*AT184*VLOOKUP('Données projet'!$B$10,Paramètres!$A$1:$I$89,3,0)*0.475*44/12</f>
        <v>3.1912134974673295E-17</v>
      </c>
      <c r="AX184" s="21">
        <f t="shared" si="166"/>
        <v>7.1929143786149314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273.00000000000023</v>
      </c>
      <c r="BE184" s="13">
        <f>BD184*VLOOKUP('Données projet'!$B$11,Paramètres!$A$1:$I$89,3,0)*VLOOKUP('Données projet'!$B$11,Paramètres!$A$1:$I$89,5,0)</f>
        <v>212.9400000000002</v>
      </c>
      <c r="BF184" s="13">
        <f t="shared" si="167"/>
        <v>52.577528895212915</v>
      </c>
      <c r="BG184" s="20">
        <f t="shared" si="168"/>
        <v>462.44302949249618</v>
      </c>
      <c r="BH184" s="59">
        <f t="shared" si="116"/>
        <v>755.77636282582944</v>
      </c>
      <c r="BI184" s="59">
        <f ca="1">AVERAGE(OFFSET($BH$3,0,0,'Données projet'!$E$11+1,1))-AVERAGE(OFFSET($H$3,0,0,'Données projet'!$E$11+1,1))</f>
        <v>219.5868031007679</v>
      </c>
      <c r="BJ184" s="59">
        <f t="shared" si="146"/>
        <v>263.3830219837742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2.9720401247437769</v>
      </c>
      <c r="BQ184" s="21">
        <f>EXP(-LN(2)/25)*BQ183+(1-EXP(-LN(2)/25))/(LN(2)/25)*Calculateur!BL184*Calculateur!BN184*VLOOKUP('Données projet'!$B$11,Paramètres!$A$1:$I$89,3,0)*0.475*44/12</f>
        <v>0.20713543320704692</v>
      </c>
      <c r="BR184" s="21">
        <f>EXP(-LN(2)/2)*BR183+(1-EXP(-LN(2)/2))/(LN(2)/2)*BL184*BO184*VLOOKUP('Données projet'!$B$11,Paramètres!$A$1:$I$89,3,0)*0.475*44/12</f>
        <v>3.0140401120303311E-18</v>
      </c>
      <c r="BS184" s="22">
        <f t="shared" si="169"/>
        <v>3.1791755579508236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243.99999999999989</v>
      </c>
      <c r="BZ184" s="13">
        <f>BY184*VLOOKUP('Données projet'!$B$12,Paramètres!$A$1:$I$89,3,0)*VLOOKUP('Données projet'!$B$12,Paramètres!$A$1:$I$89,5,0)</f>
        <v>262.64159999999987</v>
      </c>
      <c r="CA184" s="13">
        <f t="shared" si="170"/>
        <v>63.285128621471941</v>
      </c>
      <c r="CB184" s="20">
        <f t="shared" si="171"/>
        <v>567.65571901573003</v>
      </c>
      <c r="CC184" s="59">
        <f t="shared" si="119"/>
        <v>860.98905234906329</v>
      </c>
      <c r="CD184" s="59">
        <f ca="1">AVERAGE(OFFSET($CC$3,0,0,'Données projet'!$E$12+1,1))-AVERAGE(OFFSET($H$3,0,0,'Données projet'!$E$12+1,1))</f>
        <v>244.7364260963538</v>
      </c>
      <c r="CE184" s="59">
        <f t="shared" si="148"/>
        <v>270.32853612539299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3.2567217480507442</v>
      </c>
      <c r="CL184" s="21">
        <f>EXP(-LN(2)/25)*CL183+(1-EXP(-LN(2)/25))/(LN(2)/25)*Calculateur!CG184*Calculateur!CI184*VLOOKUP('Données projet'!$B$12,Paramètres!$A$1:$I$89,3,0)*0.475*44/12</f>
        <v>0.22809927221185455</v>
      </c>
      <c r="CM184" s="21">
        <f>EXP(-LN(2)/2)*CM183+(1-EXP(-LN(2)/2))/(LN(2)/2)*CG184*CJ184*VLOOKUP('Données projet'!$B$12,Paramètres!$A$1:$I$89,3,0)*0.475*44/12</f>
        <v>3.1251739513864176E-18</v>
      </c>
      <c r="CN184" s="22">
        <f t="shared" si="172"/>
        <v>3.4848210202625989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243.99999999999989</v>
      </c>
      <c r="CU184" s="17">
        <f>CT184*VLOOKUP('Données projet'!$B$13,Paramètres!$A$1:$I$89,3,0)*VLOOKUP('Données projet'!$B$13,Paramètres!$A$1:$I$89,5,0)</f>
        <v>235.99679999999987</v>
      </c>
      <c r="CV184" s="13">
        <f t="shared" si="173"/>
        <v>57.577381127598322</v>
      </c>
      <c r="CW184" s="20">
        <f t="shared" si="174"/>
        <v>511.30836546390015</v>
      </c>
      <c r="CX184" s="59">
        <f t="shared" si="122"/>
        <v>804.6416987972334</v>
      </c>
      <c r="CY184" s="59">
        <f ca="1">AVERAGE(OFFSET($CX$3,0,0,'Données projet'!$E$13+1,1))-AVERAGE(OFFSET($H$3,0,0,'Données projet'!$E$13+1,1))</f>
        <v>216.39536568500222</v>
      </c>
      <c r="CZ184" s="59">
        <f t="shared" si="150"/>
        <v>239.44686980897467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2.9263296866542934</v>
      </c>
      <c r="DG184" s="21">
        <f>EXP(-LN(2)/25)*DG183+(1-EXP(-LN(2)/25))/(LN(2)/25)*Calculateur!DB184*Calculateur!DD184*VLOOKUP('Données projet'!$B$13,Paramètres!$A$1:$I$89,3,0)*0.475*44/12</f>
        <v>0.20495876633528917</v>
      </c>
      <c r="DH184" s="21">
        <f>EXP(-LN(2)/2)*DH183+(1-EXP(-LN(2)/2))/(LN(2)/2)*DB184*DE184*VLOOKUP('Données projet'!$B$13,Paramètres!$A$1:$I$89,3,0)*0.475*44/12</f>
        <v>2.8081273186370682E-18</v>
      </c>
      <c r="DI184" s="22">
        <f t="shared" si="175"/>
        <v>3.1312884529895824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107.88959999999962</v>
      </c>
      <c r="D185" s="11">
        <f t="shared" si="140"/>
        <v>28.833198667365519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1055.4040598884328</v>
      </c>
      <c r="H185" s="67">
        <f t="shared" si="110"/>
        <v>531.45887434566089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306.99999999999994</v>
      </c>
      <c r="O185" s="13">
        <f>N185*VLOOKUP('Données projet'!$B$9,Paramètres!$A$1:$I$89,3,0)*VLOOKUP('Données projet'!$B$9,Paramètres!$A$1:$I$89,5,0)</f>
        <v>277.77359999999993</v>
      </c>
      <c r="P185" s="13">
        <f t="shared" si="141"/>
        <v>66.496288176842356</v>
      </c>
      <c r="Q185" s="20">
        <f t="shared" si="162"/>
        <v>599.60338857466706</v>
      </c>
      <c r="R185" s="59">
        <f t="shared" si="109"/>
        <v>892.93672190800044</v>
      </c>
      <c r="S185" s="59">
        <f ca="1">AVERAGE(OFFSET($R$3,0,0,'Données projet'!$E$9+1,1))-AVERAGE(OFFSET($H$3,0,0,'Données projet'!$E$9+1,1))</f>
        <v>330.30341204367602</v>
      </c>
      <c r="T185" s="59">
        <f t="shared" si="142"/>
        <v>200.36653694091007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20.357313626722757</v>
      </c>
      <c r="AA185" s="21">
        <f>EXP(-LN(2)/25)*AA184+(1-EXP(-LN(2)/25))/(LN(2)/25)*Calculateur!V185*Calculateur!X185*VLOOKUP('Données projet'!$B$9,Paramètres!$A$1:$I$89,3,0)*0.475*44/12</f>
        <v>0.51759735223685954</v>
      </c>
      <c r="AB185" s="21">
        <f>EXP(-LN(2)/2)*AB184+(1-EXP(-LN(2)/2))/(LN(2)/2)*V185*Y185*VLOOKUP('Données projet'!$B$9,Paramètres!$A$1:$I$89,3,0)*0.475*44/12</f>
        <v>1.2402568201138832E-10</v>
      </c>
      <c r="AC185" s="22">
        <f t="shared" si="163"/>
        <v>20.874910979083641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971.99999999999977</v>
      </c>
      <c r="AJ185" s="13">
        <f>AI185*VLOOKUP('Données projet'!$B$10,Paramètres!$A$1:$I$89,3,0)*VLOOKUP('Données projet'!$B$10,Paramètres!$A$1:$I$89,5,0)</f>
        <v>581.25599999999986</v>
      </c>
      <c r="AK185" s="13">
        <f t="shared" si="164"/>
        <v>127.68713506014205</v>
      </c>
      <c r="AL185" s="20">
        <f t="shared" si="165"/>
        <v>1234.7426268964139</v>
      </c>
      <c r="AM185" s="59">
        <f t="shared" si="113"/>
        <v>1528.0759602297471</v>
      </c>
      <c r="AN185" s="59">
        <f ca="1">AVERAGE(OFFSET($AM$3,0,0,'Données projet'!$E$10+1,1))-AVERAGE(OFFSET($H$3,0,0,'Données projet'!$E$10+1,1))</f>
        <v>465.77577582457678</v>
      </c>
      <c r="AO185" s="59">
        <f t="shared" si="144"/>
        <v>301.15495784503042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5.6997993923242447</v>
      </c>
      <c r="AV185" s="21">
        <f>EXP(-LN(2)/25)*AV184+(1-EXP(-LN(2)/25))/(LN(2)/25)*Calculateur!AQ185*Calculateur!AS185*VLOOKUP('Données projet'!$B$10,Paramètres!$A$1:$I$89,3,0)*0.475*44/12</f>
        <v>1.3413979943755596</v>
      </c>
      <c r="AW185" s="21">
        <f>EXP(-LN(2)/2)*AW184+(1-EXP(-LN(2)/2))/(LN(2)/2)*AQ185*AT185*VLOOKUP('Données projet'!$B$10,Paramètres!$A$1:$I$89,3,0)*0.475*44/12</f>
        <v>2.256528704273188E-17</v>
      </c>
      <c r="AX185" s="21">
        <f t="shared" si="166"/>
        <v>7.0411973866998041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273.00000000000023</v>
      </c>
      <c r="BE185" s="13">
        <f>BD185*VLOOKUP('Données projet'!$B$11,Paramètres!$A$1:$I$89,3,0)*VLOOKUP('Données projet'!$B$11,Paramètres!$A$1:$I$89,5,0)</f>
        <v>212.9400000000002</v>
      </c>
      <c r="BF185" s="13">
        <f t="shared" si="167"/>
        <v>52.577528895212915</v>
      </c>
      <c r="BG185" s="20">
        <f t="shared" si="168"/>
        <v>462.44302949249618</v>
      </c>
      <c r="BH185" s="59">
        <f t="shared" si="116"/>
        <v>755.77636282582944</v>
      </c>
      <c r="BI185" s="59">
        <f ca="1">AVERAGE(OFFSET($BH$3,0,0,'Données projet'!$E$11+1,1))-AVERAGE(OFFSET($H$3,0,0,'Données projet'!$E$11+1,1))</f>
        <v>219.5868031007679</v>
      </c>
      <c r="BJ185" s="59">
        <f t="shared" si="146"/>
        <v>263.3830219837742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2.9137602306630317</v>
      </c>
      <c r="BQ185" s="21">
        <f>EXP(-LN(2)/25)*BQ184+(1-EXP(-LN(2)/25))/(LN(2)/25)*Calculateur!BL185*Calculateur!BN185*VLOOKUP('Données projet'!$B$11,Paramètres!$A$1:$I$89,3,0)*0.475*44/12</f>
        <v>0.20147130389322121</v>
      </c>
      <c r="BR185" s="21">
        <f>EXP(-LN(2)/2)*BR184+(1-EXP(-LN(2)/2))/(LN(2)/2)*BL185*BO185*VLOOKUP('Données projet'!$B$11,Paramètres!$A$1:$I$89,3,0)*0.475*44/12</f>
        <v>2.1312482019849085E-18</v>
      </c>
      <c r="BS185" s="22">
        <f t="shared" si="169"/>
        <v>3.1152315345562531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243.99999999999989</v>
      </c>
      <c r="BZ185" s="13">
        <f>BY185*VLOOKUP('Données projet'!$B$12,Paramètres!$A$1:$I$89,3,0)*VLOOKUP('Données projet'!$B$12,Paramètres!$A$1:$I$89,5,0)</f>
        <v>262.64159999999987</v>
      </c>
      <c r="CA185" s="13">
        <f t="shared" si="170"/>
        <v>63.285128621471941</v>
      </c>
      <c r="CB185" s="20">
        <f t="shared" si="171"/>
        <v>567.65571901573003</v>
      </c>
      <c r="CC185" s="59">
        <f t="shared" si="119"/>
        <v>860.98905234906329</v>
      </c>
      <c r="CD185" s="59">
        <f ca="1">AVERAGE(OFFSET($CC$3,0,0,'Données projet'!$E$12+1,1))-AVERAGE(OFFSET($H$3,0,0,'Données projet'!$E$12+1,1))</f>
        <v>244.7364260963538</v>
      </c>
      <c r="CE185" s="59">
        <f t="shared" si="148"/>
        <v>270.32853612539299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3.1928594209755943</v>
      </c>
      <c r="CL185" s="21">
        <f>EXP(-LN(2)/25)*CL184+(1-EXP(-LN(2)/25))/(LN(2)/25)*Calculateur!CG185*Calculateur!CI185*VLOOKUP('Données projet'!$B$12,Paramètres!$A$1:$I$89,3,0)*0.475*44/12</f>
        <v>0.22186188561800199</v>
      </c>
      <c r="CM185" s="21">
        <f>EXP(-LN(2)/2)*CM184+(1-EXP(-LN(2)/2))/(LN(2)/2)*CG185*CJ185*VLOOKUP('Données projet'!$B$12,Paramètres!$A$1:$I$89,3,0)*0.475*44/12</f>
        <v>2.2098316934128936E-18</v>
      </c>
      <c r="CN185" s="22">
        <f t="shared" si="172"/>
        <v>3.4147213065935964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243.99999999999989</v>
      </c>
      <c r="CU185" s="17">
        <f>CT185*VLOOKUP('Données projet'!$B$13,Paramètres!$A$1:$I$89,3,0)*VLOOKUP('Données projet'!$B$13,Paramètres!$A$1:$I$89,5,0)</f>
        <v>235.99679999999987</v>
      </c>
      <c r="CV185" s="13">
        <f t="shared" si="173"/>
        <v>57.577381127598322</v>
      </c>
      <c r="CW185" s="20">
        <f t="shared" si="174"/>
        <v>511.30836546390015</v>
      </c>
      <c r="CX185" s="59">
        <f t="shared" si="122"/>
        <v>804.6416987972334</v>
      </c>
      <c r="CY185" s="59">
        <f ca="1">AVERAGE(OFFSET($CX$3,0,0,'Données projet'!$E$13+1,1))-AVERAGE(OFFSET($H$3,0,0,'Données projet'!$E$13+1,1))</f>
        <v>216.39536568500222</v>
      </c>
      <c r="CZ185" s="59">
        <f t="shared" si="150"/>
        <v>239.44686980897467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2.8689461463838688</v>
      </c>
      <c r="DG185" s="21">
        <f>EXP(-LN(2)/25)*DG184+(1-EXP(-LN(2)/25))/(LN(2)/25)*Calculateur!DB185*Calculateur!DD185*VLOOKUP('Données projet'!$B$13,Paramètres!$A$1:$I$89,3,0)*0.475*44/12</f>
        <v>0.19935415809153761</v>
      </c>
      <c r="DH185" s="21">
        <f>EXP(-LN(2)/2)*DH184+(1-EXP(-LN(2)/2))/(LN(2)/2)*DB185*DE185*VLOOKUP('Données projet'!$B$13,Paramètres!$A$1:$I$89,3,0)*0.475*44/12</f>
        <v>1.9856458694434677E-18</v>
      </c>
      <c r="DI185" s="22">
        <f t="shared" si="175"/>
        <v>3.0683003044754065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108.48239999999961</v>
      </c>
      <c r="D186" s="11">
        <f t="shared" si="140"/>
        <v>28.973137589932264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1061.0602901678953</v>
      </c>
      <c r="H186" s="67">
        <f t="shared" si="110"/>
        <v>532.7350613024646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306.99999999999994</v>
      </c>
      <c r="O186" s="13">
        <f>N186*VLOOKUP('Données projet'!$B$9,Paramètres!$A$1:$I$89,3,0)*VLOOKUP('Données projet'!$B$9,Paramètres!$A$1:$I$89,5,0)</f>
        <v>277.77359999999993</v>
      </c>
      <c r="P186" s="13">
        <f t="shared" si="141"/>
        <v>66.496288176842356</v>
      </c>
      <c r="Q186" s="20">
        <f t="shared" si="162"/>
        <v>599.60338857466706</v>
      </c>
      <c r="R186" s="59">
        <f t="shared" si="109"/>
        <v>892.93672190800044</v>
      </c>
      <c r="S186" s="59">
        <f ca="1">AVERAGE(OFFSET($R$3,0,0,'Données projet'!$E$9+1,1))-AVERAGE(OFFSET($H$3,0,0,'Données projet'!$E$9+1,1))</f>
        <v>330.30341204367602</v>
      </c>
      <c r="T186" s="59">
        <f t="shared" si="142"/>
        <v>200.36653694091007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19.958119123237985</v>
      </c>
      <c r="AA186" s="21">
        <f>EXP(-LN(2)/25)*AA185+(1-EXP(-LN(2)/25))/(LN(2)/25)*Calculateur!V186*Calculateur!X186*VLOOKUP('Données projet'!$B$9,Paramètres!$A$1:$I$89,3,0)*0.475*44/12</f>
        <v>0.50344362542068088</v>
      </c>
      <c r="AB186" s="21">
        <f>EXP(-LN(2)/2)*AB185+(1-EXP(-LN(2)/2))/(LN(2)/2)*V186*Y186*VLOOKUP('Données projet'!$B$9,Paramètres!$A$1:$I$89,3,0)*0.475*44/12</f>
        <v>8.7699400791539088E-11</v>
      </c>
      <c r="AC186" s="22">
        <f t="shared" si="163"/>
        <v>20.461562748746363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971.99999999999977</v>
      </c>
      <c r="AJ186" s="13">
        <f>AI186*VLOOKUP('Données projet'!$B$10,Paramètres!$A$1:$I$89,3,0)*VLOOKUP('Données projet'!$B$10,Paramètres!$A$1:$I$89,5,0)</f>
        <v>581.25599999999986</v>
      </c>
      <c r="AK186" s="13">
        <f t="shared" si="164"/>
        <v>127.68713506014205</v>
      </c>
      <c r="AL186" s="20">
        <f t="shared" si="165"/>
        <v>1234.7426268964139</v>
      </c>
      <c r="AM186" s="59">
        <f t="shared" si="113"/>
        <v>1528.0759602297471</v>
      </c>
      <c r="AN186" s="59">
        <f ca="1">AVERAGE(OFFSET($AM$3,0,0,'Données projet'!$E$10+1,1))-AVERAGE(OFFSET($H$3,0,0,'Données projet'!$E$10+1,1))</f>
        <v>465.77577582457678</v>
      </c>
      <c r="AO186" s="59">
        <f t="shared" si="144"/>
        <v>301.15495784503042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5.5880298027751163</v>
      </c>
      <c r="AV186" s="21">
        <f>EXP(-LN(2)/25)*AV185+(1-EXP(-LN(2)/25))/(LN(2)/25)*Calculateur!AQ186*Calculateur!AS186*VLOOKUP('Données projet'!$B$10,Paramètres!$A$1:$I$89,3,0)*0.475*44/12</f>
        <v>1.3047173956783051</v>
      </c>
      <c r="AW186" s="21">
        <f>EXP(-LN(2)/2)*AW185+(1-EXP(-LN(2)/2))/(LN(2)/2)*AQ186*AT186*VLOOKUP('Données projet'!$B$10,Paramètres!$A$1:$I$89,3,0)*0.475*44/12</f>
        <v>1.5956067487336648E-17</v>
      </c>
      <c r="AX186" s="21">
        <f t="shared" si="166"/>
        <v>6.8927471984534217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273.00000000000023</v>
      </c>
      <c r="BE186" s="13">
        <f>BD186*VLOOKUP('Données projet'!$B$11,Paramètres!$A$1:$I$89,3,0)*VLOOKUP('Données projet'!$B$11,Paramètres!$A$1:$I$89,5,0)</f>
        <v>212.9400000000002</v>
      </c>
      <c r="BF186" s="13">
        <f t="shared" si="167"/>
        <v>52.577528895212915</v>
      </c>
      <c r="BG186" s="20">
        <f t="shared" si="168"/>
        <v>462.44302949249618</v>
      </c>
      <c r="BH186" s="59">
        <f t="shared" si="116"/>
        <v>755.77636282582944</v>
      </c>
      <c r="BI186" s="59">
        <f ca="1">AVERAGE(OFFSET($BH$3,0,0,'Données projet'!$E$11+1,1))-AVERAGE(OFFSET($H$3,0,0,'Données projet'!$E$11+1,1))</f>
        <v>219.5868031007679</v>
      </c>
      <c r="BJ186" s="59">
        <f t="shared" si="146"/>
        <v>263.3830219837742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2.8566231697579845</v>
      </c>
      <c r="BQ186" s="21">
        <f>EXP(-LN(2)/25)*BQ185+(1-EXP(-LN(2)/25))/(LN(2)/25)*Calculateur!BL186*Calculateur!BN186*VLOOKUP('Données projet'!$B$11,Paramètres!$A$1:$I$89,3,0)*0.475*44/12</f>
        <v>0.19596206049334566</v>
      </c>
      <c r="BR186" s="21">
        <f>EXP(-LN(2)/2)*BR185+(1-EXP(-LN(2)/2))/(LN(2)/2)*BL186*BO186*VLOOKUP('Données projet'!$B$11,Paramètres!$A$1:$I$89,3,0)*0.475*44/12</f>
        <v>1.5070200560151655E-18</v>
      </c>
      <c r="BS186" s="22">
        <f t="shared" si="169"/>
        <v>3.0525852302513301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243.99999999999989</v>
      </c>
      <c r="BZ186" s="13">
        <f>BY186*VLOOKUP('Données projet'!$B$12,Paramètres!$A$1:$I$89,3,0)*VLOOKUP('Données projet'!$B$12,Paramètres!$A$1:$I$89,5,0)</f>
        <v>262.64159999999987</v>
      </c>
      <c r="CA186" s="13">
        <f t="shared" si="170"/>
        <v>63.285128621471941</v>
      </c>
      <c r="CB186" s="20">
        <f t="shared" si="171"/>
        <v>567.65571901573003</v>
      </c>
      <c r="CC186" s="59">
        <f t="shared" si="119"/>
        <v>860.98905234906329</v>
      </c>
      <c r="CD186" s="59">
        <f ca="1">AVERAGE(OFFSET($CC$3,0,0,'Données projet'!$E$12+1,1))-AVERAGE(OFFSET($H$3,0,0,'Données projet'!$E$12+1,1))</f>
        <v>244.7364260963538</v>
      </c>
      <c r="CE186" s="59">
        <f t="shared" si="148"/>
        <v>270.32853612539299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3.1302493951822146</v>
      </c>
      <c r="CL186" s="21">
        <f>EXP(-LN(2)/25)*CL185+(1-EXP(-LN(2)/25))/(LN(2)/25)*Calculateur!CG186*Calculateur!CI186*VLOOKUP('Données projet'!$B$12,Paramètres!$A$1:$I$89,3,0)*0.475*44/12</f>
        <v>0.21579506068856824</v>
      </c>
      <c r="CM186" s="21">
        <f>EXP(-LN(2)/2)*CM185+(1-EXP(-LN(2)/2))/(LN(2)/2)*CG186*CJ186*VLOOKUP('Données projet'!$B$12,Paramètres!$A$1:$I$89,3,0)*0.475*44/12</f>
        <v>1.5625869756932088E-18</v>
      </c>
      <c r="CN186" s="22">
        <f t="shared" si="172"/>
        <v>3.3460444558707829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243.99999999999989</v>
      </c>
      <c r="CU186" s="17">
        <f>CT186*VLOOKUP('Données projet'!$B$13,Paramètres!$A$1:$I$89,3,0)*VLOOKUP('Données projet'!$B$13,Paramètres!$A$1:$I$89,5,0)</f>
        <v>235.99679999999987</v>
      </c>
      <c r="CV186" s="13">
        <f t="shared" si="173"/>
        <v>57.577381127598322</v>
      </c>
      <c r="CW186" s="20">
        <f t="shared" si="174"/>
        <v>511.30836546390015</v>
      </c>
      <c r="CX186" s="59">
        <f t="shared" si="122"/>
        <v>804.6416987972334</v>
      </c>
      <c r="CY186" s="59">
        <f ca="1">AVERAGE(OFFSET($CX$3,0,0,'Données projet'!$E$13+1,1))-AVERAGE(OFFSET($H$3,0,0,'Données projet'!$E$13+1,1))</f>
        <v>216.39536568500222</v>
      </c>
      <c r="CZ186" s="59">
        <f t="shared" si="150"/>
        <v>239.44686980897467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2.8126878623376439</v>
      </c>
      <c r="DG186" s="21">
        <f>EXP(-LN(2)/25)*DG185+(1-EXP(-LN(2)/25))/(LN(2)/25)*Calculateur!DB186*Calculateur!DD186*VLOOKUP('Données projet'!$B$13,Paramètres!$A$1:$I$89,3,0)*0.475*44/12</f>
        <v>0.19390280815494498</v>
      </c>
      <c r="DH186" s="21">
        <f>EXP(-LN(2)/2)*DH185+(1-EXP(-LN(2)/2))/(LN(2)/2)*DB186*DE186*VLOOKUP('Données projet'!$B$13,Paramètres!$A$1:$I$89,3,0)*0.475*44/12</f>
        <v>1.4040636593185341E-18</v>
      </c>
      <c r="DI186" s="22">
        <f t="shared" si="175"/>
        <v>3.0065906704925887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109.07519999999961</v>
      </c>
      <c r="D187" s="11">
        <f t="shared" si="140"/>
        <v>29.112987530001661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1066.7158335649221</v>
      </c>
      <c r="H187" s="67">
        <f t="shared" si="110"/>
        <v>534.01109328141888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306.99999999999994</v>
      </c>
      <c r="O187" s="13">
        <f>N187*VLOOKUP('Données projet'!$B$9,Paramètres!$A$1:$I$89,3,0)*VLOOKUP('Données projet'!$B$9,Paramètres!$A$1:$I$89,5,0)</f>
        <v>277.77359999999993</v>
      </c>
      <c r="P187" s="13">
        <f t="shared" si="141"/>
        <v>66.496288176842356</v>
      </c>
      <c r="Q187" s="20">
        <f t="shared" si="162"/>
        <v>599.60338857466706</v>
      </c>
      <c r="R187" s="59">
        <f t="shared" si="109"/>
        <v>892.93672190800044</v>
      </c>
      <c r="S187" s="59">
        <f ca="1">AVERAGE(OFFSET($R$3,0,0,'Données projet'!$E$9+1,1))-AVERAGE(OFFSET($H$3,0,0,'Données projet'!$E$9+1,1))</f>
        <v>330.30341204367602</v>
      </c>
      <c r="T187" s="59">
        <f t="shared" si="142"/>
        <v>200.36653694091007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19.566752580481946</v>
      </c>
      <c r="AA187" s="21">
        <f>EXP(-LN(2)/25)*AA186+(1-EXP(-LN(2)/25))/(LN(2)/25)*Calculateur!V187*Calculateur!X187*VLOOKUP('Données projet'!$B$9,Paramètres!$A$1:$I$89,3,0)*0.475*44/12</f>
        <v>0.48967693300860277</v>
      </c>
      <c r="AB187" s="21">
        <f>EXP(-LN(2)/2)*AB186+(1-EXP(-LN(2)/2))/(LN(2)/2)*V187*Y187*VLOOKUP('Données projet'!$B$9,Paramètres!$A$1:$I$89,3,0)*0.475*44/12</f>
        <v>6.2012841005694162E-11</v>
      </c>
      <c r="AC187" s="22">
        <f t="shared" si="163"/>
        <v>20.056429513552562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971.99999999999977</v>
      </c>
      <c r="AJ187" s="13">
        <f>AI187*VLOOKUP('Données projet'!$B$10,Paramètres!$A$1:$I$89,3,0)*VLOOKUP('Données projet'!$B$10,Paramètres!$A$1:$I$89,5,0)</f>
        <v>581.25599999999986</v>
      </c>
      <c r="AK187" s="13">
        <f t="shared" si="164"/>
        <v>127.68713506014205</v>
      </c>
      <c r="AL187" s="20">
        <f t="shared" si="165"/>
        <v>1234.7426268964139</v>
      </c>
      <c r="AM187" s="59">
        <f t="shared" si="113"/>
        <v>1528.0759602297471</v>
      </c>
      <c r="AN187" s="59">
        <f ca="1">AVERAGE(OFFSET($AM$3,0,0,'Données projet'!$E$10+1,1))-AVERAGE(OFFSET($H$3,0,0,'Données projet'!$E$10+1,1))</f>
        <v>465.77577582457678</v>
      </c>
      <c r="AO187" s="59">
        <f t="shared" si="144"/>
        <v>301.15495784503042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5.478451946704328</v>
      </c>
      <c r="AV187" s="21">
        <f>EXP(-LN(2)/25)*AV186+(1-EXP(-LN(2)/25))/(LN(2)/25)*Calculateur!AQ187*Calculateur!AS187*VLOOKUP('Données projet'!$B$10,Paramètres!$A$1:$I$89,3,0)*0.475*44/12</f>
        <v>1.2690398298813761</v>
      </c>
      <c r="AW187" s="21">
        <f>EXP(-LN(2)/2)*AW186+(1-EXP(-LN(2)/2))/(LN(2)/2)*AQ187*AT187*VLOOKUP('Données projet'!$B$10,Paramètres!$A$1:$I$89,3,0)*0.475*44/12</f>
        <v>1.128264352136594E-17</v>
      </c>
      <c r="AX187" s="21">
        <f t="shared" si="166"/>
        <v>6.7474917765857043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273.00000000000023</v>
      </c>
      <c r="BE187" s="13">
        <f>BD187*VLOOKUP('Données projet'!$B$11,Paramètres!$A$1:$I$89,3,0)*VLOOKUP('Données projet'!$B$11,Paramètres!$A$1:$I$89,5,0)</f>
        <v>212.9400000000002</v>
      </c>
      <c r="BF187" s="13">
        <f t="shared" si="167"/>
        <v>52.577528895212915</v>
      </c>
      <c r="BG187" s="20">
        <f t="shared" si="168"/>
        <v>462.44302949249618</v>
      </c>
      <c r="BH187" s="59">
        <f t="shared" si="116"/>
        <v>755.77636282582944</v>
      </c>
      <c r="BI187" s="59">
        <f ca="1">AVERAGE(OFFSET($BH$3,0,0,'Données projet'!$E$11+1,1))-AVERAGE(OFFSET($H$3,0,0,'Données projet'!$E$11+1,1))</f>
        <v>219.5868031007679</v>
      </c>
      <c r="BJ187" s="59">
        <f t="shared" si="146"/>
        <v>263.3830219837742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2.8006065317671194</v>
      </c>
      <c r="BQ187" s="21">
        <f>EXP(-LN(2)/25)*BQ186+(1-EXP(-LN(2)/25))/(LN(2)/25)*Calculateur!BL187*Calculateur!BN187*VLOOKUP('Données projet'!$B$11,Paramètres!$A$1:$I$89,3,0)*0.475*44/12</f>
        <v>0.19060346764395825</v>
      </c>
      <c r="BR187" s="21">
        <f>EXP(-LN(2)/2)*BR186+(1-EXP(-LN(2)/2))/(LN(2)/2)*BL187*BO187*VLOOKUP('Données projet'!$B$11,Paramètres!$A$1:$I$89,3,0)*0.475*44/12</f>
        <v>1.0656241009924542E-18</v>
      </c>
      <c r="BS187" s="22">
        <f t="shared" si="169"/>
        <v>2.9912099994110775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243.99999999999989</v>
      </c>
      <c r="BZ187" s="13">
        <f>BY187*VLOOKUP('Données projet'!$B$12,Paramètres!$A$1:$I$89,3,0)*VLOOKUP('Données projet'!$B$12,Paramètres!$A$1:$I$89,5,0)</f>
        <v>262.64159999999987</v>
      </c>
      <c r="CA187" s="13">
        <f t="shared" si="170"/>
        <v>63.285128621471941</v>
      </c>
      <c r="CB187" s="20">
        <f t="shared" si="171"/>
        <v>567.65571901573003</v>
      </c>
      <c r="CC187" s="59">
        <f t="shared" si="119"/>
        <v>860.98905234906329</v>
      </c>
      <c r="CD187" s="59">
        <f ca="1">AVERAGE(OFFSET($CC$3,0,0,'Données projet'!$E$12+1,1))-AVERAGE(OFFSET($H$3,0,0,'Données projet'!$E$12+1,1))</f>
        <v>244.7364260963538</v>
      </c>
      <c r="CE187" s="59">
        <f t="shared" si="148"/>
        <v>270.32853612539299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3.0688671138062982</v>
      </c>
      <c r="CL187" s="21">
        <f>EXP(-LN(2)/25)*CL186+(1-EXP(-LN(2)/25))/(LN(2)/25)*Calculateur!CG187*Calculateur!CI187*VLOOKUP('Données projet'!$B$12,Paramètres!$A$1:$I$89,3,0)*0.475*44/12</f>
        <v>0.20989413340587032</v>
      </c>
      <c r="CM187" s="21">
        <f>EXP(-LN(2)/2)*CM186+(1-EXP(-LN(2)/2))/(LN(2)/2)*CG187*CJ187*VLOOKUP('Données projet'!$B$12,Paramètres!$A$1:$I$89,3,0)*0.475*44/12</f>
        <v>1.1049158467064468E-18</v>
      </c>
      <c r="CN187" s="22">
        <f t="shared" si="172"/>
        <v>3.2787612472121683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243.99999999999989</v>
      </c>
      <c r="CU187" s="17">
        <f>CT187*VLOOKUP('Données projet'!$B$13,Paramètres!$A$1:$I$89,3,0)*VLOOKUP('Données projet'!$B$13,Paramètres!$A$1:$I$89,5,0)</f>
        <v>235.99679999999987</v>
      </c>
      <c r="CV187" s="13">
        <f t="shared" si="173"/>
        <v>57.577381127598322</v>
      </c>
      <c r="CW187" s="20">
        <f t="shared" si="174"/>
        <v>511.30836546390015</v>
      </c>
      <c r="CX187" s="59">
        <f t="shared" si="122"/>
        <v>804.6416987972334</v>
      </c>
      <c r="CY187" s="59">
        <f ca="1">AVERAGE(OFFSET($CX$3,0,0,'Données projet'!$E$13+1,1))-AVERAGE(OFFSET($H$3,0,0,'Données projet'!$E$13+1,1))</f>
        <v>216.39536568500222</v>
      </c>
      <c r="CZ187" s="59">
        <f t="shared" si="150"/>
        <v>239.44686980897467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2.7575327689274003</v>
      </c>
      <c r="DG187" s="21">
        <f>EXP(-LN(2)/25)*DG186+(1-EXP(-LN(2)/25))/(LN(2)/25)*Calculateur!DB187*Calculateur!DD187*VLOOKUP('Données projet'!$B$13,Paramètres!$A$1:$I$89,3,0)*0.475*44/12</f>
        <v>0.18860052566904251</v>
      </c>
      <c r="DH187" s="21">
        <f>EXP(-LN(2)/2)*DH186+(1-EXP(-LN(2)/2))/(LN(2)/2)*DB187*DE187*VLOOKUP('Données projet'!$B$13,Paramètres!$A$1:$I$89,3,0)*0.475*44/12</f>
        <v>9.9282293472173387E-19</v>
      </c>
      <c r="DI187" s="22">
        <f t="shared" si="175"/>
        <v>2.9461332945964429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109.66799999999961</v>
      </c>
      <c r="D188" s="11">
        <f t="shared" si="140"/>
        <v>29.252749027299927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1072.3706942458211</v>
      </c>
      <c r="H188" s="67">
        <f t="shared" si="110"/>
        <v>535.28697122254664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306.99999999999994</v>
      </c>
      <c r="O188" s="13">
        <f>N188*VLOOKUP('Données projet'!$B$9,Paramètres!$A$1:$I$89,3,0)*VLOOKUP('Données projet'!$B$9,Paramètres!$A$1:$I$89,5,0)</f>
        <v>277.77359999999993</v>
      </c>
      <c r="P188" s="13">
        <f t="shared" si="141"/>
        <v>66.496288176842356</v>
      </c>
      <c r="Q188" s="20">
        <f t="shared" si="162"/>
        <v>599.60338857466706</v>
      </c>
      <c r="R188" s="59">
        <f t="shared" si="109"/>
        <v>892.93672190800044</v>
      </c>
      <c r="S188" s="59">
        <f ca="1">AVERAGE(OFFSET($R$3,0,0,'Données projet'!$E$9+1,1))-AVERAGE(OFFSET($H$3,0,0,'Données projet'!$E$9+1,1))</f>
        <v>330.30341204367602</v>
      </c>
      <c r="T188" s="59">
        <f t="shared" si="142"/>
        <v>200.36653694091007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19.183060496919332</v>
      </c>
      <c r="AA188" s="21">
        <f>EXP(-LN(2)/25)*AA187+(1-EXP(-LN(2)/25))/(LN(2)/25)*Calculateur!V188*Calculateur!X188*VLOOKUP('Données projet'!$B$9,Paramètres!$A$1:$I$89,3,0)*0.475*44/12</f>
        <v>0.47628669152449177</v>
      </c>
      <c r="AB188" s="21">
        <f>EXP(-LN(2)/2)*AB187+(1-EXP(-LN(2)/2))/(LN(2)/2)*V188*Y188*VLOOKUP('Données projet'!$B$9,Paramètres!$A$1:$I$89,3,0)*0.475*44/12</f>
        <v>4.3849700395769544E-11</v>
      </c>
      <c r="AC188" s="22">
        <f t="shared" si="163"/>
        <v>19.659347188487676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971.99999999999977</v>
      </c>
      <c r="AJ188" s="13">
        <f>AI188*VLOOKUP('Données projet'!$B$10,Paramètres!$A$1:$I$89,3,0)*VLOOKUP('Données projet'!$B$10,Paramètres!$A$1:$I$89,5,0)</f>
        <v>581.25599999999986</v>
      </c>
      <c r="AK188" s="13">
        <f t="shared" si="164"/>
        <v>127.68713506014205</v>
      </c>
      <c r="AL188" s="20">
        <f t="shared" si="165"/>
        <v>1234.7426268964139</v>
      </c>
      <c r="AM188" s="59">
        <f t="shared" si="113"/>
        <v>1528.0759602297471</v>
      </c>
      <c r="AN188" s="59">
        <f ca="1">AVERAGE(OFFSET($AM$3,0,0,'Données projet'!$E$10+1,1))-AVERAGE(OFFSET($H$3,0,0,'Données projet'!$E$10+1,1))</f>
        <v>465.77577582457678</v>
      </c>
      <c r="AO188" s="59">
        <f t="shared" si="144"/>
        <v>301.15495784503042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5.3710228455551956</v>
      </c>
      <c r="AV188" s="21">
        <f>EXP(-LN(2)/25)*AV187+(1-EXP(-LN(2)/25))/(LN(2)/25)*Calculateur!AQ188*Calculateur!AS188*VLOOKUP('Données projet'!$B$10,Paramètres!$A$1:$I$89,3,0)*0.475*44/12</f>
        <v>1.2343378689973656</v>
      </c>
      <c r="AW188" s="21">
        <f>EXP(-LN(2)/2)*AW187+(1-EXP(-LN(2)/2))/(LN(2)/2)*AQ188*AT188*VLOOKUP('Données projet'!$B$10,Paramètres!$A$1:$I$89,3,0)*0.475*44/12</f>
        <v>7.9780337436683238E-18</v>
      </c>
      <c r="AX188" s="21">
        <f t="shared" si="166"/>
        <v>6.6053607145525612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273.00000000000023</v>
      </c>
      <c r="BE188" s="13">
        <f>BD188*VLOOKUP('Données projet'!$B$11,Paramètres!$A$1:$I$89,3,0)*VLOOKUP('Données projet'!$B$11,Paramètres!$A$1:$I$89,5,0)</f>
        <v>212.9400000000002</v>
      </c>
      <c r="BF188" s="13">
        <f t="shared" si="167"/>
        <v>52.577528895212915</v>
      </c>
      <c r="BG188" s="20">
        <f t="shared" si="168"/>
        <v>462.44302949249618</v>
      </c>
      <c r="BH188" s="59">
        <f t="shared" si="116"/>
        <v>755.77636282582944</v>
      </c>
      <c r="BI188" s="59">
        <f ca="1">AVERAGE(OFFSET($BH$3,0,0,'Données projet'!$E$11+1,1))-AVERAGE(OFFSET($H$3,0,0,'Données projet'!$E$11+1,1))</f>
        <v>219.5868031007679</v>
      </c>
      <c r="BJ188" s="59">
        <f t="shared" si="146"/>
        <v>263.3830219837742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2.7456883458804797</v>
      </c>
      <c r="BQ188" s="21">
        <f>EXP(-LN(2)/25)*BQ187+(1-EXP(-LN(2)/25))/(LN(2)/25)*Calculateur!BL188*Calculateur!BN188*VLOOKUP('Données projet'!$B$11,Paramètres!$A$1:$I$89,3,0)*0.475*44/12</f>
        <v>0.18539140579783348</v>
      </c>
      <c r="BR188" s="21">
        <f>EXP(-LN(2)/2)*BR187+(1-EXP(-LN(2)/2))/(LN(2)/2)*BL188*BO188*VLOOKUP('Données projet'!$B$11,Paramètres!$A$1:$I$89,3,0)*0.475*44/12</f>
        <v>7.5351002800758277E-19</v>
      </c>
      <c r="BS188" s="22">
        <f t="shared" si="169"/>
        <v>2.9310797516783134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243.99999999999989</v>
      </c>
      <c r="BZ188" s="13">
        <f>BY188*VLOOKUP('Données projet'!$B$12,Paramètres!$A$1:$I$89,3,0)*VLOOKUP('Données projet'!$B$12,Paramètres!$A$1:$I$89,5,0)</f>
        <v>262.64159999999987</v>
      </c>
      <c r="CA188" s="13">
        <f t="shared" si="170"/>
        <v>63.285128621471941</v>
      </c>
      <c r="CB188" s="20">
        <f t="shared" si="171"/>
        <v>567.65571901573003</v>
      </c>
      <c r="CC188" s="59">
        <f t="shared" si="119"/>
        <v>860.98905234906329</v>
      </c>
      <c r="CD188" s="59">
        <f ca="1">AVERAGE(OFFSET($CC$3,0,0,'Données projet'!$E$12+1,1))-AVERAGE(OFFSET($H$3,0,0,'Données projet'!$E$12+1,1))</f>
        <v>244.7364260963538</v>
      </c>
      <c r="CE188" s="59">
        <f t="shared" si="148"/>
        <v>270.32853612539299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3.0086885015286686</v>
      </c>
      <c r="CL188" s="21">
        <f>EXP(-LN(2)/25)*CL187+(1-EXP(-LN(2)/25))/(LN(2)/25)*Calculateur!CG188*Calculateur!CI188*VLOOKUP('Données projet'!$B$12,Paramètres!$A$1:$I$89,3,0)*0.475*44/12</f>
        <v>0.20415456729003403</v>
      </c>
      <c r="CM188" s="21">
        <f>EXP(-LN(2)/2)*CM187+(1-EXP(-LN(2)/2))/(LN(2)/2)*CG188*CJ188*VLOOKUP('Données projet'!$B$12,Paramètres!$A$1:$I$89,3,0)*0.475*44/12</f>
        <v>7.8129348784660439E-19</v>
      </c>
      <c r="CN188" s="22">
        <f t="shared" si="172"/>
        <v>3.2128430688187026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243.99999999999989</v>
      </c>
      <c r="CU188" s="17">
        <f>CT188*VLOOKUP('Données projet'!$B$13,Paramètres!$A$1:$I$89,3,0)*VLOOKUP('Données projet'!$B$13,Paramètres!$A$1:$I$89,5,0)</f>
        <v>235.99679999999987</v>
      </c>
      <c r="CV188" s="13">
        <f t="shared" si="173"/>
        <v>57.577381127598322</v>
      </c>
      <c r="CW188" s="20">
        <f t="shared" si="174"/>
        <v>511.30836546390015</v>
      </c>
      <c r="CX188" s="59">
        <f t="shared" si="122"/>
        <v>804.6416987972334</v>
      </c>
      <c r="CY188" s="59">
        <f ca="1">AVERAGE(OFFSET($CX$3,0,0,'Données projet'!$E$13+1,1))-AVERAGE(OFFSET($H$3,0,0,'Données projet'!$E$13+1,1))</f>
        <v>216.39536568500222</v>
      </c>
      <c r="CZ188" s="59">
        <f t="shared" si="150"/>
        <v>239.44686980897467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2.7034592332576461</v>
      </c>
      <c r="DG188" s="21">
        <f>EXP(-LN(2)/25)*DG187+(1-EXP(-LN(2)/25))/(LN(2)/25)*Calculateur!DB188*Calculateur!DD188*VLOOKUP('Données projet'!$B$13,Paramètres!$A$1:$I$89,3,0)*0.475*44/12</f>
        <v>0.18344323437655194</v>
      </c>
      <c r="DH188" s="21">
        <f>EXP(-LN(2)/2)*DH187+(1-EXP(-LN(2)/2))/(LN(2)/2)*DB188*DE188*VLOOKUP('Données projet'!$B$13,Paramètres!$A$1:$I$89,3,0)*0.475*44/12</f>
        <v>7.0203182965926704E-19</v>
      </c>
      <c r="DI188" s="22">
        <f t="shared" si="175"/>
        <v>2.8869024676341981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110.26079999999961</v>
      </c>
      <c r="D189" s="11">
        <f t="shared" si="140"/>
        <v>29.392422615380696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1078.0248763292514</v>
      </c>
      <c r="H189" s="67">
        <f t="shared" si="110"/>
        <v>536.56269605512057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306.99999999999994</v>
      </c>
      <c r="O189" s="13">
        <f>N189*VLOOKUP('Données projet'!$B$9,Paramètres!$A$1:$I$89,3,0)*VLOOKUP('Données projet'!$B$9,Paramètres!$A$1:$I$89,5,0)</f>
        <v>277.77359999999993</v>
      </c>
      <c r="P189" s="13">
        <f t="shared" si="141"/>
        <v>66.496288176842356</v>
      </c>
      <c r="Q189" s="20">
        <f t="shared" si="162"/>
        <v>599.60338857466706</v>
      </c>
      <c r="R189" s="59">
        <f t="shared" si="109"/>
        <v>892.93672190800044</v>
      </c>
      <c r="S189" s="59">
        <f ca="1">AVERAGE(OFFSET($R$3,0,0,'Données projet'!$E$9+1,1))-AVERAGE(OFFSET($H$3,0,0,'Données projet'!$E$9+1,1))</f>
        <v>330.30341204367602</v>
      </c>
      <c r="T189" s="59">
        <f t="shared" si="142"/>
        <v>200.36653694091007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18.806892381086318</v>
      </c>
      <c r="AA189" s="21">
        <f>EXP(-LN(2)/25)*AA188+(1-EXP(-LN(2)/25))/(LN(2)/25)*Calculateur!V189*Calculateur!X189*VLOOKUP('Données projet'!$B$9,Paramètres!$A$1:$I$89,3,0)*0.475*44/12</f>
        <v>0.46326260689792598</v>
      </c>
      <c r="AB189" s="21">
        <f>EXP(-LN(2)/2)*AB188+(1-EXP(-LN(2)/2))/(LN(2)/2)*V189*Y189*VLOOKUP('Données projet'!$B$9,Paramètres!$A$1:$I$89,3,0)*0.475*44/12</f>
        <v>3.1006420502847081E-11</v>
      </c>
      <c r="AC189" s="22">
        <f t="shared" si="163"/>
        <v>19.27015498801525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971.99999999999977</v>
      </c>
      <c r="AJ189" s="13">
        <f>AI189*VLOOKUP('Données projet'!$B$10,Paramètres!$A$1:$I$89,3,0)*VLOOKUP('Données projet'!$B$10,Paramètres!$A$1:$I$89,5,0)</f>
        <v>581.25599999999986</v>
      </c>
      <c r="AK189" s="13">
        <f t="shared" si="164"/>
        <v>127.68713506014205</v>
      </c>
      <c r="AL189" s="20">
        <f t="shared" si="165"/>
        <v>1234.7426268964139</v>
      </c>
      <c r="AM189" s="59">
        <f t="shared" si="113"/>
        <v>1528.0759602297471</v>
      </c>
      <c r="AN189" s="59">
        <f ca="1">AVERAGE(OFFSET($AM$3,0,0,'Données projet'!$E$10+1,1))-AVERAGE(OFFSET($H$3,0,0,'Données projet'!$E$10+1,1))</f>
        <v>465.77577582457678</v>
      </c>
      <c r="AO189" s="59">
        <f t="shared" si="144"/>
        <v>301.15495784503042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5.2657003635543163</v>
      </c>
      <c r="AV189" s="21">
        <f>EXP(-LN(2)/25)*AV188+(1-EXP(-LN(2)/25))/(LN(2)/25)*Calculateur!AQ189*Calculateur!AS189*VLOOKUP('Données projet'!$B$10,Paramètres!$A$1:$I$89,3,0)*0.475*44/12</f>
        <v>1.2005848350586252</v>
      </c>
      <c r="AW189" s="21">
        <f>EXP(-LN(2)/2)*AW188+(1-EXP(-LN(2)/2))/(LN(2)/2)*AQ189*AT189*VLOOKUP('Données projet'!$B$10,Paramètres!$A$1:$I$89,3,0)*0.475*44/12</f>
        <v>5.64132176068297E-18</v>
      </c>
      <c r="AX189" s="21">
        <f t="shared" si="166"/>
        <v>6.4662851986129413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273.00000000000023</v>
      </c>
      <c r="BE189" s="13">
        <f>BD189*VLOOKUP('Données projet'!$B$11,Paramètres!$A$1:$I$89,3,0)*VLOOKUP('Données projet'!$B$11,Paramètres!$A$1:$I$89,5,0)</f>
        <v>212.9400000000002</v>
      </c>
      <c r="BF189" s="13">
        <f t="shared" si="167"/>
        <v>52.577528895212915</v>
      </c>
      <c r="BG189" s="20">
        <f t="shared" si="168"/>
        <v>462.44302949249618</v>
      </c>
      <c r="BH189" s="59">
        <f t="shared" si="116"/>
        <v>755.77636282582944</v>
      </c>
      <c r="BI189" s="59">
        <f ca="1">AVERAGE(OFFSET($BH$3,0,0,'Données projet'!$E$11+1,1))-AVERAGE(OFFSET($H$3,0,0,'Données projet'!$E$11+1,1))</f>
        <v>219.5868031007679</v>
      </c>
      <c r="BJ189" s="59">
        <f t="shared" si="146"/>
        <v>263.3830219837742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2.6918470721222914</v>
      </c>
      <c r="BQ189" s="21">
        <f>EXP(-LN(2)/25)*BQ188+(1-EXP(-LN(2)/25))/(LN(2)/25)*Calculateur!BL189*Calculateur!BN189*VLOOKUP('Données projet'!$B$11,Paramètres!$A$1:$I$89,3,0)*0.475*44/12</f>
        <v>0.18032186805698142</v>
      </c>
      <c r="BR189" s="21">
        <f>EXP(-LN(2)/2)*BR188+(1-EXP(-LN(2)/2))/(LN(2)/2)*BL189*BO189*VLOOKUP('Données projet'!$B$11,Paramètres!$A$1:$I$89,3,0)*0.475*44/12</f>
        <v>5.3281205049622712E-19</v>
      </c>
      <c r="BS189" s="22">
        <f t="shared" si="169"/>
        <v>2.8721689401792729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243.99999999999989</v>
      </c>
      <c r="BZ189" s="13">
        <f>BY189*VLOOKUP('Données projet'!$B$12,Paramètres!$A$1:$I$89,3,0)*VLOOKUP('Données projet'!$B$12,Paramètres!$A$1:$I$89,5,0)</f>
        <v>262.64159999999987</v>
      </c>
      <c r="CA189" s="13">
        <f t="shared" si="170"/>
        <v>63.285128621471941</v>
      </c>
      <c r="CB189" s="20">
        <f t="shared" si="171"/>
        <v>567.65571901573003</v>
      </c>
      <c r="CC189" s="59">
        <f t="shared" si="119"/>
        <v>860.98905234906329</v>
      </c>
      <c r="CD189" s="59">
        <f ca="1">AVERAGE(OFFSET($CC$3,0,0,'Données projet'!$E$12+1,1))-AVERAGE(OFFSET($H$3,0,0,'Données projet'!$E$12+1,1))</f>
        <v>244.7364260963538</v>
      </c>
      <c r="CE189" s="59">
        <f t="shared" si="148"/>
        <v>270.32853612539299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2.9496899551324742</v>
      </c>
      <c r="CL189" s="21">
        <f>EXP(-LN(2)/25)*CL188+(1-EXP(-LN(2)/25))/(LN(2)/25)*Calculateur!CG189*Calculateur!CI189*VLOOKUP('Données projet'!$B$12,Paramètres!$A$1:$I$89,3,0)*0.475*44/12</f>
        <v>0.19857194991146596</v>
      </c>
      <c r="CM189" s="21">
        <f>EXP(-LN(2)/2)*CM188+(1-EXP(-LN(2)/2))/(LN(2)/2)*CG189*CJ189*VLOOKUP('Données projet'!$B$12,Paramètres!$A$1:$I$89,3,0)*0.475*44/12</f>
        <v>5.5245792335322341E-19</v>
      </c>
      <c r="CN189" s="22">
        <f t="shared" si="172"/>
        <v>3.14826190504394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243.99999999999989</v>
      </c>
      <c r="CU189" s="17">
        <f>CT189*VLOOKUP('Données projet'!$B$13,Paramètres!$A$1:$I$89,3,0)*VLOOKUP('Données projet'!$B$13,Paramètres!$A$1:$I$89,5,0)</f>
        <v>235.99679999999987</v>
      </c>
      <c r="CV189" s="13">
        <f t="shared" si="173"/>
        <v>57.577381127598322</v>
      </c>
      <c r="CW189" s="20">
        <f t="shared" si="174"/>
        <v>511.30836546390015</v>
      </c>
      <c r="CX189" s="59">
        <f t="shared" si="122"/>
        <v>804.6416987972334</v>
      </c>
      <c r="CY189" s="59">
        <f ca="1">AVERAGE(OFFSET($CX$3,0,0,'Données projet'!$E$13+1,1))-AVERAGE(OFFSET($H$3,0,0,'Données projet'!$E$13+1,1))</f>
        <v>216.39536568500222</v>
      </c>
      <c r="CZ189" s="59">
        <f t="shared" si="150"/>
        <v>239.44686980897467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2.6504460466407758</v>
      </c>
      <c r="DG189" s="21">
        <f>EXP(-LN(2)/25)*DG188+(1-EXP(-LN(2)/25))/(LN(2)/25)*Calculateur!DB189*Calculateur!DD189*VLOOKUP('Données projet'!$B$13,Paramètres!$A$1:$I$89,3,0)*0.475*44/12</f>
        <v>0.17842696948566469</v>
      </c>
      <c r="DH189" s="21">
        <f>EXP(-LN(2)/2)*DH188+(1-EXP(-LN(2)/2))/(LN(2)/2)*DB189*DE189*VLOOKUP('Données projet'!$B$13,Paramètres!$A$1:$I$89,3,0)*0.475*44/12</f>
        <v>4.9641146736086693E-19</v>
      </c>
      <c r="DI189" s="22">
        <f t="shared" si="175"/>
        <v>2.8288730161264404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110.8535999999996</v>
      </c>
      <c r="D190" s="11">
        <f t="shared" si="140"/>
        <v>29.532008821728336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1083.6783838870226</v>
      </c>
      <c r="H190" s="67">
        <f t="shared" si="110"/>
        <v>537.83826869784275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306.99999999999994</v>
      </c>
      <c r="O190" s="13">
        <f>N190*VLOOKUP('Données projet'!$B$9,Paramètres!$A$1:$I$89,3,0)*VLOOKUP('Données projet'!$B$9,Paramètres!$A$1:$I$89,5,0)</f>
        <v>277.77359999999993</v>
      </c>
      <c r="P190" s="13">
        <f t="shared" si="141"/>
        <v>66.496288176842356</v>
      </c>
      <c r="Q190" s="20">
        <f t="shared" si="162"/>
        <v>599.60338857466706</v>
      </c>
      <c r="R190" s="59">
        <f t="shared" si="109"/>
        <v>892.93672190800044</v>
      </c>
      <c r="S190" s="59">
        <f ca="1">AVERAGE(OFFSET($R$3,0,0,'Données projet'!$E$9+1,1))-AVERAGE(OFFSET($H$3,0,0,'Données projet'!$E$9+1,1))</f>
        <v>330.30341204367602</v>
      </c>
      <c r="T190" s="59">
        <f t="shared" si="142"/>
        <v>200.36653694091007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18.438100692564895</v>
      </c>
      <c r="AA190" s="21">
        <f>EXP(-LN(2)/25)*AA189+(1-EXP(-LN(2)/25))/(LN(2)/25)*Calculateur!V190*Calculateur!X190*VLOOKUP('Données projet'!$B$9,Paramètres!$A$1:$I$89,3,0)*0.475*44/12</f>
        <v>0.4505946665503805</v>
      </c>
      <c r="AB190" s="21">
        <f>EXP(-LN(2)/2)*AB189+(1-EXP(-LN(2)/2))/(LN(2)/2)*V190*Y190*VLOOKUP('Données projet'!$B$9,Paramètres!$A$1:$I$89,3,0)*0.475*44/12</f>
        <v>2.1924850197884772E-11</v>
      </c>
      <c r="AC190" s="22">
        <f t="shared" si="163"/>
        <v>18.888695359137198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971.99999999999977</v>
      </c>
      <c r="AJ190" s="13">
        <f>AI190*VLOOKUP('Données projet'!$B$10,Paramètres!$A$1:$I$89,3,0)*VLOOKUP('Données projet'!$B$10,Paramètres!$A$1:$I$89,5,0)</f>
        <v>581.25599999999986</v>
      </c>
      <c r="AK190" s="13">
        <f t="shared" si="164"/>
        <v>127.68713506014205</v>
      </c>
      <c r="AL190" s="20">
        <f t="shared" si="165"/>
        <v>1234.7426268964139</v>
      </c>
      <c r="AM190" s="59">
        <f t="shared" si="113"/>
        <v>1528.0759602297471</v>
      </c>
      <c r="AN190" s="59">
        <f ca="1">AVERAGE(OFFSET($AM$3,0,0,'Données projet'!$E$10+1,1))-AVERAGE(OFFSET($H$3,0,0,'Données projet'!$E$10+1,1))</f>
        <v>465.77577582457678</v>
      </c>
      <c r="AO190" s="59">
        <f t="shared" si="144"/>
        <v>301.15495784503042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5.162443191185103</v>
      </c>
      <c r="AV190" s="21">
        <f>EXP(-LN(2)/25)*AV189+(1-EXP(-LN(2)/25))/(LN(2)/25)*Calculateur!AQ190*Calculateur!AS190*VLOOKUP('Données projet'!$B$10,Paramètres!$A$1:$I$89,3,0)*0.475*44/12</f>
        <v>1.1677547796079346</v>
      </c>
      <c r="AW190" s="21">
        <f>EXP(-LN(2)/2)*AW189+(1-EXP(-LN(2)/2))/(LN(2)/2)*AQ190*AT190*VLOOKUP('Données projet'!$B$10,Paramètres!$A$1:$I$89,3,0)*0.475*44/12</f>
        <v>3.9890168718341619E-18</v>
      </c>
      <c r="AX190" s="21">
        <f t="shared" si="166"/>
        <v>6.3301979707930371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273.00000000000023</v>
      </c>
      <c r="BE190" s="13">
        <f>BD190*VLOOKUP('Données projet'!$B$11,Paramètres!$A$1:$I$89,3,0)*VLOOKUP('Données projet'!$B$11,Paramètres!$A$1:$I$89,5,0)</f>
        <v>212.9400000000002</v>
      </c>
      <c r="BF190" s="13">
        <f t="shared" si="167"/>
        <v>52.577528895212915</v>
      </c>
      <c r="BG190" s="20">
        <f t="shared" si="168"/>
        <v>462.44302949249618</v>
      </c>
      <c r="BH190" s="59">
        <f t="shared" si="116"/>
        <v>755.77636282582944</v>
      </c>
      <c r="BI190" s="59">
        <f ca="1">AVERAGE(OFFSET($BH$3,0,0,'Données projet'!$E$11+1,1))-AVERAGE(OFFSET($H$3,0,0,'Données projet'!$E$11+1,1))</f>
        <v>219.5868031007679</v>
      </c>
      <c r="BJ190" s="59">
        <f t="shared" si="146"/>
        <v>263.3830219837742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2.6390615929025665</v>
      </c>
      <c r="BQ190" s="21">
        <f>EXP(-LN(2)/25)*BQ189+(1-EXP(-LN(2)/25))/(LN(2)/25)*Calculateur!BL190*Calculateur!BN190*VLOOKUP('Données projet'!$B$11,Paramètres!$A$1:$I$89,3,0)*0.475*44/12</f>
        <v>0.17539095709224836</v>
      </c>
      <c r="BR190" s="21">
        <f>EXP(-LN(2)/2)*BR189+(1-EXP(-LN(2)/2))/(LN(2)/2)*BL190*BO190*VLOOKUP('Données projet'!$B$11,Paramètres!$A$1:$I$89,3,0)*0.475*44/12</f>
        <v>3.7675501400379139E-19</v>
      </c>
      <c r="BS190" s="22">
        <f t="shared" si="169"/>
        <v>2.8144525499948148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243.99999999999989</v>
      </c>
      <c r="BZ190" s="13">
        <f>BY190*VLOOKUP('Données projet'!$B$12,Paramètres!$A$1:$I$89,3,0)*VLOOKUP('Données projet'!$B$12,Paramètres!$A$1:$I$89,5,0)</f>
        <v>262.64159999999987</v>
      </c>
      <c r="CA190" s="13">
        <f t="shared" si="170"/>
        <v>63.285128621471941</v>
      </c>
      <c r="CB190" s="20">
        <f t="shared" si="171"/>
        <v>567.65571901573003</v>
      </c>
      <c r="CC190" s="59">
        <f t="shared" si="119"/>
        <v>860.98905234906329</v>
      </c>
      <c r="CD190" s="59">
        <f ca="1">AVERAGE(OFFSET($CC$3,0,0,'Données projet'!$E$12+1,1))-AVERAGE(OFFSET($H$3,0,0,'Données projet'!$E$12+1,1))</f>
        <v>244.7364260963538</v>
      </c>
      <c r="CE190" s="59">
        <f t="shared" si="148"/>
        <v>270.32853612539299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2.8918483342455494</v>
      </c>
      <c r="CL190" s="21">
        <f>EXP(-LN(2)/25)*CL189+(1-EXP(-LN(2)/25))/(LN(2)/25)*Calculateur!CG190*Calculateur!CI190*VLOOKUP('Données projet'!$B$12,Paramètres!$A$1:$I$89,3,0)*0.475*44/12</f>
        <v>0.19314198949869191</v>
      </c>
      <c r="CM190" s="21">
        <f>EXP(-LN(2)/2)*CM189+(1-EXP(-LN(2)/2))/(LN(2)/2)*CG190*CJ190*VLOOKUP('Données projet'!$B$12,Paramètres!$A$1:$I$89,3,0)*0.475*44/12</f>
        <v>3.9064674392330219E-19</v>
      </c>
      <c r="CN190" s="22">
        <f t="shared" si="172"/>
        <v>3.0849903237442415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243.99999999999989</v>
      </c>
      <c r="CU190" s="17">
        <f>CT190*VLOOKUP('Données projet'!$B$13,Paramètres!$A$1:$I$89,3,0)*VLOOKUP('Données projet'!$B$13,Paramètres!$A$1:$I$89,5,0)</f>
        <v>235.99679999999987</v>
      </c>
      <c r="CV190" s="13">
        <f t="shared" si="173"/>
        <v>57.577381127598322</v>
      </c>
      <c r="CW190" s="20">
        <f t="shared" si="174"/>
        <v>511.30836546390015</v>
      </c>
      <c r="CX190" s="59">
        <f t="shared" si="122"/>
        <v>804.6416987972334</v>
      </c>
      <c r="CY190" s="59">
        <f ca="1">AVERAGE(OFFSET($CX$3,0,0,'Données projet'!$E$13+1,1))-AVERAGE(OFFSET($H$3,0,0,'Données projet'!$E$13+1,1))</f>
        <v>216.39536568500222</v>
      </c>
      <c r="CZ190" s="59">
        <f t="shared" si="150"/>
        <v>239.44686980897467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2.5984724162786113</v>
      </c>
      <c r="DG190" s="21">
        <f>EXP(-LN(2)/25)*DG189+(1-EXP(-LN(2)/25))/(LN(2)/25)*Calculateur!DB190*Calculateur!DD190*VLOOKUP('Données projet'!$B$13,Paramètres!$A$1:$I$89,3,0)*0.475*44/12</f>
        <v>0.17354787462201265</v>
      </c>
      <c r="DH190" s="21">
        <f>EXP(-LN(2)/2)*DH189+(1-EXP(-LN(2)/2))/(LN(2)/2)*DB190*DE190*VLOOKUP('Données projet'!$B$13,Paramètres!$A$1:$I$89,3,0)*0.475*44/12</f>
        <v>3.5101591482963352E-19</v>
      </c>
      <c r="DI190" s="22">
        <f t="shared" si="175"/>
        <v>2.772020290900624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111.4463999999996</v>
      </c>
      <c r="D191" s="11">
        <f t="shared" si="140"/>
        <v>29.671508167859105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1089.3312209448743</v>
      </c>
      <c r="H191" s="67">
        <f t="shared" si="110"/>
        <v>539.11369005902054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306.99999999999994</v>
      </c>
      <c r="O191" s="13">
        <f>N191*VLOOKUP('Données projet'!$B$9,Paramètres!$A$1:$I$89,3,0)*VLOOKUP('Données projet'!$B$9,Paramètres!$A$1:$I$89,5,0)</f>
        <v>277.77359999999993</v>
      </c>
      <c r="P191" s="13">
        <f t="shared" si="141"/>
        <v>66.496288176842356</v>
      </c>
      <c r="Q191" s="20">
        <f t="shared" si="162"/>
        <v>599.60338857466706</v>
      </c>
      <c r="R191" s="59">
        <f t="shared" si="109"/>
        <v>892.93672190800044</v>
      </c>
      <c r="S191" s="59">
        <f ca="1">AVERAGE(OFFSET($R$3,0,0,'Données projet'!$E$9+1,1))-AVERAGE(OFFSET($H$3,0,0,'Données projet'!$E$9+1,1))</f>
        <v>330.30341204367602</v>
      </c>
      <c r="T191" s="59">
        <f t="shared" si="142"/>
        <v>200.36653694091007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18.076540784114655</v>
      </c>
      <c r="AA191" s="21">
        <f>EXP(-LN(2)/25)*AA190+(1-EXP(-LN(2)/25))/(LN(2)/25)*Calculateur!V191*Calculateur!X191*VLOOKUP('Données projet'!$B$9,Paramètres!$A$1:$I$89,3,0)*0.475*44/12</f>
        <v>0.43827313169781668</v>
      </c>
      <c r="AB191" s="21">
        <f>EXP(-LN(2)/2)*AB190+(1-EXP(-LN(2)/2))/(LN(2)/2)*V191*Y191*VLOOKUP('Données projet'!$B$9,Paramètres!$A$1:$I$89,3,0)*0.475*44/12</f>
        <v>1.5503210251423541E-11</v>
      </c>
      <c r="AC191" s="22">
        <f t="shared" si="163"/>
        <v>18.514813915827975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971.99999999999977</v>
      </c>
      <c r="AJ191" s="13">
        <f>AI191*VLOOKUP('Données projet'!$B$10,Paramètres!$A$1:$I$89,3,0)*VLOOKUP('Données projet'!$B$10,Paramètres!$A$1:$I$89,5,0)</f>
        <v>581.25599999999986</v>
      </c>
      <c r="AK191" s="13">
        <f t="shared" si="164"/>
        <v>127.68713506014205</v>
      </c>
      <c r="AL191" s="20">
        <f t="shared" si="165"/>
        <v>1234.7426268964139</v>
      </c>
      <c r="AM191" s="59">
        <f t="shared" si="113"/>
        <v>1528.0759602297471</v>
      </c>
      <c r="AN191" s="59">
        <f ca="1">AVERAGE(OFFSET($AM$3,0,0,'Données projet'!$E$10+1,1))-AVERAGE(OFFSET($H$3,0,0,'Données projet'!$E$10+1,1))</f>
        <v>465.77577582457678</v>
      </c>
      <c r="AO191" s="59">
        <f t="shared" si="144"/>
        <v>301.15495784503042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5.0612108289853932</v>
      </c>
      <c r="AV191" s="21">
        <f>EXP(-LN(2)/25)*AV190+(1-EXP(-LN(2)/25))/(LN(2)/25)*Calculateur!AQ191*Calculateur!AS191*VLOOKUP('Données projet'!$B$10,Paramètres!$A$1:$I$89,3,0)*0.475*44/12</f>
        <v>1.1358224637500007</v>
      </c>
      <c r="AW191" s="21">
        <f>EXP(-LN(2)/2)*AW190+(1-EXP(-LN(2)/2))/(LN(2)/2)*AQ191*AT191*VLOOKUP('Données projet'!$B$10,Paramètres!$A$1:$I$89,3,0)*0.475*44/12</f>
        <v>2.820660880341485E-18</v>
      </c>
      <c r="AX191" s="21">
        <f t="shared" si="166"/>
        <v>6.1970332927353944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273.00000000000023</v>
      </c>
      <c r="BE191" s="13">
        <f>BD191*VLOOKUP('Données projet'!$B$11,Paramètres!$A$1:$I$89,3,0)*VLOOKUP('Données projet'!$B$11,Paramètres!$A$1:$I$89,5,0)</f>
        <v>212.9400000000002</v>
      </c>
      <c r="BF191" s="13">
        <f t="shared" si="167"/>
        <v>52.577528895212915</v>
      </c>
      <c r="BG191" s="20">
        <f t="shared" si="168"/>
        <v>462.44302949249618</v>
      </c>
      <c r="BH191" s="59">
        <f t="shared" si="116"/>
        <v>755.77636282582944</v>
      </c>
      <c r="BI191" s="59">
        <f ca="1">AVERAGE(OFFSET($BH$3,0,0,'Données projet'!$E$11+1,1))-AVERAGE(OFFSET($H$3,0,0,'Données projet'!$E$11+1,1))</f>
        <v>219.5868031007679</v>
      </c>
      <c r="BJ191" s="59">
        <f t="shared" si="146"/>
        <v>263.3830219837742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2.5873112047343771</v>
      </c>
      <c r="BQ191" s="21">
        <f>EXP(-LN(2)/25)*BQ190+(1-EXP(-LN(2)/25))/(LN(2)/25)*Calculateur!BL191*Calculateur!BN191*VLOOKUP('Données projet'!$B$11,Paramètres!$A$1:$I$89,3,0)*0.475*44/12</f>
        <v>0.17059488214715127</v>
      </c>
      <c r="BR191" s="21">
        <f>EXP(-LN(2)/2)*BR190+(1-EXP(-LN(2)/2))/(LN(2)/2)*BL191*BO191*VLOOKUP('Données projet'!$B$11,Paramètres!$A$1:$I$89,3,0)*0.475*44/12</f>
        <v>2.6640602524811356E-19</v>
      </c>
      <c r="BS191" s="22">
        <f t="shared" si="169"/>
        <v>2.7579060868815284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243.99999999999989</v>
      </c>
      <c r="BZ191" s="13">
        <f>BY191*VLOOKUP('Données projet'!$B$12,Paramètres!$A$1:$I$89,3,0)*VLOOKUP('Données projet'!$B$12,Paramètres!$A$1:$I$89,5,0)</f>
        <v>262.64159999999987</v>
      </c>
      <c r="CA191" s="13">
        <f t="shared" si="170"/>
        <v>63.285128621471941</v>
      </c>
      <c r="CB191" s="20">
        <f t="shared" si="171"/>
        <v>567.65571901573003</v>
      </c>
      <c r="CC191" s="59">
        <f t="shared" si="119"/>
        <v>860.98905234906329</v>
      </c>
      <c r="CD191" s="59">
        <f ca="1">AVERAGE(OFFSET($CC$3,0,0,'Données projet'!$E$12+1,1))-AVERAGE(OFFSET($H$3,0,0,'Données projet'!$E$12+1,1))</f>
        <v>244.7364260963538</v>
      </c>
      <c r="CE191" s="59">
        <f t="shared" si="148"/>
        <v>270.32853612539299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2.8351409522643118</v>
      </c>
      <c r="CL191" s="21">
        <f>EXP(-LN(2)/25)*CL190+(1-EXP(-LN(2)/25))/(LN(2)/25)*Calculateur!CG191*Calculateur!CI191*VLOOKUP('Données projet'!$B$12,Paramètres!$A$1:$I$89,3,0)*0.475*44/12</f>
        <v>0.18786051163895437</v>
      </c>
      <c r="CM191" s="21">
        <f>EXP(-LN(2)/2)*CM190+(1-EXP(-LN(2)/2))/(LN(2)/2)*CG191*CJ191*VLOOKUP('Données projet'!$B$12,Paramètres!$A$1:$I$89,3,0)*0.475*44/12</f>
        <v>2.7622896167661171E-19</v>
      </c>
      <c r="CN191" s="22">
        <f t="shared" si="172"/>
        <v>3.0230014639032663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243.99999999999989</v>
      </c>
      <c r="CU191" s="17">
        <f>CT191*VLOOKUP('Données projet'!$B$13,Paramètres!$A$1:$I$89,3,0)*VLOOKUP('Données projet'!$B$13,Paramètres!$A$1:$I$89,5,0)</f>
        <v>235.99679999999987</v>
      </c>
      <c r="CV191" s="13">
        <f t="shared" si="173"/>
        <v>57.577381127598322</v>
      </c>
      <c r="CW191" s="20">
        <f t="shared" si="174"/>
        <v>511.30836546390015</v>
      </c>
      <c r="CX191" s="59">
        <f t="shared" si="122"/>
        <v>804.6416987972334</v>
      </c>
      <c r="CY191" s="59">
        <f ca="1">AVERAGE(OFFSET($CX$3,0,0,'Données projet'!$E$13+1,1))-AVERAGE(OFFSET($H$3,0,0,'Données projet'!$E$13+1,1))</f>
        <v>216.39536568500222</v>
      </c>
      <c r="CZ191" s="59">
        <f t="shared" si="150"/>
        <v>239.44686980897467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2.5475179571070647</v>
      </c>
      <c r="DG191" s="21">
        <f>EXP(-LN(2)/25)*DG190+(1-EXP(-LN(2)/25))/(LN(2)/25)*Calculateur!DB191*Calculateur!DD191*VLOOKUP('Données projet'!$B$13,Paramètres!$A$1:$I$89,3,0)*0.475*44/12</f>
        <v>0.16880219886398765</v>
      </c>
      <c r="DH191" s="21">
        <f>EXP(-LN(2)/2)*DH190+(1-EXP(-LN(2)/2))/(LN(2)/2)*DB191*DE191*VLOOKUP('Données projet'!$B$13,Paramètres!$A$1:$I$89,3,0)*0.475*44/12</f>
        <v>2.4820573368043347E-19</v>
      </c>
      <c r="DI191" s="22">
        <f t="shared" si="175"/>
        <v>2.7163201559710526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112.0391999999996</v>
      </c>
      <c r="D192" s="11">
        <f t="shared" si="140"/>
        <v>29.810921169420094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1094.9833914832398</v>
      </c>
      <c r="H192" s="67">
        <f t="shared" si="110"/>
        <v>540.38896103673915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306.99999999999994</v>
      </c>
      <c r="O192" s="13">
        <f>N192*VLOOKUP('Données projet'!$B$9,Paramètres!$A$1:$I$89,3,0)*VLOOKUP('Données projet'!$B$9,Paramètres!$A$1:$I$89,5,0)</f>
        <v>277.77359999999993</v>
      </c>
      <c r="P192" s="13">
        <f t="shared" si="141"/>
        <v>66.496288176842356</v>
      </c>
      <c r="Q192" s="20">
        <f t="shared" si="162"/>
        <v>599.60338857466706</v>
      </c>
      <c r="R192" s="59">
        <f t="shared" si="109"/>
        <v>892.93672190800044</v>
      </c>
      <c r="S192" s="59">
        <f ca="1">AVERAGE(OFFSET($R$3,0,0,'Données projet'!$E$9+1,1))-AVERAGE(OFFSET($H$3,0,0,'Données projet'!$E$9+1,1))</f>
        <v>330.30341204367602</v>
      </c>
      <c r="T192" s="59">
        <f t="shared" si="142"/>
        <v>200.36653694091007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17.722070844939356</v>
      </c>
      <c r="AA192" s="21">
        <f>EXP(-LN(2)/25)*AA191+(1-EXP(-LN(2)/25))/(LN(2)/25)*Calculateur!V192*Calculateur!X192*VLOOKUP('Données projet'!$B$9,Paramètres!$A$1:$I$89,3,0)*0.475*44/12</f>
        <v>0.42628852986375759</v>
      </c>
      <c r="AB192" s="21">
        <f>EXP(-LN(2)/2)*AB191+(1-EXP(-LN(2)/2))/(LN(2)/2)*V192*Y192*VLOOKUP('Données projet'!$B$9,Paramètres!$A$1:$I$89,3,0)*0.475*44/12</f>
        <v>1.0962425098942386E-11</v>
      </c>
      <c r="AC192" s="22">
        <f t="shared" si="163"/>
        <v>18.148359374814078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971.99999999999977</v>
      </c>
      <c r="AJ192" s="13">
        <f>AI192*VLOOKUP('Données projet'!$B$10,Paramètres!$A$1:$I$89,3,0)*VLOOKUP('Données projet'!$B$10,Paramètres!$A$1:$I$89,5,0)</f>
        <v>581.25599999999986</v>
      </c>
      <c r="AK192" s="13">
        <f t="shared" si="164"/>
        <v>127.68713506014205</v>
      </c>
      <c r="AL192" s="20">
        <f t="shared" si="165"/>
        <v>1234.7426268964139</v>
      </c>
      <c r="AM192" s="59">
        <f t="shared" si="113"/>
        <v>1528.0759602297471</v>
      </c>
      <c r="AN192" s="59">
        <f ca="1">AVERAGE(OFFSET($AM$3,0,0,'Données projet'!$E$10+1,1))-AVERAGE(OFFSET($H$3,0,0,'Données projet'!$E$10+1,1))</f>
        <v>465.77577582457678</v>
      </c>
      <c r="AO192" s="59">
        <f t="shared" si="144"/>
        <v>301.15495784503042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4.9619635716627757</v>
      </c>
      <c r="AV192" s="21">
        <f>EXP(-LN(2)/25)*AV191+(1-EXP(-LN(2)/25))/(LN(2)/25)*Calculateur!AQ192*Calculateur!AS192*VLOOKUP('Données projet'!$B$10,Paramètres!$A$1:$I$89,3,0)*0.475*44/12</f>
        <v>1.1047633387484495</v>
      </c>
      <c r="AW192" s="21">
        <f>EXP(-LN(2)/2)*AW191+(1-EXP(-LN(2)/2))/(LN(2)/2)*AQ192*AT192*VLOOKUP('Données projet'!$B$10,Paramètres!$A$1:$I$89,3,0)*0.475*44/12</f>
        <v>1.994508435917081E-18</v>
      </c>
      <c r="AX192" s="21">
        <f t="shared" si="166"/>
        <v>6.0667269104112247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273.00000000000023</v>
      </c>
      <c r="BE192" s="13">
        <f>BD192*VLOOKUP('Données projet'!$B$11,Paramètres!$A$1:$I$89,3,0)*VLOOKUP('Données projet'!$B$11,Paramètres!$A$1:$I$89,5,0)</f>
        <v>212.9400000000002</v>
      </c>
      <c r="BF192" s="13">
        <f t="shared" si="167"/>
        <v>52.577528895212915</v>
      </c>
      <c r="BG192" s="20">
        <f t="shared" si="168"/>
        <v>462.44302949249618</v>
      </c>
      <c r="BH192" s="59">
        <f t="shared" si="116"/>
        <v>755.77636282582944</v>
      </c>
      <c r="BI192" s="59">
        <f ca="1">AVERAGE(OFFSET($BH$3,0,0,'Données projet'!$E$11+1,1))-AVERAGE(OFFSET($H$3,0,0,'Données projet'!$E$11+1,1))</f>
        <v>219.5868031007679</v>
      </c>
      <c r="BJ192" s="59">
        <f t="shared" si="146"/>
        <v>263.3830219837742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2.5365756101135459</v>
      </c>
      <c r="BQ192" s="21">
        <f>EXP(-LN(2)/25)*BQ191+(1-EXP(-LN(2)/25))/(LN(2)/25)*Calculateur!BL192*Calculateur!BN192*VLOOKUP('Données projet'!$B$11,Paramètres!$A$1:$I$89,3,0)*0.475*44/12</f>
        <v>0.16592995612364247</v>
      </c>
      <c r="BR192" s="21">
        <f>EXP(-LN(2)/2)*BR191+(1-EXP(-LN(2)/2))/(LN(2)/2)*BL192*BO192*VLOOKUP('Données projet'!$B$11,Paramètres!$A$1:$I$89,3,0)*0.475*44/12</f>
        <v>1.8837750700189569E-19</v>
      </c>
      <c r="BS192" s="22">
        <f t="shared" si="169"/>
        <v>2.7025055662371882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243.99999999999989</v>
      </c>
      <c r="BZ192" s="13">
        <f>BY192*VLOOKUP('Données projet'!$B$12,Paramètres!$A$1:$I$89,3,0)*VLOOKUP('Données projet'!$B$12,Paramètres!$A$1:$I$89,5,0)</f>
        <v>262.64159999999987</v>
      </c>
      <c r="CA192" s="13">
        <f t="shared" si="170"/>
        <v>63.285128621471941</v>
      </c>
      <c r="CB192" s="20">
        <f t="shared" si="171"/>
        <v>567.65571901573003</v>
      </c>
      <c r="CC192" s="59">
        <f t="shared" si="119"/>
        <v>860.98905234906329</v>
      </c>
      <c r="CD192" s="59">
        <f ca="1">AVERAGE(OFFSET($CC$3,0,0,'Données projet'!$E$12+1,1))-AVERAGE(OFFSET($H$3,0,0,'Données projet'!$E$12+1,1))</f>
        <v>244.7364260963538</v>
      </c>
      <c r="CE192" s="59">
        <f t="shared" si="148"/>
        <v>270.32853612539299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2.7795455674556386</v>
      </c>
      <c r="CL192" s="21">
        <f>EXP(-LN(2)/25)*CL191+(1-EXP(-LN(2)/25))/(LN(2)/25)*Calculateur!CG192*Calculateur!CI192*VLOOKUP('Données projet'!$B$12,Paramètres!$A$1:$I$89,3,0)*0.475*44/12</f>
        <v>0.1827234560690322</v>
      </c>
      <c r="CM192" s="21">
        <f>EXP(-LN(2)/2)*CM191+(1-EXP(-LN(2)/2))/(LN(2)/2)*CG192*CJ192*VLOOKUP('Données projet'!$B$12,Paramètres!$A$1:$I$89,3,0)*0.475*44/12</f>
        <v>1.953233719616511E-19</v>
      </c>
      <c r="CN192" s="22">
        <f t="shared" si="172"/>
        <v>2.9622690235246707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243.99999999999989</v>
      </c>
      <c r="CU192" s="17">
        <f>CT192*VLOOKUP('Données projet'!$B$13,Paramètres!$A$1:$I$89,3,0)*VLOOKUP('Données projet'!$B$13,Paramètres!$A$1:$I$89,5,0)</f>
        <v>235.99679999999987</v>
      </c>
      <c r="CV192" s="13">
        <f t="shared" si="173"/>
        <v>57.577381127598322</v>
      </c>
      <c r="CW192" s="20">
        <f t="shared" si="174"/>
        <v>511.30836546390015</v>
      </c>
      <c r="CX192" s="59">
        <f t="shared" si="122"/>
        <v>804.6416987972334</v>
      </c>
      <c r="CY192" s="59">
        <f ca="1">AVERAGE(OFFSET($CX$3,0,0,'Données projet'!$E$13+1,1))-AVERAGE(OFFSET($H$3,0,0,'Données projet'!$E$13+1,1))</f>
        <v>216.39536568500222</v>
      </c>
      <c r="CZ192" s="59">
        <f t="shared" si="150"/>
        <v>239.44686980897467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2.4975626838007208</v>
      </c>
      <c r="DG192" s="21">
        <f>EXP(-LN(2)/25)*DG191+(1-EXP(-LN(2)/25))/(LN(2)/25)*Calculateur!DB192*Calculateur!DD192*VLOOKUP('Données projet'!$B$13,Paramètres!$A$1:$I$89,3,0)*0.475*44/12</f>
        <v>0.16418629385913006</v>
      </c>
      <c r="DH192" s="21">
        <f>EXP(-LN(2)/2)*DH191+(1-EXP(-LN(2)/2))/(LN(2)/2)*DB192*DE192*VLOOKUP('Données projet'!$B$13,Paramètres!$A$1:$I$89,3,0)*0.475*44/12</f>
        <v>1.7550795741481676E-19</v>
      </c>
      <c r="DI192" s="22">
        <f t="shared" si="175"/>
        <v>2.6617489776598506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112.63199999999959</v>
      </c>
      <c r="D193" s="11">
        <f t="shared" si="140"/>
        <v>29.950248336285927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1100.6348994379935</v>
      </c>
      <c r="H193" s="67">
        <f t="shared" si="110"/>
        <v>541.66408251903056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306.99999999999994</v>
      </c>
      <c r="O193" s="13">
        <f>N193*VLOOKUP('Données projet'!$B$9,Paramètres!$A$1:$I$89,3,0)*VLOOKUP('Données projet'!$B$9,Paramètres!$A$1:$I$89,5,0)</f>
        <v>277.77359999999993</v>
      </c>
      <c r="P193" s="13">
        <f t="shared" si="141"/>
        <v>66.496288176842356</v>
      </c>
      <c r="Q193" s="20">
        <f t="shared" si="162"/>
        <v>599.60338857466706</v>
      </c>
      <c r="R193" s="59">
        <f t="shared" si="109"/>
        <v>892.93672190800044</v>
      </c>
      <c r="S193" s="59">
        <f ca="1">AVERAGE(OFFSET($R$3,0,0,'Données projet'!$E$9+1,1))-AVERAGE(OFFSET($H$3,0,0,'Données projet'!$E$9+1,1))</f>
        <v>330.30341204367602</v>
      </c>
      <c r="T193" s="59">
        <f t="shared" si="142"/>
        <v>200.36653694091007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17.374551845065973</v>
      </c>
      <c r="AA193" s="21">
        <f>EXP(-LN(2)/25)*AA192+(1-EXP(-LN(2)/25))/(LN(2)/25)*Calculateur!V193*Calculateur!X193*VLOOKUP('Données projet'!$B$9,Paramètres!$A$1:$I$89,3,0)*0.475*44/12</f>
        <v>0.41463164759709364</v>
      </c>
      <c r="AB193" s="21">
        <f>EXP(-LN(2)/2)*AB192+(1-EXP(-LN(2)/2))/(LN(2)/2)*V193*Y193*VLOOKUP('Données projet'!$B$9,Paramètres!$A$1:$I$89,3,0)*0.475*44/12</f>
        <v>7.7516051257117703E-12</v>
      </c>
      <c r="AC193" s="22">
        <f t="shared" si="163"/>
        <v>17.789183492670819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971.99999999999977</v>
      </c>
      <c r="AJ193" s="13">
        <f>AI193*VLOOKUP('Données projet'!$B$10,Paramètres!$A$1:$I$89,3,0)*VLOOKUP('Données projet'!$B$10,Paramètres!$A$1:$I$89,5,0)</f>
        <v>581.25599999999986</v>
      </c>
      <c r="AK193" s="13">
        <f t="shared" si="164"/>
        <v>127.68713506014205</v>
      </c>
      <c r="AL193" s="20">
        <f t="shared" si="165"/>
        <v>1234.7426268964139</v>
      </c>
      <c r="AM193" s="59">
        <f t="shared" si="113"/>
        <v>1528.0759602297471</v>
      </c>
      <c r="AN193" s="59">
        <f ca="1">AVERAGE(OFFSET($AM$3,0,0,'Données projet'!$E$10+1,1))-AVERAGE(OFFSET($H$3,0,0,'Données projet'!$E$10+1,1))</f>
        <v>465.77577582457678</v>
      </c>
      <c r="AO193" s="59">
        <f t="shared" si="144"/>
        <v>301.15495784503042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4.864662492521405</v>
      </c>
      <c r="AV193" s="21">
        <f>EXP(-LN(2)/25)*AV192+(1-EXP(-LN(2)/25))/(LN(2)/25)*Calculateur!AQ193*Calculateur!AS193*VLOOKUP('Données projet'!$B$10,Paramètres!$A$1:$I$89,3,0)*0.475*44/12</f>
        <v>1.0745535271533941</v>
      </c>
      <c r="AW193" s="21">
        <f>EXP(-LN(2)/2)*AW192+(1-EXP(-LN(2)/2))/(LN(2)/2)*AQ193*AT193*VLOOKUP('Données projet'!$B$10,Paramètres!$A$1:$I$89,3,0)*0.475*44/12</f>
        <v>1.4103304401707425E-18</v>
      </c>
      <c r="AX193" s="21">
        <f t="shared" si="166"/>
        <v>5.9392160196747987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273.00000000000023</v>
      </c>
      <c r="BE193" s="13">
        <f>BD193*VLOOKUP('Données projet'!$B$11,Paramètres!$A$1:$I$89,3,0)*VLOOKUP('Données projet'!$B$11,Paramètres!$A$1:$I$89,5,0)</f>
        <v>212.9400000000002</v>
      </c>
      <c r="BF193" s="13">
        <f t="shared" si="167"/>
        <v>52.577528895212915</v>
      </c>
      <c r="BG193" s="20">
        <f t="shared" si="168"/>
        <v>462.44302949249618</v>
      </c>
      <c r="BH193" s="59">
        <f t="shared" si="116"/>
        <v>755.77636282582944</v>
      </c>
      <c r="BI193" s="59">
        <f ca="1">AVERAGE(OFFSET($BH$3,0,0,'Données projet'!$E$11+1,1))-AVERAGE(OFFSET($H$3,0,0,'Données projet'!$E$11+1,1))</f>
        <v>219.5868031007679</v>
      </c>
      <c r="BJ193" s="59">
        <f t="shared" si="146"/>
        <v>263.3830219837742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2.4868349095575724</v>
      </c>
      <c r="BQ193" s="21">
        <f>EXP(-LN(2)/25)*BQ192+(1-EXP(-LN(2)/25))/(LN(2)/25)*Calculateur!BL193*Calculateur!BN193*VLOOKUP('Données projet'!$B$11,Paramètres!$A$1:$I$89,3,0)*0.475*44/12</f>
        <v>0.16139259274756432</v>
      </c>
      <c r="BR193" s="21">
        <f>EXP(-LN(2)/2)*BR192+(1-EXP(-LN(2)/2))/(LN(2)/2)*BL193*BO193*VLOOKUP('Données projet'!$B$11,Paramètres!$A$1:$I$89,3,0)*0.475*44/12</f>
        <v>1.3320301262405678E-19</v>
      </c>
      <c r="BS193" s="22">
        <f t="shared" si="169"/>
        <v>2.6482275023051365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243.99999999999989</v>
      </c>
      <c r="BZ193" s="13">
        <f>BY193*VLOOKUP('Données projet'!$B$12,Paramètres!$A$1:$I$89,3,0)*VLOOKUP('Données projet'!$B$12,Paramètres!$A$1:$I$89,5,0)</f>
        <v>262.64159999999987</v>
      </c>
      <c r="CA193" s="13">
        <f t="shared" si="170"/>
        <v>63.285128621471941</v>
      </c>
      <c r="CB193" s="20">
        <f t="shared" si="171"/>
        <v>567.65571901573003</v>
      </c>
      <c r="CC193" s="59">
        <f t="shared" si="119"/>
        <v>860.98905234906329</v>
      </c>
      <c r="CD193" s="59">
        <f ca="1">AVERAGE(OFFSET($CC$3,0,0,'Données projet'!$E$12+1,1))-AVERAGE(OFFSET($H$3,0,0,'Données projet'!$E$12+1,1))</f>
        <v>244.7364260963538</v>
      </c>
      <c r="CE193" s="59">
        <f t="shared" si="148"/>
        <v>270.32853612539299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2.7250403742332274</v>
      </c>
      <c r="CL193" s="21">
        <f>EXP(-LN(2)/25)*CL192+(1-EXP(-LN(2)/25))/(LN(2)/25)*Calculateur!CG193*Calculateur!CI193*VLOOKUP('Données projet'!$B$12,Paramètres!$A$1:$I$89,3,0)*0.475*44/12</f>
        <v>0.17772687355381558</v>
      </c>
      <c r="CM193" s="21">
        <f>EXP(-LN(2)/2)*CM192+(1-EXP(-LN(2)/2))/(LN(2)/2)*CG193*CJ193*VLOOKUP('Données projet'!$B$12,Paramètres!$A$1:$I$89,3,0)*0.475*44/12</f>
        <v>1.3811448083830585E-19</v>
      </c>
      <c r="CN193" s="22">
        <f t="shared" si="172"/>
        <v>2.9027672477870432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243.99999999999989</v>
      </c>
      <c r="CU193" s="17">
        <f>CT193*VLOOKUP('Données projet'!$B$13,Paramètres!$A$1:$I$89,3,0)*VLOOKUP('Données projet'!$B$13,Paramètres!$A$1:$I$89,5,0)</f>
        <v>235.99679999999987</v>
      </c>
      <c r="CV193" s="13">
        <f t="shared" si="173"/>
        <v>57.577381127598322</v>
      </c>
      <c r="CW193" s="20">
        <f t="shared" si="174"/>
        <v>511.30836546390015</v>
      </c>
      <c r="CX193" s="59">
        <f t="shared" si="122"/>
        <v>804.6416987972334</v>
      </c>
      <c r="CY193" s="59">
        <f ca="1">AVERAGE(OFFSET($CX$3,0,0,'Données projet'!$E$13+1,1))-AVERAGE(OFFSET($H$3,0,0,'Données projet'!$E$13+1,1))</f>
        <v>216.39536568500222</v>
      </c>
      <c r="CZ193" s="59">
        <f t="shared" si="150"/>
        <v>239.44686980897467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2.4485870029342061</v>
      </c>
      <c r="DG193" s="21">
        <f>EXP(-LN(2)/25)*DG192+(1-EXP(-LN(2)/25))/(LN(2)/25)*Calculateur!DB193*Calculateur!DD193*VLOOKUP('Données projet'!$B$13,Paramètres!$A$1:$I$89,3,0)*0.475*44/12</f>
        <v>0.15969661101937022</v>
      </c>
      <c r="DH193" s="21">
        <f>EXP(-LN(2)/2)*DH192+(1-EXP(-LN(2)/2))/(LN(2)/2)*DB193*DE193*VLOOKUP('Données projet'!$B$13,Paramètres!$A$1:$I$89,3,0)*0.475*44/12</f>
        <v>1.2410286684021673E-19</v>
      </c>
      <c r="DI193" s="22">
        <f t="shared" si="175"/>
        <v>2.6082836139535761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113.22479999999959</v>
      </c>
      <c r="D194" s="11">
        <f t="shared" si="140"/>
        <v>30.089490172653377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1106.2857487011809</v>
      </c>
      <c r="H194" s="67">
        <f t="shared" si="110"/>
        <v>542.93905538403715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306.99999999999994</v>
      </c>
      <c r="O194" s="13">
        <f>N194*VLOOKUP('Données projet'!$B$9,Paramètres!$A$1:$I$89,3,0)*VLOOKUP('Données projet'!$B$9,Paramètres!$A$1:$I$89,5,0)</f>
        <v>277.77359999999993</v>
      </c>
      <c r="P194" s="13">
        <f t="shared" si="141"/>
        <v>66.496288176842356</v>
      </c>
      <c r="Q194" s="20">
        <f t="shared" si="162"/>
        <v>599.60338857466706</v>
      </c>
      <c r="R194" s="59">
        <f t="shared" si="109"/>
        <v>892.93672190800044</v>
      </c>
      <c r="S194" s="59">
        <f ca="1">AVERAGE(OFFSET($R$3,0,0,'Données projet'!$E$9+1,1))-AVERAGE(OFFSET($H$3,0,0,'Données projet'!$E$9+1,1))</f>
        <v>330.30341204367602</v>
      </c>
      <c r="T194" s="59">
        <f t="shared" si="142"/>
        <v>200.36653694091007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17.033847480814444</v>
      </c>
      <c r="AA194" s="21">
        <f>EXP(-LN(2)/25)*AA193+(1-EXP(-LN(2)/25))/(LN(2)/25)*Calculateur!V194*Calculateur!X194*VLOOKUP('Données projet'!$B$9,Paramètres!$A$1:$I$89,3,0)*0.475*44/12</f>
        <v>0.40329352338902041</v>
      </c>
      <c r="AB194" s="21">
        <f>EXP(-LN(2)/2)*AB193+(1-EXP(-LN(2)/2))/(LN(2)/2)*V194*Y194*VLOOKUP('Données projet'!$B$9,Paramètres!$A$1:$I$89,3,0)*0.475*44/12</f>
        <v>5.481212549471193E-12</v>
      </c>
      <c r="AC194" s="22">
        <f t="shared" si="163"/>
        <v>17.437141004208947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971.99999999999977</v>
      </c>
      <c r="AJ194" s="13">
        <f>AI194*VLOOKUP('Données projet'!$B$10,Paramètres!$A$1:$I$89,3,0)*VLOOKUP('Données projet'!$B$10,Paramètres!$A$1:$I$89,5,0)</f>
        <v>581.25599999999986</v>
      </c>
      <c r="AK194" s="13">
        <f t="shared" si="164"/>
        <v>127.68713506014205</v>
      </c>
      <c r="AL194" s="20">
        <f t="shared" si="165"/>
        <v>1234.7426268964139</v>
      </c>
      <c r="AM194" s="59">
        <f t="shared" si="113"/>
        <v>1528.0759602297471</v>
      </c>
      <c r="AN194" s="59">
        <f ca="1">AVERAGE(OFFSET($AM$3,0,0,'Données projet'!$E$10+1,1))-AVERAGE(OFFSET($H$3,0,0,'Données projet'!$E$10+1,1))</f>
        <v>465.77577582457678</v>
      </c>
      <c r="AO194" s="59">
        <f t="shared" si="144"/>
        <v>301.15495784503042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4.7692694281941987</v>
      </c>
      <c r="AV194" s="21">
        <f>EXP(-LN(2)/25)*AV193+(1-EXP(-LN(2)/25))/(LN(2)/25)*Calculateur!AQ194*Calculateur!AS194*VLOOKUP('Données projet'!$B$10,Paramètres!$A$1:$I$89,3,0)*0.475*44/12</f>
        <v>1.0451698044450706</v>
      </c>
      <c r="AW194" s="21">
        <f>EXP(-LN(2)/2)*AW193+(1-EXP(-LN(2)/2))/(LN(2)/2)*AQ194*AT194*VLOOKUP('Données projet'!$B$10,Paramètres!$A$1:$I$89,3,0)*0.475*44/12</f>
        <v>9.9725421795854048E-19</v>
      </c>
      <c r="AX194" s="21">
        <f t="shared" si="166"/>
        <v>5.8144392326392698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273.00000000000023</v>
      </c>
      <c r="BE194" s="13">
        <f>BD194*VLOOKUP('Données projet'!$B$11,Paramètres!$A$1:$I$89,3,0)*VLOOKUP('Données projet'!$B$11,Paramètres!$A$1:$I$89,5,0)</f>
        <v>212.9400000000002</v>
      </c>
      <c r="BF194" s="13">
        <f t="shared" si="167"/>
        <v>52.577528895212915</v>
      </c>
      <c r="BG194" s="20">
        <f t="shared" si="168"/>
        <v>462.44302949249618</v>
      </c>
      <c r="BH194" s="59">
        <f t="shared" si="116"/>
        <v>755.77636282582944</v>
      </c>
      <c r="BI194" s="59">
        <f ca="1">AVERAGE(OFFSET($BH$3,0,0,'Données projet'!$E$11+1,1))-AVERAGE(OFFSET($H$3,0,0,'Données projet'!$E$11+1,1))</f>
        <v>219.5868031007679</v>
      </c>
      <c r="BJ194" s="59">
        <f t="shared" si="146"/>
        <v>263.3830219837742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2.4380695938006696</v>
      </c>
      <c r="BQ194" s="21">
        <f>EXP(-LN(2)/25)*BQ193+(1-EXP(-LN(2)/25))/(LN(2)/25)*Calculateur!BL194*Calculateur!BN194*VLOOKUP('Données projet'!$B$11,Paramètres!$A$1:$I$89,3,0)*0.475*44/12</f>
        <v>0.1569793038116146</v>
      </c>
      <c r="BR194" s="21">
        <f>EXP(-LN(2)/2)*BR193+(1-EXP(-LN(2)/2))/(LN(2)/2)*BL194*BO194*VLOOKUP('Données projet'!$B$11,Paramètres!$A$1:$I$89,3,0)*0.475*44/12</f>
        <v>9.4188753500947846E-20</v>
      </c>
      <c r="BS194" s="22">
        <f t="shared" si="169"/>
        <v>2.5950488976122843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243.99999999999989</v>
      </c>
      <c r="BZ194" s="13">
        <f>BY194*VLOOKUP('Données projet'!$B$12,Paramètres!$A$1:$I$89,3,0)*VLOOKUP('Données projet'!$B$12,Paramètres!$A$1:$I$89,5,0)</f>
        <v>262.64159999999987</v>
      </c>
      <c r="CA194" s="13">
        <f t="shared" si="170"/>
        <v>63.285128621471941</v>
      </c>
      <c r="CB194" s="20">
        <f t="shared" si="171"/>
        <v>567.65571901573003</v>
      </c>
      <c r="CC194" s="59">
        <f t="shared" si="119"/>
        <v>860.98905234906329</v>
      </c>
      <c r="CD194" s="59">
        <f ca="1">AVERAGE(OFFSET($CC$3,0,0,'Données projet'!$E$12+1,1))-AVERAGE(OFFSET($H$3,0,0,'Données projet'!$E$12+1,1))</f>
        <v>244.7364260963538</v>
      </c>
      <c r="CE194" s="59">
        <f t="shared" si="148"/>
        <v>270.32853612539299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2.6716039946050225</v>
      </c>
      <c r="CL194" s="21">
        <f>EXP(-LN(2)/25)*CL193+(1-EXP(-LN(2)/25))/(LN(2)/25)*Calculateur!CG194*Calculateur!CI194*VLOOKUP('Données projet'!$B$12,Paramètres!$A$1:$I$89,3,0)*0.475*44/12</f>
        <v>0.17286692285023642</v>
      </c>
      <c r="CM194" s="21">
        <f>EXP(-LN(2)/2)*CM193+(1-EXP(-LN(2)/2))/(LN(2)/2)*CG194*CJ194*VLOOKUP('Données projet'!$B$12,Paramètres!$A$1:$I$89,3,0)*0.475*44/12</f>
        <v>9.7661685980825549E-20</v>
      </c>
      <c r="CN194" s="22">
        <f t="shared" si="172"/>
        <v>2.8444709174552587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243.99999999999989</v>
      </c>
      <c r="CU194" s="17">
        <f>CT194*VLOOKUP('Données projet'!$B$13,Paramètres!$A$1:$I$89,3,0)*VLOOKUP('Données projet'!$B$13,Paramètres!$A$1:$I$89,5,0)</f>
        <v>235.99679999999987</v>
      </c>
      <c r="CV194" s="13">
        <f t="shared" si="173"/>
        <v>57.577381127598322</v>
      </c>
      <c r="CW194" s="20">
        <f t="shared" si="174"/>
        <v>511.30836546390015</v>
      </c>
      <c r="CX194" s="59">
        <f t="shared" si="122"/>
        <v>804.6416987972334</v>
      </c>
      <c r="CY194" s="59">
        <f ca="1">AVERAGE(OFFSET($CX$3,0,0,'Données projet'!$E$13+1,1))-AVERAGE(OFFSET($H$3,0,0,'Données projet'!$E$13+1,1))</f>
        <v>216.39536568500222</v>
      </c>
      <c r="CZ194" s="59">
        <f t="shared" si="150"/>
        <v>239.44686980897467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2.4005717052972679</v>
      </c>
      <c r="DG194" s="21">
        <f>EXP(-LN(2)/25)*DG193+(1-EXP(-LN(2)/25))/(LN(2)/25)*Calculateur!DB194*Calculateur!DD194*VLOOKUP('Données projet'!$B$13,Paramètres!$A$1:$I$89,3,0)*0.475*44/12</f>
        <v>0.15532969879296576</v>
      </c>
      <c r="DH194" s="21">
        <f>EXP(-LN(2)/2)*DH193+(1-EXP(-LN(2)/2))/(LN(2)/2)*DB194*DE194*VLOOKUP('Données projet'!$B$13,Paramètres!$A$1:$I$89,3,0)*0.475*44/12</f>
        <v>8.775397870740838E-20</v>
      </c>
      <c r="DI194" s="22">
        <f t="shared" si="175"/>
        <v>2.5559014040902337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113.81759999999959</v>
      </c>
      <c r="D195" s="11">
        <f t="shared" si="140"/>
        <v>30.228647177134089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1111.9359431217338</v>
      </c>
      <c r="H195" s="67">
        <f t="shared" si="110"/>
        <v>544.21388050017447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306.99999999999994</v>
      </c>
      <c r="O195" s="13">
        <f>N195*VLOOKUP('Données projet'!$B$9,Paramètres!$A$1:$I$89,3,0)*VLOOKUP('Données projet'!$B$9,Paramètres!$A$1:$I$89,5,0)</f>
        <v>277.77359999999993</v>
      </c>
      <c r="P195" s="13">
        <f t="shared" si="141"/>
        <v>66.496288176842356</v>
      </c>
      <c r="Q195" s="20">
        <f t="shared" si="162"/>
        <v>599.60338857466706</v>
      </c>
      <c r="R195" s="59">
        <f t="shared" ref="R195:R203" si="191">Q195+(I195+J195)*44/12</f>
        <v>892.93672190800044</v>
      </c>
      <c r="S195" s="59">
        <f ca="1">AVERAGE(OFFSET($R$3,0,0,'Données projet'!$E$9+1,1))-AVERAGE(OFFSET($H$3,0,0,'Données projet'!$E$9+1,1))</f>
        <v>330.30341204367602</v>
      </c>
      <c r="T195" s="59">
        <f t="shared" si="142"/>
        <v>200.36653694091007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16.699824121336746</v>
      </c>
      <c r="AA195" s="21">
        <f>EXP(-LN(2)/25)*AA194+(1-EXP(-LN(2)/25))/(LN(2)/25)*Calculateur!V195*Calculateur!X195*VLOOKUP('Données projet'!$B$9,Paramètres!$A$1:$I$89,3,0)*0.475*44/12</f>
        <v>0.39226544078366299</v>
      </c>
      <c r="AB195" s="21">
        <f>EXP(-LN(2)/2)*AB194+(1-EXP(-LN(2)/2))/(LN(2)/2)*V195*Y195*VLOOKUP('Données projet'!$B$9,Paramètres!$A$1:$I$89,3,0)*0.475*44/12</f>
        <v>3.8758025628558851E-12</v>
      </c>
      <c r="AC195" s="22">
        <f t="shared" si="163"/>
        <v>17.092089562124286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971.99999999999977</v>
      </c>
      <c r="AJ195" s="13">
        <f>AI195*VLOOKUP('Données projet'!$B$10,Paramètres!$A$1:$I$89,3,0)*VLOOKUP('Données projet'!$B$10,Paramètres!$A$1:$I$89,5,0)</f>
        <v>581.25599999999986</v>
      </c>
      <c r="AK195" s="13">
        <f t="shared" si="164"/>
        <v>127.68713506014205</v>
      </c>
      <c r="AL195" s="20">
        <f t="shared" si="165"/>
        <v>1234.7426268964139</v>
      </c>
      <c r="AM195" s="59">
        <f t="shared" si="113"/>
        <v>1528.0759602297471</v>
      </c>
      <c r="AN195" s="59">
        <f ca="1">AVERAGE(OFFSET($AM$3,0,0,'Données projet'!$E$10+1,1))-AVERAGE(OFFSET($H$3,0,0,'Données projet'!$E$10+1,1))</f>
        <v>465.77577582457678</v>
      </c>
      <c r="AO195" s="59">
        <f t="shared" si="144"/>
        <v>301.15495784503042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4.6757469636744249</v>
      </c>
      <c r="AV195" s="21">
        <f>EXP(-LN(2)/25)*AV194+(1-EXP(-LN(2)/25))/(LN(2)/25)*Calculateur!AQ195*Calculateur!AS195*VLOOKUP('Données projet'!$B$10,Paramètres!$A$1:$I$89,3,0)*0.475*44/12</f>
        <v>1.0165895811794288</v>
      </c>
      <c r="AW195" s="21">
        <f>EXP(-LN(2)/2)*AW194+(1-EXP(-LN(2)/2))/(LN(2)/2)*AQ195*AT195*VLOOKUP('Données projet'!$B$10,Paramètres!$A$1:$I$89,3,0)*0.475*44/12</f>
        <v>7.0516522008537125E-19</v>
      </c>
      <c r="AX195" s="21">
        <f t="shared" si="166"/>
        <v>5.6923365448538537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273.00000000000023</v>
      </c>
      <c r="BE195" s="13">
        <f>BD195*VLOOKUP('Données projet'!$B$11,Paramètres!$A$1:$I$89,3,0)*VLOOKUP('Données projet'!$B$11,Paramètres!$A$1:$I$89,5,0)</f>
        <v>212.9400000000002</v>
      </c>
      <c r="BF195" s="13">
        <f t="shared" si="167"/>
        <v>52.577528895212915</v>
      </c>
      <c r="BG195" s="20">
        <f t="shared" si="168"/>
        <v>462.44302949249618</v>
      </c>
      <c r="BH195" s="59">
        <f t="shared" si="116"/>
        <v>755.77636282582944</v>
      </c>
      <c r="BI195" s="59">
        <f ca="1">AVERAGE(OFFSET($BH$3,0,0,'Données projet'!$E$11+1,1))-AVERAGE(OFFSET($H$3,0,0,'Données projet'!$E$11+1,1))</f>
        <v>219.5868031007679</v>
      </c>
      <c r="BJ195" s="59">
        <f t="shared" si="146"/>
        <v>263.3830219837742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2.3902605361418541</v>
      </c>
      <c r="BQ195" s="21">
        <f>EXP(-LN(2)/25)*BQ194+(1-EXP(-LN(2)/25))/(LN(2)/25)*Calculateur!BL195*Calculateur!BN195*VLOOKUP('Données projet'!$B$11,Paramètres!$A$1:$I$89,3,0)*0.475*44/12</f>
        <v>0.1526866964937032</v>
      </c>
      <c r="BR195" s="21">
        <f>EXP(-LN(2)/2)*BR194+(1-EXP(-LN(2)/2))/(LN(2)/2)*BL195*BO195*VLOOKUP('Données projet'!$B$11,Paramètres!$A$1:$I$89,3,0)*0.475*44/12</f>
        <v>6.6601506312028389E-20</v>
      </c>
      <c r="BS195" s="22">
        <f t="shared" si="169"/>
        <v>2.5429472326355573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243.99999999999989</v>
      </c>
      <c r="BZ195" s="13">
        <f>BY195*VLOOKUP('Données projet'!$B$12,Paramètres!$A$1:$I$89,3,0)*VLOOKUP('Données projet'!$B$12,Paramètres!$A$1:$I$89,5,0)</f>
        <v>262.64159999999987</v>
      </c>
      <c r="CA195" s="13">
        <f t="shared" si="170"/>
        <v>63.285128621471941</v>
      </c>
      <c r="CB195" s="20">
        <f t="shared" si="171"/>
        <v>567.65571901573003</v>
      </c>
      <c r="CC195" s="59">
        <f t="shared" si="119"/>
        <v>860.98905234906329</v>
      </c>
      <c r="CD195" s="59">
        <f ca="1">AVERAGE(OFFSET($CC$3,0,0,'Données projet'!$E$12+1,1))-AVERAGE(OFFSET($H$3,0,0,'Données projet'!$E$12+1,1))</f>
        <v>244.7364260963538</v>
      </c>
      <c r="CE195" s="59">
        <f t="shared" si="148"/>
        <v>270.32853612539299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2.6192154697883532</v>
      </c>
      <c r="CL195" s="21">
        <f>EXP(-LN(2)/25)*CL194+(1-EXP(-LN(2)/25))/(LN(2)/25)*Calculateur!CG195*Calculateur!CI195*VLOOKUP('Données projet'!$B$12,Paramètres!$A$1:$I$89,3,0)*0.475*44/12</f>
        <v>0.16813986775422032</v>
      </c>
      <c r="CM195" s="21">
        <f>EXP(-LN(2)/2)*CM194+(1-EXP(-LN(2)/2))/(LN(2)/2)*CG195*CJ195*VLOOKUP('Données projet'!$B$12,Paramètres!$A$1:$I$89,3,0)*0.475*44/12</f>
        <v>6.9057240419152926E-20</v>
      </c>
      <c r="CN195" s="22">
        <f t="shared" si="172"/>
        <v>2.7873553375425737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243.99999999999989</v>
      </c>
      <c r="CU195" s="17">
        <f>CT195*VLOOKUP('Données projet'!$B$13,Paramètres!$A$1:$I$89,3,0)*VLOOKUP('Données projet'!$B$13,Paramètres!$A$1:$I$89,5,0)</f>
        <v>235.99679999999987</v>
      </c>
      <c r="CV195" s="13">
        <f t="shared" si="173"/>
        <v>57.577381127598322</v>
      </c>
      <c r="CW195" s="20">
        <f t="shared" si="174"/>
        <v>511.30836546390015</v>
      </c>
      <c r="CX195" s="59">
        <f t="shared" si="122"/>
        <v>804.6416987972334</v>
      </c>
      <c r="CY195" s="59">
        <f ca="1">AVERAGE(OFFSET($CX$3,0,0,'Données projet'!$E$13+1,1))-AVERAGE(OFFSET($H$3,0,0,'Données projet'!$E$13+1,1))</f>
        <v>216.39536568500222</v>
      </c>
      <c r="CZ195" s="59">
        <f t="shared" si="150"/>
        <v>239.44686980897467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2.3534979583605504</v>
      </c>
      <c r="DG195" s="21">
        <f>EXP(-LN(2)/25)*DG194+(1-EXP(-LN(2)/25))/(LN(2)/25)*Calculateur!DB195*Calculateur!DD195*VLOOKUP('Données projet'!$B$13,Paramètres!$A$1:$I$89,3,0)*0.475*44/12</f>
        <v>0.15108220001103825</v>
      </c>
      <c r="DH195" s="21">
        <f>EXP(-LN(2)/2)*DH194+(1-EXP(-LN(2)/2))/(LN(2)/2)*DB195*DE195*VLOOKUP('Données projet'!$B$13,Paramètres!$A$1:$I$89,3,0)*0.475*44/12</f>
        <v>6.2051433420108367E-20</v>
      </c>
      <c r="DI195" s="22">
        <f t="shared" si="175"/>
        <v>2.5045801583715885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114.41039999999958</v>
      </c>
      <c r="D196" s="11">
        <f t="shared" si="140"/>
        <v>30.36771984284513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1117.5854865061699</v>
      </c>
      <c r="H196" s="67">
        <f t="shared" ref="H196:H203" si="192">(B196+E196+F196)*44/12+(C196+D196)*0.475*44/12</f>
        <v>545.48855872628792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306.99999999999994</v>
      </c>
      <c r="O196" s="13">
        <f>N196*VLOOKUP('Données projet'!$B$9,Paramètres!$A$1:$I$89,3,0)*VLOOKUP('Données projet'!$B$9,Paramètres!$A$1:$I$89,5,0)</f>
        <v>277.77359999999993</v>
      </c>
      <c r="P196" s="13">
        <f t="shared" si="141"/>
        <v>66.496288176842356</v>
      </c>
      <c r="Q196" s="20">
        <f t="shared" si="162"/>
        <v>599.60338857466706</v>
      </c>
      <c r="R196" s="59">
        <f t="shared" si="191"/>
        <v>892.93672190800044</v>
      </c>
      <c r="S196" s="59">
        <f ca="1">AVERAGE(OFFSET($R$3,0,0,'Données projet'!$E$9+1,1))-AVERAGE(OFFSET($H$3,0,0,'Données projet'!$E$9+1,1))</f>
        <v>330.30341204367602</v>
      </c>
      <c r="T196" s="59">
        <f t="shared" si="142"/>
        <v>200.36653694091007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16.372350756204273</v>
      </c>
      <c r="AA196" s="21">
        <f>EXP(-LN(2)/25)*AA195+(1-EXP(-LN(2)/25))/(LN(2)/25)*Calculateur!V196*Calculateur!X196*VLOOKUP('Données projet'!$B$9,Paramètres!$A$1:$I$89,3,0)*0.475*44/12</f>
        <v>0.38153892167709075</v>
      </c>
      <c r="AB196" s="21">
        <f>EXP(-LN(2)/2)*AB195+(1-EXP(-LN(2)/2))/(LN(2)/2)*V196*Y196*VLOOKUP('Données projet'!$B$9,Paramètres!$A$1:$I$89,3,0)*0.475*44/12</f>
        <v>2.7406062747355965E-12</v>
      </c>
      <c r="AC196" s="22">
        <f t="shared" si="163"/>
        <v>16.753889677884104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971.99999999999977</v>
      </c>
      <c r="AJ196" s="13">
        <f>AI196*VLOOKUP('Données projet'!$B$10,Paramètres!$A$1:$I$89,3,0)*VLOOKUP('Données projet'!$B$10,Paramètres!$A$1:$I$89,5,0)</f>
        <v>581.25599999999986</v>
      </c>
      <c r="AK196" s="13">
        <f t="shared" si="164"/>
        <v>127.68713506014205</v>
      </c>
      <c r="AL196" s="20">
        <f t="shared" si="165"/>
        <v>1234.7426268964139</v>
      </c>
      <c r="AM196" s="59">
        <f t="shared" ref="AM196:AM203" si="193">AL196+(AD196+AE196)*44/12</f>
        <v>1528.0759602297471</v>
      </c>
      <c r="AN196" s="59">
        <f ca="1">AVERAGE(OFFSET($AM$3,0,0,'Données projet'!$E$10+1,1))-AVERAGE(OFFSET($H$3,0,0,'Données projet'!$E$10+1,1))</f>
        <v>465.77577582457678</v>
      </c>
      <c r="AO196" s="59">
        <f t="shared" si="144"/>
        <v>301.15495784503042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4.5840584176408132</v>
      </c>
      <c r="AV196" s="21">
        <f>EXP(-LN(2)/25)*AV195+(1-EXP(-LN(2)/25))/(LN(2)/25)*Calculateur!AQ196*Calculateur!AS196*VLOOKUP('Données projet'!$B$10,Paramètres!$A$1:$I$89,3,0)*0.475*44/12</f>
        <v>0.98879088562195461</v>
      </c>
      <c r="AW196" s="21">
        <f>EXP(-LN(2)/2)*AW195+(1-EXP(-LN(2)/2))/(LN(2)/2)*AQ196*AT196*VLOOKUP('Données projet'!$B$10,Paramètres!$A$1:$I$89,3,0)*0.475*44/12</f>
        <v>4.9862710897927024E-19</v>
      </c>
      <c r="AX196" s="21">
        <f t="shared" si="166"/>
        <v>5.5728493032627675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273.00000000000023</v>
      </c>
      <c r="BE196" s="13">
        <f>BD196*VLOOKUP('Données projet'!$B$11,Paramètres!$A$1:$I$89,3,0)*VLOOKUP('Données projet'!$B$11,Paramètres!$A$1:$I$89,5,0)</f>
        <v>212.9400000000002</v>
      </c>
      <c r="BF196" s="13">
        <f t="shared" si="167"/>
        <v>52.577528895212915</v>
      </c>
      <c r="BG196" s="20">
        <f t="shared" si="168"/>
        <v>462.44302949249618</v>
      </c>
      <c r="BH196" s="59">
        <f t="shared" ref="BH196:BH203" si="194">BG196+(AY196+AZ196)*44/12</f>
        <v>755.77636282582944</v>
      </c>
      <c r="BI196" s="59">
        <f ca="1">AVERAGE(OFFSET($BH$3,0,0,'Données projet'!$E$11+1,1))-AVERAGE(OFFSET($H$3,0,0,'Données projet'!$E$11+1,1))</f>
        <v>219.5868031007679</v>
      </c>
      <c r="BJ196" s="59">
        <f t="shared" si="146"/>
        <v>263.3830219837742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2.3433889849430822</v>
      </c>
      <c r="BQ196" s="21">
        <f>EXP(-LN(2)/25)*BQ195+(1-EXP(-LN(2)/25))/(LN(2)/25)*Calculateur!BL196*Calculateur!BN196*VLOOKUP('Données projet'!$B$11,Paramètres!$A$1:$I$89,3,0)*0.475*44/12</f>
        <v>0.14851147074863849</v>
      </c>
      <c r="BR196" s="21">
        <f>EXP(-LN(2)/2)*BR195+(1-EXP(-LN(2)/2))/(LN(2)/2)*BL196*BO196*VLOOKUP('Données projet'!$B$11,Paramètres!$A$1:$I$89,3,0)*0.475*44/12</f>
        <v>4.7094376750473923E-20</v>
      </c>
      <c r="BS196" s="22">
        <f t="shared" si="169"/>
        <v>2.4919004556917206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243.99999999999989</v>
      </c>
      <c r="BZ196" s="13">
        <f>BY196*VLOOKUP('Données projet'!$B$12,Paramètres!$A$1:$I$89,3,0)*VLOOKUP('Données projet'!$B$12,Paramètres!$A$1:$I$89,5,0)</f>
        <v>262.64159999999987</v>
      </c>
      <c r="CA196" s="13">
        <f t="shared" si="170"/>
        <v>63.285128621471941</v>
      </c>
      <c r="CB196" s="20">
        <f t="shared" si="171"/>
        <v>567.65571901573003</v>
      </c>
      <c r="CC196" s="59">
        <f t="shared" ref="CC196:CC203" si="195">CB196+(BT196+BU196)*44/12</f>
        <v>860.98905234906329</v>
      </c>
      <c r="CD196" s="59">
        <f ca="1">AVERAGE(OFFSET($CC$3,0,0,'Données projet'!$E$12+1,1))-AVERAGE(OFFSET($H$3,0,0,'Données projet'!$E$12+1,1))</f>
        <v>244.7364260963538</v>
      </c>
      <c r="CE196" s="59">
        <f t="shared" si="148"/>
        <v>270.32853612539299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2.5678542519894938</v>
      </c>
      <c r="CL196" s="21">
        <f>EXP(-LN(2)/25)*CL195+(1-EXP(-LN(2)/25))/(LN(2)/25)*Calculateur!CG196*Calculateur!CI196*VLOOKUP('Données projet'!$B$12,Paramètres!$A$1:$I$89,3,0)*0.475*44/12</f>
        <v>0.16354207422838982</v>
      </c>
      <c r="CM196" s="21">
        <f>EXP(-LN(2)/2)*CM195+(1-EXP(-LN(2)/2))/(LN(2)/2)*CG196*CJ196*VLOOKUP('Données projet'!$B$12,Paramètres!$A$1:$I$89,3,0)*0.475*44/12</f>
        <v>4.8830842990412774E-20</v>
      </c>
      <c r="CN196" s="22">
        <f t="shared" si="172"/>
        <v>2.7313963262178835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243.99999999999989</v>
      </c>
      <c r="CU196" s="17">
        <f>CT196*VLOOKUP('Données projet'!$B$13,Paramètres!$A$1:$I$89,3,0)*VLOOKUP('Données projet'!$B$13,Paramètres!$A$1:$I$89,5,0)</f>
        <v>235.99679999999987</v>
      </c>
      <c r="CV196" s="13">
        <f t="shared" si="173"/>
        <v>57.577381127598322</v>
      </c>
      <c r="CW196" s="20">
        <f t="shared" si="174"/>
        <v>511.30836546390015</v>
      </c>
      <c r="CX196" s="59">
        <f t="shared" ref="CX196:CX203" si="196">CW196+(CO196+CP196)*44/12</f>
        <v>804.6416987972334</v>
      </c>
      <c r="CY196" s="59">
        <f ca="1">AVERAGE(OFFSET($CX$3,0,0,'Données projet'!$E$13+1,1))-AVERAGE(OFFSET($H$3,0,0,'Données projet'!$E$13+1,1))</f>
        <v>216.39536568500222</v>
      </c>
      <c r="CZ196" s="59">
        <f t="shared" si="150"/>
        <v>239.44686980897467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2.3073472988891117</v>
      </c>
      <c r="DG196" s="21">
        <f>EXP(-LN(2)/25)*DG195+(1-EXP(-LN(2)/25))/(LN(2)/25)*Calculateur!DB196*Calculateur!DD196*VLOOKUP('Données projet'!$B$13,Paramètres!$A$1:$I$89,3,0)*0.475*44/12</f>
        <v>0.14695084930666882</v>
      </c>
      <c r="DH196" s="21">
        <f>EXP(-LN(2)/2)*DH195+(1-EXP(-LN(2)/2))/(LN(2)/2)*DB196*DE196*VLOOKUP('Données projet'!$B$13,Paramètres!$A$1:$I$89,3,0)*0.475*44/12</f>
        <v>4.387698935370419E-20</v>
      </c>
      <c r="DI196" s="22">
        <f t="shared" si="175"/>
        <v>2.4542981481957806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115.00319999999958</v>
      </c>
      <c r="D197" s="11">
        <f t="shared" ref="D197:D203" si="202">IFERROR(EXP(-1.0587+0.8836*LN(C197)+0.284),0)</f>
        <v>30.50670865749764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1123.2343826192769</v>
      </c>
      <c r="H197" s="67">
        <f t="shared" si="192"/>
        <v>546.76309091180769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306.99999999999994</v>
      </c>
      <c r="O197" s="13">
        <f>N197*VLOOKUP('Données projet'!$B$9,Paramètres!$A$1:$I$89,3,0)*VLOOKUP('Données projet'!$B$9,Paramètres!$A$1:$I$89,5,0)</f>
        <v>277.77359999999993</v>
      </c>
      <c r="P197" s="13">
        <f t="shared" ref="P197:P203" si="203">EXP(-1.0587+0.8836*LN(O197)+0.284)</f>
        <v>66.496288176842356</v>
      </c>
      <c r="Q197" s="20">
        <f t="shared" si="162"/>
        <v>599.60338857466706</v>
      </c>
      <c r="R197" s="59">
        <f t="shared" si="191"/>
        <v>892.93672190800044</v>
      </c>
      <c r="S197" s="59">
        <f ca="1">AVERAGE(OFFSET($R$3,0,0,'Données projet'!$E$9+1,1))-AVERAGE(OFFSET($H$3,0,0,'Données projet'!$E$9+1,1))</f>
        <v>330.30341204367602</v>
      </c>
      <c r="T197" s="59">
        <f t="shared" ref="T197:T203" si="204">$T$3</f>
        <v>200.36653694091007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16.051298944023017</v>
      </c>
      <c r="AA197" s="21">
        <f>EXP(-LN(2)/25)*AA196+(1-EXP(-LN(2)/25))/(LN(2)/25)*Calculateur!V197*Calculateur!X197*VLOOKUP('Données projet'!$B$9,Paramètres!$A$1:$I$89,3,0)*0.475*44/12</f>
        <v>0.37110571979957085</v>
      </c>
      <c r="AB197" s="21">
        <f>EXP(-LN(2)/2)*AB196+(1-EXP(-LN(2)/2))/(LN(2)/2)*V197*Y197*VLOOKUP('Données projet'!$B$9,Paramètres!$A$1:$I$89,3,0)*0.475*44/12</f>
        <v>1.9379012814279426E-12</v>
      </c>
      <c r="AC197" s="22">
        <f t="shared" si="163"/>
        <v>16.422404663824523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971.99999999999977</v>
      </c>
      <c r="AJ197" s="13">
        <f>AI197*VLOOKUP('Données projet'!$B$10,Paramètres!$A$1:$I$89,3,0)*VLOOKUP('Données projet'!$B$10,Paramètres!$A$1:$I$89,5,0)</f>
        <v>581.25599999999986</v>
      </c>
      <c r="AK197" s="13">
        <f t="shared" si="164"/>
        <v>127.68713506014205</v>
      </c>
      <c r="AL197" s="20">
        <f t="shared" si="165"/>
        <v>1234.7426268964139</v>
      </c>
      <c r="AM197" s="59">
        <f t="shared" si="193"/>
        <v>1528.0759602297471</v>
      </c>
      <c r="AN197" s="59">
        <f ca="1">AVERAGE(OFFSET($AM$3,0,0,'Données projet'!$E$10+1,1))-AVERAGE(OFFSET($H$3,0,0,'Données projet'!$E$10+1,1))</f>
        <v>465.77577582457678</v>
      </c>
      <c r="AO197" s="59">
        <f t="shared" ref="AO197:AO203" si="205">$AO$3</f>
        <v>301.15495784503042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4.49416782807043</v>
      </c>
      <c r="AV197" s="21">
        <f>EXP(-LN(2)/25)*AV196+(1-EXP(-LN(2)/25))/(LN(2)/25)*Calculateur!AQ197*Calculateur!AS197*VLOOKUP('Données projet'!$B$10,Paramètres!$A$1:$I$89,3,0)*0.475*44/12</f>
        <v>0.96175234685636946</v>
      </c>
      <c r="AW197" s="21">
        <f>EXP(-LN(2)/2)*AW196+(1-EXP(-LN(2)/2))/(LN(2)/2)*AQ197*AT197*VLOOKUP('Données projet'!$B$10,Paramètres!$A$1:$I$89,3,0)*0.475*44/12</f>
        <v>3.5258261004268563E-19</v>
      </c>
      <c r="AX197" s="21">
        <f t="shared" si="166"/>
        <v>5.4559201749267991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273.00000000000023</v>
      </c>
      <c r="BE197" s="13">
        <f>BD197*VLOOKUP('Données projet'!$B$11,Paramètres!$A$1:$I$89,3,0)*VLOOKUP('Données projet'!$B$11,Paramètres!$A$1:$I$89,5,0)</f>
        <v>212.9400000000002</v>
      </c>
      <c r="BF197" s="13">
        <f t="shared" si="167"/>
        <v>52.577528895212915</v>
      </c>
      <c r="BG197" s="20">
        <f t="shared" si="168"/>
        <v>462.44302949249618</v>
      </c>
      <c r="BH197" s="59">
        <f t="shared" si="194"/>
        <v>755.77636282582944</v>
      </c>
      <c r="BI197" s="59">
        <f ca="1">AVERAGE(OFFSET($BH$3,0,0,'Données projet'!$E$11+1,1))-AVERAGE(OFFSET($H$3,0,0,'Données projet'!$E$11+1,1))</f>
        <v>219.5868031007679</v>
      </c>
      <c r="BJ197" s="59">
        <f t="shared" ref="BJ197:BJ203" si="206">$BJ$3</f>
        <v>263.3830219837742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2.2974365562744952</v>
      </c>
      <c r="BQ197" s="21">
        <f>EXP(-LN(2)/25)*BQ196+(1-EXP(-LN(2)/25))/(LN(2)/25)*Calculateur!BL197*Calculateur!BN197*VLOOKUP('Données projet'!$B$11,Paramètres!$A$1:$I$89,3,0)*0.475*44/12</f>
        <v>0.14445041677113815</v>
      </c>
      <c r="BR197" s="21">
        <f>EXP(-LN(2)/2)*BR196+(1-EXP(-LN(2)/2))/(LN(2)/2)*BL197*BO197*VLOOKUP('Données projet'!$B$11,Paramètres!$A$1:$I$89,3,0)*0.475*44/12</f>
        <v>3.3300753156014195E-20</v>
      </c>
      <c r="BS197" s="22">
        <f t="shared" si="169"/>
        <v>2.4418869730456332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243.99999999999989</v>
      </c>
      <c r="BZ197" s="13">
        <f>BY197*VLOOKUP('Données projet'!$B$12,Paramètres!$A$1:$I$89,3,0)*VLOOKUP('Données projet'!$B$12,Paramètres!$A$1:$I$89,5,0)</f>
        <v>262.64159999999987</v>
      </c>
      <c r="CA197" s="13">
        <f t="shared" si="170"/>
        <v>63.285128621471941</v>
      </c>
      <c r="CB197" s="20">
        <f t="shared" si="171"/>
        <v>567.65571901573003</v>
      </c>
      <c r="CC197" s="59">
        <f t="shared" si="195"/>
        <v>860.98905234906329</v>
      </c>
      <c r="CD197" s="59">
        <f ca="1">AVERAGE(OFFSET($CC$3,0,0,'Données projet'!$E$12+1,1))-AVERAGE(OFFSET($H$3,0,0,'Données projet'!$E$12+1,1))</f>
        <v>244.7364260963538</v>
      </c>
      <c r="CE197" s="59">
        <f t="shared" ref="CE197:CE203" si="207">$CE$3</f>
        <v>270.32853612539299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2.5175001963444203</v>
      </c>
      <c r="CL197" s="21">
        <f>EXP(-LN(2)/25)*CL196+(1-EXP(-LN(2)/25))/(LN(2)/25)*Calculateur!CG197*Calculateur!CI197*VLOOKUP('Données projet'!$B$12,Paramètres!$A$1:$I$89,3,0)*0.475*44/12</f>
        <v>0.15907000760831058</v>
      </c>
      <c r="CM197" s="21">
        <f>EXP(-LN(2)/2)*CM196+(1-EXP(-LN(2)/2))/(LN(2)/2)*CG197*CJ197*VLOOKUP('Données projet'!$B$12,Paramètres!$A$1:$I$89,3,0)*0.475*44/12</f>
        <v>3.4528620209576463E-20</v>
      </c>
      <c r="CN197" s="22">
        <f t="shared" si="172"/>
        <v>2.676570203952731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243.99999999999989</v>
      </c>
      <c r="CU197" s="17">
        <f>CT197*VLOOKUP('Données projet'!$B$13,Paramètres!$A$1:$I$89,3,0)*VLOOKUP('Données projet'!$B$13,Paramètres!$A$1:$I$89,5,0)</f>
        <v>235.99679999999987</v>
      </c>
      <c r="CV197" s="13">
        <f t="shared" si="173"/>
        <v>57.577381127598322</v>
      </c>
      <c r="CW197" s="20">
        <f t="shared" si="174"/>
        <v>511.30836546390015</v>
      </c>
      <c r="CX197" s="59">
        <f t="shared" si="196"/>
        <v>804.6416987972334</v>
      </c>
      <c r="CY197" s="59">
        <f ca="1">AVERAGE(OFFSET($CX$3,0,0,'Données projet'!$E$13+1,1))-AVERAGE(OFFSET($H$3,0,0,'Données projet'!$E$13+1,1))</f>
        <v>216.39536568500222</v>
      </c>
      <c r="CZ197" s="59">
        <f t="shared" ref="CZ197:CZ203" si="208">$CZ$3</f>
        <v>239.44686980897467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2.2621016257007849</v>
      </c>
      <c r="DG197" s="21">
        <f>EXP(-LN(2)/25)*DG196+(1-EXP(-LN(2)/25))/(LN(2)/25)*Calculateur!DB197*Calculateur!DD197*VLOOKUP('Données projet'!$B$13,Paramètres!$A$1:$I$89,3,0)*0.475*44/12</f>
        <v>0.14293247060456865</v>
      </c>
      <c r="DH197" s="21">
        <f>EXP(-LN(2)/2)*DH196+(1-EXP(-LN(2)/2))/(LN(2)/2)*DB197*DE197*VLOOKUP('Données projet'!$B$13,Paramètres!$A$1:$I$89,3,0)*0.475*44/12</f>
        <v>3.1025716710054183E-20</v>
      </c>
      <c r="DI197" s="22">
        <f t="shared" si="175"/>
        <v>2.4050340963053536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115.59599999999958</v>
      </c>
      <c r="D198" s="11">
        <f t="shared" si="202"/>
        <v>30.645614103483769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1128.8826351847838</v>
      </c>
      <c r="H198" s="67">
        <f t="shared" si="192"/>
        <v>548.0374778969001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306.99999999999994</v>
      </c>
      <c r="O198" s="13">
        <f>N198*VLOOKUP('Données projet'!$B$9,Paramètres!$A$1:$I$89,3,0)*VLOOKUP('Données projet'!$B$9,Paramètres!$A$1:$I$89,5,0)</f>
        <v>277.77359999999993</v>
      </c>
      <c r="P198" s="13">
        <f t="shared" si="203"/>
        <v>66.496288176842356</v>
      </c>
      <c r="Q198" s="20">
        <f t="shared" si="162"/>
        <v>599.60338857466706</v>
      </c>
      <c r="R198" s="59">
        <f t="shared" si="191"/>
        <v>892.93672190800044</v>
      </c>
      <c r="S198" s="59">
        <f ca="1">AVERAGE(OFFSET($R$3,0,0,'Données projet'!$E$9+1,1))-AVERAGE(OFFSET($H$3,0,0,'Données projet'!$E$9+1,1))</f>
        <v>330.30341204367602</v>
      </c>
      <c r="T198" s="59">
        <f t="shared" si="204"/>
        <v>200.36653694091007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15.736542762056366</v>
      </c>
      <c r="AA198" s="21">
        <f>EXP(-LN(2)/25)*AA197+(1-EXP(-LN(2)/25))/(LN(2)/25)*Calculateur!V198*Calculateur!X198*VLOOKUP('Données projet'!$B$9,Paramètres!$A$1:$I$89,3,0)*0.475*44/12</f>
        <v>0.36095781437604996</v>
      </c>
      <c r="AB198" s="21">
        <f>EXP(-LN(2)/2)*AB197+(1-EXP(-LN(2)/2))/(LN(2)/2)*V198*Y198*VLOOKUP('Données projet'!$B$9,Paramètres!$A$1:$I$89,3,0)*0.475*44/12</f>
        <v>1.3703031373677982E-12</v>
      </c>
      <c r="AC198" s="22">
        <f t="shared" si="163"/>
        <v>16.097500576433788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971.99999999999977</v>
      </c>
      <c r="AJ198" s="13">
        <f>AI198*VLOOKUP('Données projet'!$B$10,Paramètres!$A$1:$I$89,3,0)*VLOOKUP('Données projet'!$B$10,Paramètres!$A$1:$I$89,5,0)</f>
        <v>581.25599999999986</v>
      </c>
      <c r="AK198" s="13">
        <f t="shared" si="164"/>
        <v>127.68713506014205</v>
      </c>
      <c r="AL198" s="20">
        <f t="shared" si="165"/>
        <v>1234.7426268964139</v>
      </c>
      <c r="AM198" s="59">
        <f t="shared" si="193"/>
        <v>1528.0759602297471</v>
      </c>
      <c r="AN198" s="59">
        <f ca="1">AVERAGE(OFFSET($AM$3,0,0,'Données projet'!$E$10+1,1))-AVERAGE(OFFSET($H$3,0,0,'Données projet'!$E$10+1,1))</f>
        <v>465.77577582457678</v>
      </c>
      <c r="AO198" s="59">
        <f t="shared" si="205"/>
        <v>301.15495784503042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4.4060399381336754</v>
      </c>
      <c r="AV198" s="21">
        <f>EXP(-LN(2)/25)*AV197+(1-EXP(-LN(2)/25))/(LN(2)/25)*Calculateur!AQ198*Calculateur!AS198*VLOOKUP('Données projet'!$B$10,Paramètres!$A$1:$I$89,3,0)*0.475*44/12</f>
        <v>0.93545317835522424</v>
      </c>
      <c r="AW198" s="21">
        <f>EXP(-LN(2)/2)*AW197+(1-EXP(-LN(2)/2))/(LN(2)/2)*AQ198*AT198*VLOOKUP('Données projet'!$B$10,Paramètres!$A$1:$I$89,3,0)*0.475*44/12</f>
        <v>2.4931355448963512E-19</v>
      </c>
      <c r="AX198" s="21">
        <f t="shared" si="166"/>
        <v>5.3414931164889001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273.00000000000023</v>
      </c>
      <c r="BE198" s="13">
        <f>BD198*VLOOKUP('Données projet'!$B$11,Paramètres!$A$1:$I$89,3,0)*VLOOKUP('Données projet'!$B$11,Paramètres!$A$1:$I$89,5,0)</f>
        <v>212.9400000000002</v>
      </c>
      <c r="BF198" s="13">
        <f t="shared" si="167"/>
        <v>52.577528895212915</v>
      </c>
      <c r="BG198" s="20">
        <f t="shared" si="168"/>
        <v>462.44302949249618</v>
      </c>
      <c r="BH198" s="59">
        <f t="shared" si="194"/>
        <v>755.77636282582944</v>
      </c>
      <c r="BI198" s="59">
        <f ca="1">AVERAGE(OFFSET($BH$3,0,0,'Données projet'!$E$11+1,1))-AVERAGE(OFFSET($H$3,0,0,'Données projet'!$E$11+1,1))</f>
        <v>219.5868031007679</v>
      </c>
      <c r="BJ198" s="59">
        <f t="shared" si="206"/>
        <v>263.3830219837742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2.2523852267038849</v>
      </c>
      <c r="BQ198" s="21">
        <f>EXP(-LN(2)/25)*BQ197+(1-EXP(-LN(2)/25))/(LN(2)/25)*Calculateur!BL198*Calculateur!BN198*VLOOKUP('Données projet'!$B$11,Paramètres!$A$1:$I$89,3,0)*0.475*44/12</f>
        <v>0.1405004125282141</v>
      </c>
      <c r="BR198" s="21">
        <f>EXP(-LN(2)/2)*BR197+(1-EXP(-LN(2)/2))/(LN(2)/2)*BL198*BO198*VLOOKUP('Données projet'!$B$11,Paramètres!$A$1:$I$89,3,0)*0.475*44/12</f>
        <v>2.3547188375236962E-20</v>
      </c>
      <c r="BS198" s="22">
        <f t="shared" si="169"/>
        <v>2.392885639232099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243.99999999999989</v>
      </c>
      <c r="BZ198" s="13">
        <f>BY198*VLOOKUP('Données projet'!$B$12,Paramètres!$A$1:$I$89,3,0)*VLOOKUP('Données projet'!$B$12,Paramètres!$A$1:$I$89,5,0)</f>
        <v>262.64159999999987</v>
      </c>
      <c r="CA198" s="13">
        <f t="shared" si="170"/>
        <v>63.285128621471941</v>
      </c>
      <c r="CB198" s="20">
        <f t="shared" si="171"/>
        <v>567.65571901573003</v>
      </c>
      <c r="CC198" s="59">
        <f t="shared" si="195"/>
        <v>860.98905234906329</v>
      </c>
      <c r="CD198" s="59">
        <f ca="1">AVERAGE(OFFSET($CC$3,0,0,'Données projet'!$E$12+1,1))-AVERAGE(OFFSET($H$3,0,0,'Données projet'!$E$12+1,1))</f>
        <v>244.7364260963538</v>
      </c>
      <c r="CE198" s="59">
        <f t="shared" si="207"/>
        <v>270.32853612539299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2.4681335530176058</v>
      </c>
      <c r="CL198" s="21">
        <f>EXP(-LN(2)/25)*CL197+(1-EXP(-LN(2)/25))/(LN(2)/25)*Calculateur!CG198*Calculateur!CI198*VLOOKUP('Données projet'!$B$12,Paramètres!$A$1:$I$89,3,0)*0.475*44/12</f>
        <v>0.15472022988513318</v>
      </c>
      <c r="CM198" s="21">
        <f>EXP(-LN(2)/2)*CM197+(1-EXP(-LN(2)/2))/(LN(2)/2)*CG198*CJ198*VLOOKUP('Données projet'!$B$12,Paramètres!$A$1:$I$89,3,0)*0.475*44/12</f>
        <v>2.4415421495206387E-20</v>
      </c>
      <c r="CN198" s="22">
        <f t="shared" si="172"/>
        <v>2.6228537829027392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243.99999999999989</v>
      </c>
      <c r="CU198" s="17">
        <f>CT198*VLOOKUP('Données projet'!$B$13,Paramètres!$A$1:$I$89,3,0)*VLOOKUP('Données projet'!$B$13,Paramètres!$A$1:$I$89,5,0)</f>
        <v>235.99679999999987</v>
      </c>
      <c r="CV198" s="13">
        <f t="shared" si="173"/>
        <v>57.577381127598322</v>
      </c>
      <c r="CW198" s="20">
        <f t="shared" si="174"/>
        <v>511.30836546390015</v>
      </c>
      <c r="CX198" s="59">
        <f t="shared" si="196"/>
        <v>804.6416987972334</v>
      </c>
      <c r="CY198" s="59">
        <f ca="1">AVERAGE(OFFSET($CX$3,0,0,'Données projet'!$E$13+1,1))-AVERAGE(OFFSET($H$3,0,0,'Données projet'!$E$13+1,1))</f>
        <v>216.39536568500222</v>
      </c>
      <c r="CZ198" s="59">
        <f t="shared" si="208"/>
        <v>239.44686980897467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2.2177431925665454</v>
      </c>
      <c r="DG198" s="21">
        <f>EXP(-LN(2)/25)*DG197+(1-EXP(-LN(2)/25))/(LN(2)/25)*Calculateur!DB198*Calculateur!DD198*VLOOKUP('Données projet'!$B$13,Paramètres!$A$1:$I$89,3,0)*0.475*44/12</f>
        <v>0.13902397467939476</v>
      </c>
      <c r="DH198" s="21">
        <f>EXP(-LN(2)/2)*DH197+(1-EXP(-LN(2)/2))/(LN(2)/2)*DB198*DE198*VLOOKUP('Données projet'!$B$13,Paramètres!$A$1:$I$89,3,0)*0.475*44/12</f>
        <v>2.1938494676852095E-20</v>
      </c>
      <c r="DI198" s="22">
        <f t="shared" si="175"/>
        <v>2.3567671672459403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116.18879999999957</v>
      </c>
      <c r="D199" s="11">
        <f t="shared" si="202"/>
        <v>30.784436657961592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1134.530247886016</v>
      </c>
      <c r="H199" s="67">
        <f t="shared" si="192"/>
        <v>549.31172051261569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306.99999999999994</v>
      </c>
      <c r="O199" s="13">
        <f>N199*VLOOKUP('Données projet'!$B$9,Paramètres!$A$1:$I$89,3,0)*VLOOKUP('Données projet'!$B$9,Paramètres!$A$1:$I$89,5,0)</f>
        <v>277.77359999999993</v>
      </c>
      <c r="P199" s="13">
        <f t="shared" si="203"/>
        <v>66.496288176842356</v>
      </c>
      <c r="Q199" s="20">
        <f t="shared" si="162"/>
        <v>599.60338857466706</v>
      </c>
      <c r="R199" s="59">
        <f t="shared" si="191"/>
        <v>892.93672190800044</v>
      </c>
      <c r="S199" s="59">
        <f ca="1">AVERAGE(OFFSET($R$3,0,0,'Données projet'!$E$9+1,1))-AVERAGE(OFFSET($H$3,0,0,'Données projet'!$E$9+1,1))</f>
        <v>330.30341204367602</v>
      </c>
      <c r="T199" s="59">
        <f t="shared" si="204"/>
        <v>200.36653694091007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15.427958756835768</v>
      </c>
      <c r="AA199" s="21">
        <f>EXP(-LN(2)/25)*AA198+(1-EXP(-LN(2)/25))/(LN(2)/25)*Calculateur!V199*Calculateur!X199*VLOOKUP('Données projet'!$B$9,Paramètres!$A$1:$I$89,3,0)*0.475*44/12</f>
        <v>0.35108740395999039</v>
      </c>
      <c r="AB199" s="21">
        <f>EXP(-LN(2)/2)*AB198+(1-EXP(-LN(2)/2))/(LN(2)/2)*V199*Y199*VLOOKUP('Données projet'!$B$9,Paramètres!$A$1:$I$89,3,0)*0.475*44/12</f>
        <v>9.6895064071397128E-13</v>
      </c>
      <c r="AC199" s="22">
        <f t="shared" si="163"/>
        <v>15.779046160796726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971.99999999999977</v>
      </c>
      <c r="AJ199" s="13">
        <f>AI199*VLOOKUP('Données projet'!$B$10,Paramètres!$A$1:$I$89,3,0)*VLOOKUP('Données projet'!$B$10,Paramètres!$A$1:$I$89,5,0)</f>
        <v>581.25599999999986</v>
      </c>
      <c r="AK199" s="13">
        <f t="shared" si="164"/>
        <v>127.68713506014205</v>
      </c>
      <c r="AL199" s="20">
        <f t="shared" si="165"/>
        <v>1234.7426268964139</v>
      </c>
      <c r="AM199" s="59">
        <f t="shared" si="193"/>
        <v>1528.0759602297471</v>
      </c>
      <c r="AN199" s="59">
        <f ca="1">AVERAGE(OFFSET($AM$3,0,0,'Données projet'!$E$10+1,1))-AVERAGE(OFFSET($H$3,0,0,'Données projet'!$E$10+1,1))</f>
        <v>465.77577582457678</v>
      </c>
      <c r="AO199" s="59">
        <f t="shared" si="205"/>
        <v>301.15495784503042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4.3196401823658759</v>
      </c>
      <c r="AV199" s="21">
        <f>EXP(-LN(2)/25)*AV198+(1-EXP(-LN(2)/25))/(LN(2)/25)*Calculateur!AQ199*Calculateur!AS199*VLOOKUP('Données projet'!$B$10,Paramètres!$A$1:$I$89,3,0)*0.475*44/12</f>
        <v>0.90987316199975599</v>
      </c>
      <c r="AW199" s="21">
        <f>EXP(-LN(2)/2)*AW198+(1-EXP(-LN(2)/2))/(LN(2)/2)*AQ199*AT199*VLOOKUP('Données projet'!$B$10,Paramètres!$A$1:$I$89,3,0)*0.475*44/12</f>
        <v>1.7629130502134281E-19</v>
      </c>
      <c r="AX199" s="21">
        <f t="shared" si="166"/>
        <v>5.2295133443656319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273.00000000000023</v>
      </c>
      <c r="BE199" s="13">
        <f>BD199*VLOOKUP('Données projet'!$B$11,Paramètres!$A$1:$I$89,3,0)*VLOOKUP('Données projet'!$B$11,Paramètres!$A$1:$I$89,5,0)</f>
        <v>212.9400000000002</v>
      </c>
      <c r="BF199" s="13">
        <f t="shared" si="167"/>
        <v>52.577528895212915</v>
      </c>
      <c r="BG199" s="20">
        <f t="shared" si="168"/>
        <v>462.44302949249618</v>
      </c>
      <c r="BH199" s="59">
        <f t="shared" si="194"/>
        <v>755.77636282582944</v>
      </c>
      <c r="BI199" s="59">
        <f ca="1">AVERAGE(OFFSET($BH$3,0,0,'Données projet'!$E$11+1,1))-AVERAGE(OFFSET($H$3,0,0,'Données projet'!$E$11+1,1))</f>
        <v>219.5868031007679</v>
      </c>
      <c r="BJ199" s="59">
        <f t="shared" si="206"/>
        <v>263.3830219837742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2.2082173262275564</v>
      </c>
      <c r="BQ199" s="21">
        <f>EXP(-LN(2)/25)*BQ198+(1-EXP(-LN(2)/25))/(LN(2)/25)*Calculateur!BL199*Calculateur!BN199*VLOOKUP('Données projet'!$B$11,Paramètres!$A$1:$I$89,3,0)*0.475*44/12</f>
        <v>0.1366584213590345</v>
      </c>
      <c r="BR199" s="21">
        <f>EXP(-LN(2)/2)*BR198+(1-EXP(-LN(2)/2))/(LN(2)/2)*BL199*BO199*VLOOKUP('Données projet'!$B$11,Paramètres!$A$1:$I$89,3,0)*0.475*44/12</f>
        <v>1.6650376578007097E-20</v>
      </c>
      <c r="BS199" s="22">
        <f t="shared" si="169"/>
        <v>2.3448757475865909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243.99999999999989</v>
      </c>
      <c r="BZ199" s="13">
        <f>BY199*VLOOKUP('Données projet'!$B$12,Paramètres!$A$1:$I$89,3,0)*VLOOKUP('Données projet'!$B$12,Paramètres!$A$1:$I$89,5,0)</f>
        <v>262.64159999999987</v>
      </c>
      <c r="CA199" s="13">
        <f t="shared" si="170"/>
        <v>63.285128621471941</v>
      </c>
      <c r="CB199" s="20">
        <f t="shared" si="171"/>
        <v>567.65571901573003</v>
      </c>
      <c r="CC199" s="59">
        <f t="shared" si="195"/>
        <v>860.98905234906329</v>
      </c>
      <c r="CD199" s="59">
        <f ca="1">AVERAGE(OFFSET($CC$3,0,0,'Données projet'!$E$12+1,1))-AVERAGE(OFFSET($H$3,0,0,'Données projet'!$E$12+1,1))</f>
        <v>244.7364260963538</v>
      </c>
      <c r="CE199" s="59">
        <f t="shared" si="207"/>
        <v>270.32853612539299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2.4197349594557509</v>
      </c>
      <c r="CL199" s="21">
        <f>EXP(-LN(2)/25)*CL198+(1-EXP(-LN(2)/25))/(LN(2)/25)*Calculateur!CG199*Calculateur!CI199*VLOOKUP('Données projet'!$B$12,Paramètres!$A$1:$I$89,3,0)*0.475*44/12</f>
        <v>0.15048939706254094</v>
      </c>
      <c r="CM199" s="21">
        <f>EXP(-LN(2)/2)*CM198+(1-EXP(-LN(2)/2))/(LN(2)/2)*CG199*CJ199*VLOOKUP('Données projet'!$B$12,Paramètres!$A$1:$I$89,3,0)*0.475*44/12</f>
        <v>1.7264310104788232E-20</v>
      </c>
      <c r="CN199" s="22">
        <f t="shared" si="172"/>
        <v>2.5702243565182918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243.99999999999989</v>
      </c>
      <c r="CU199" s="17">
        <f>CT199*VLOOKUP('Données projet'!$B$13,Paramètres!$A$1:$I$89,3,0)*VLOOKUP('Données projet'!$B$13,Paramètres!$A$1:$I$89,5,0)</f>
        <v>235.99679999999987</v>
      </c>
      <c r="CV199" s="13">
        <f t="shared" si="173"/>
        <v>57.577381127598322</v>
      </c>
      <c r="CW199" s="20">
        <f t="shared" si="174"/>
        <v>511.30836546390015</v>
      </c>
      <c r="CX199" s="59">
        <f t="shared" si="196"/>
        <v>804.6416987972334</v>
      </c>
      <c r="CY199" s="59">
        <f ca="1">AVERAGE(OFFSET($CX$3,0,0,'Données projet'!$E$13+1,1))-AVERAGE(OFFSET($H$3,0,0,'Données projet'!$E$13+1,1))</f>
        <v>216.39536568500222</v>
      </c>
      <c r="CZ199" s="59">
        <f t="shared" si="208"/>
        <v>239.44686980897467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2.1742546012500958</v>
      </c>
      <c r="DG199" s="21">
        <f>EXP(-LN(2)/25)*DG198+(1-EXP(-LN(2)/25))/(LN(2)/25)*Calculateur!DB199*Calculateur!DD199*VLOOKUP('Données projet'!$B$13,Paramètres!$A$1:$I$89,3,0)*0.475*44/12</f>
        <v>0.13522235678083364</v>
      </c>
      <c r="DH199" s="21">
        <f>EXP(-LN(2)/2)*DH198+(1-EXP(-LN(2)/2))/(LN(2)/2)*DB199*DE199*VLOOKUP('Données projet'!$B$13,Paramètres!$A$1:$I$89,3,0)*0.475*44/12</f>
        <v>1.5512858355027092E-20</v>
      </c>
      <c r="DI199" s="22">
        <f t="shared" si="175"/>
        <v>2.3094769580309293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116.78159999999957</v>
      </c>
      <c r="D200" s="11">
        <f t="shared" si="202"/>
        <v>30.923176792938367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1140.1772243665384</v>
      </c>
      <c r="H200" s="67">
        <f t="shared" si="192"/>
        <v>550.58581958103355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306.99999999999994</v>
      </c>
      <c r="O200" s="13">
        <f>N200*VLOOKUP('Données projet'!$B$9,Paramètres!$A$1:$I$89,3,0)*VLOOKUP('Données projet'!$B$9,Paramètres!$A$1:$I$89,5,0)</f>
        <v>277.77359999999993</v>
      </c>
      <c r="P200" s="13">
        <f t="shared" si="203"/>
        <v>66.496288176842356</v>
      </c>
      <c r="Q200" s="20">
        <f t="shared" si="162"/>
        <v>599.60338857466706</v>
      </c>
      <c r="R200" s="59">
        <f t="shared" si="191"/>
        <v>892.93672190800044</v>
      </c>
      <c r="S200" s="59">
        <f ca="1">AVERAGE(OFFSET($R$3,0,0,'Données projet'!$E$9+1,1))-AVERAGE(OFFSET($H$3,0,0,'Données projet'!$E$9+1,1))</f>
        <v>330.30341204367602</v>
      </c>
      <c r="T200" s="59">
        <f t="shared" si="204"/>
        <v>200.36653694091007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15.125425895739887</v>
      </c>
      <c r="AA200" s="21">
        <f>EXP(-LN(2)/25)*AA199+(1-EXP(-LN(2)/25))/(LN(2)/25)*Calculateur!V200*Calculateur!X200*VLOOKUP('Données projet'!$B$9,Paramètres!$A$1:$I$89,3,0)*0.475*44/12</f>
        <v>0.34148690043582031</v>
      </c>
      <c r="AB200" s="21">
        <f>EXP(-LN(2)/2)*AB199+(1-EXP(-LN(2)/2))/(LN(2)/2)*V200*Y200*VLOOKUP('Données projet'!$B$9,Paramètres!$A$1:$I$89,3,0)*0.475*44/12</f>
        <v>6.8515156868389912E-13</v>
      </c>
      <c r="AC200" s="22">
        <f t="shared" si="163"/>
        <v>15.466912796176393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971.99999999999977</v>
      </c>
      <c r="AJ200" s="13">
        <f>AI200*VLOOKUP('Données projet'!$B$10,Paramètres!$A$1:$I$89,3,0)*VLOOKUP('Données projet'!$B$10,Paramètres!$A$1:$I$89,5,0)</f>
        <v>581.25599999999986</v>
      </c>
      <c r="AK200" s="13">
        <f t="shared" si="164"/>
        <v>127.68713506014205</v>
      </c>
      <c r="AL200" s="20">
        <f t="shared" si="165"/>
        <v>1234.7426268964139</v>
      </c>
      <c r="AM200" s="59">
        <f t="shared" si="193"/>
        <v>1528.0759602297471</v>
      </c>
      <c r="AN200" s="59">
        <f ca="1">AVERAGE(OFFSET($AM$3,0,0,'Données projet'!$E$10+1,1))-AVERAGE(OFFSET($H$3,0,0,'Données projet'!$E$10+1,1))</f>
        <v>465.77577582457678</v>
      </c>
      <c r="AO200" s="59">
        <f t="shared" si="205"/>
        <v>301.15495784503042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4.2349346731100352</v>
      </c>
      <c r="AV200" s="21">
        <f>EXP(-LN(2)/25)*AV199+(1-EXP(-LN(2)/25))/(LN(2)/25)*Calculateur!AQ200*Calculateur!AS200*VLOOKUP('Données projet'!$B$10,Paramètres!$A$1:$I$89,3,0)*0.475*44/12</f>
        <v>0.88499263253672267</v>
      </c>
      <c r="AW200" s="21">
        <f>EXP(-LN(2)/2)*AW199+(1-EXP(-LN(2)/2))/(LN(2)/2)*AQ200*AT200*VLOOKUP('Données projet'!$B$10,Paramètres!$A$1:$I$89,3,0)*0.475*44/12</f>
        <v>1.2465677724481756E-19</v>
      </c>
      <c r="AX200" s="21">
        <f t="shared" si="166"/>
        <v>5.1199273056467582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273.00000000000023</v>
      </c>
      <c r="BE200" s="13">
        <f>BD200*VLOOKUP('Données projet'!$B$11,Paramètres!$A$1:$I$89,3,0)*VLOOKUP('Données projet'!$B$11,Paramètres!$A$1:$I$89,5,0)</f>
        <v>212.9400000000002</v>
      </c>
      <c r="BF200" s="13">
        <f t="shared" si="167"/>
        <v>52.577528895212915</v>
      </c>
      <c r="BG200" s="20">
        <f t="shared" si="168"/>
        <v>462.44302949249618</v>
      </c>
      <c r="BH200" s="59">
        <f t="shared" si="194"/>
        <v>755.77636282582944</v>
      </c>
      <c r="BI200" s="59">
        <f ca="1">AVERAGE(OFFSET($BH$3,0,0,'Données projet'!$E$11+1,1))-AVERAGE(OFFSET($H$3,0,0,'Données projet'!$E$11+1,1))</f>
        <v>219.5868031007679</v>
      </c>
      <c r="BJ200" s="59">
        <f t="shared" si="206"/>
        <v>263.3830219837742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2.1649155313398096</v>
      </c>
      <c r="BQ200" s="21">
        <f>EXP(-LN(2)/25)*BQ199+(1-EXP(-LN(2)/25))/(LN(2)/25)*Calculateur!BL200*Calculateur!BN200*VLOOKUP('Données projet'!$B$11,Paramètres!$A$1:$I$89,3,0)*0.475*44/12</f>
        <v>0.13292148964041767</v>
      </c>
      <c r="BR200" s="21">
        <f>EXP(-LN(2)/2)*BR199+(1-EXP(-LN(2)/2))/(LN(2)/2)*BL200*BO200*VLOOKUP('Données projet'!$B$11,Paramètres!$A$1:$I$89,3,0)*0.475*44/12</f>
        <v>1.1773594187618481E-20</v>
      </c>
      <c r="BS200" s="22">
        <f t="shared" si="169"/>
        <v>2.2978370209802272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243.99999999999989</v>
      </c>
      <c r="BZ200" s="13">
        <f>BY200*VLOOKUP('Données projet'!$B$12,Paramètres!$A$1:$I$89,3,0)*VLOOKUP('Données projet'!$B$12,Paramètres!$A$1:$I$89,5,0)</f>
        <v>262.64159999999987</v>
      </c>
      <c r="CA200" s="13">
        <f t="shared" si="170"/>
        <v>63.285128621471941</v>
      </c>
      <c r="CB200" s="20">
        <f t="shared" si="171"/>
        <v>567.65571901573003</v>
      </c>
      <c r="CC200" s="59">
        <f t="shared" si="195"/>
        <v>860.98905234906329</v>
      </c>
      <c r="CD200" s="59">
        <f ca="1">AVERAGE(OFFSET($CC$3,0,0,'Données projet'!$E$12+1,1))-AVERAGE(OFFSET($H$3,0,0,'Données projet'!$E$12+1,1))</f>
        <v>244.7364260963538</v>
      </c>
      <c r="CE200" s="59">
        <f t="shared" si="207"/>
        <v>270.32853612539299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2.3722854327934164</v>
      </c>
      <c r="CL200" s="21">
        <f>EXP(-LN(2)/25)*CL199+(1-EXP(-LN(2)/25))/(LN(2)/25)*Calculateur!CG200*Calculateur!CI200*VLOOKUP('Données projet'!$B$12,Paramètres!$A$1:$I$89,3,0)*0.475*44/12</f>
        <v>0.14637425658597231</v>
      </c>
      <c r="CM200" s="21">
        <f>EXP(-LN(2)/2)*CM199+(1-EXP(-LN(2)/2))/(LN(2)/2)*CG200*CJ200*VLOOKUP('Données projet'!$B$12,Paramètres!$A$1:$I$89,3,0)*0.475*44/12</f>
        <v>1.2207710747603194E-20</v>
      </c>
      <c r="CN200" s="22">
        <f t="shared" si="172"/>
        <v>2.5186596893793887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243.99999999999989</v>
      </c>
      <c r="CU200" s="17">
        <f>CT200*VLOOKUP('Données projet'!$B$13,Paramètres!$A$1:$I$89,3,0)*VLOOKUP('Données projet'!$B$13,Paramètres!$A$1:$I$89,5,0)</f>
        <v>235.99679999999987</v>
      </c>
      <c r="CV200" s="13">
        <f t="shared" si="173"/>
        <v>57.577381127598322</v>
      </c>
      <c r="CW200" s="20">
        <f t="shared" si="174"/>
        <v>511.30836546390015</v>
      </c>
      <c r="CX200" s="59">
        <f t="shared" si="196"/>
        <v>804.6416987972334</v>
      </c>
      <c r="CY200" s="59">
        <f ca="1">AVERAGE(OFFSET($CX$3,0,0,'Données projet'!$E$13+1,1))-AVERAGE(OFFSET($H$3,0,0,'Données projet'!$E$13+1,1))</f>
        <v>216.39536568500222</v>
      </c>
      <c r="CZ200" s="59">
        <f t="shared" si="208"/>
        <v>239.44686980897467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2.1316187946839404</v>
      </c>
      <c r="DG200" s="21">
        <f>EXP(-LN(2)/25)*DG199+(1-EXP(-LN(2)/25))/(LN(2)/25)*Calculateur!DB200*Calculateur!DD200*VLOOKUP('Données projet'!$B$13,Paramètres!$A$1:$I$89,3,0)*0.475*44/12</f>
        <v>0.13152469432362704</v>
      </c>
      <c r="DH200" s="21">
        <f>EXP(-LN(2)/2)*DH199+(1-EXP(-LN(2)/2))/(LN(2)/2)*DB200*DE200*VLOOKUP('Données projet'!$B$13,Paramètres!$A$1:$I$89,3,0)*0.475*44/12</f>
        <v>1.0969247338426048E-20</v>
      </c>
      <c r="DI200" s="22">
        <f t="shared" si="175"/>
        <v>2.2631434890075677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117.37439999999957</v>
      </c>
      <c r="D201" s="11">
        <f t="shared" si="202"/>
        <v>31.061834975351793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1145.8235682307825</v>
      </c>
      <c r="H201" s="67">
        <f t="shared" si="192"/>
        <v>551.85977591540359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306.99999999999994</v>
      </c>
      <c r="O201" s="13">
        <f>N201*VLOOKUP('Données projet'!$B$9,Paramètres!$A$1:$I$89,3,0)*VLOOKUP('Données projet'!$B$9,Paramètres!$A$1:$I$89,5,0)</f>
        <v>277.77359999999993</v>
      </c>
      <c r="P201" s="13">
        <f t="shared" si="203"/>
        <v>66.496288176842356</v>
      </c>
      <c r="Q201" s="20">
        <f t="shared" si="162"/>
        <v>599.60338857466706</v>
      </c>
      <c r="R201" s="59">
        <f t="shared" si="191"/>
        <v>892.93672190800044</v>
      </c>
      <c r="S201" s="59">
        <f ca="1">AVERAGE(OFFSET($R$3,0,0,'Données projet'!$E$9+1,1))-AVERAGE(OFFSET($H$3,0,0,'Données projet'!$E$9+1,1))</f>
        <v>330.30341204367602</v>
      </c>
      <c r="T201" s="59">
        <f t="shared" si="204"/>
        <v>200.36653694091007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14.828825519523273</v>
      </c>
      <c r="AA201" s="21">
        <f>EXP(-LN(2)/25)*AA200+(1-EXP(-LN(2)/25))/(LN(2)/25)*Calculateur!V201*Calculateur!X201*VLOOKUP('Données projet'!$B$9,Paramètres!$A$1:$I$89,3,0)*0.475*44/12</f>
        <v>0.33214892318538719</v>
      </c>
      <c r="AB201" s="21">
        <f>EXP(-LN(2)/2)*AB200+(1-EXP(-LN(2)/2))/(LN(2)/2)*V201*Y201*VLOOKUP('Données projet'!$B$9,Paramètres!$A$1:$I$89,3,0)*0.475*44/12</f>
        <v>4.8447532035698564E-13</v>
      </c>
      <c r="AC201" s="22">
        <f t="shared" si="163"/>
        <v>15.160974442709145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971.99999999999977</v>
      </c>
      <c r="AJ201" s="13">
        <f>AI201*VLOOKUP('Données projet'!$B$10,Paramètres!$A$1:$I$89,3,0)*VLOOKUP('Données projet'!$B$10,Paramètres!$A$1:$I$89,5,0)</f>
        <v>581.25599999999986</v>
      </c>
      <c r="AK201" s="13">
        <f t="shared" si="164"/>
        <v>127.68713506014205</v>
      </c>
      <c r="AL201" s="20">
        <f t="shared" si="165"/>
        <v>1234.7426268964139</v>
      </c>
      <c r="AM201" s="59">
        <f t="shared" si="193"/>
        <v>1528.0759602297471</v>
      </c>
      <c r="AN201" s="59">
        <f ca="1">AVERAGE(OFFSET($AM$3,0,0,'Données projet'!$E$10+1,1))-AVERAGE(OFFSET($H$3,0,0,'Données projet'!$E$10+1,1))</f>
        <v>465.77577582457678</v>
      </c>
      <c r="AO201" s="59">
        <f t="shared" si="205"/>
        <v>301.15495784503042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4.1518901872254421</v>
      </c>
      <c r="AV201" s="21">
        <f>EXP(-LN(2)/25)*AV200+(1-EXP(-LN(2)/25))/(LN(2)/25)*Calculateur!AQ201*Calculateur!AS201*VLOOKUP('Données projet'!$B$10,Paramètres!$A$1:$I$89,3,0)*0.475*44/12</f>
        <v>0.86079246246026608</v>
      </c>
      <c r="AW201" s="21">
        <f>EXP(-LN(2)/2)*AW200+(1-EXP(-LN(2)/2))/(LN(2)/2)*AQ201*AT201*VLOOKUP('Données projet'!$B$10,Paramètres!$A$1:$I$89,3,0)*0.475*44/12</f>
        <v>8.8145652510671407E-20</v>
      </c>
      <c r="AX201" s="21">
        <f t="shared" si="166"/>
        <v>5.0126826496857078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273.00000000000023</v>
      </c>
      <c r="BE201" s="13">
        <f>BD201*VLOOKUP('Données projet'!$B$11,Paramètres!$A$1:$I$89,3,0)*VLOOKUP('Données projet'!$B$11,Paramètres!$A$1:$I$89,5,0)</f>
        <v>212.9400000000002</v>
      </c>
      <c r="BF201" s="13">
        <f t="shared" si="167"/>
        <v>52.577528895212915</v>
      </c>
      <c r="BG201" s="20">
        <f t="shared" si="168"/>
        <v>462.44302949249618</v>
      </c>
      <c r="BH201" s="59">
        <f t="shared" si="194"/>
        <v>755.77636282582944</v>
      </c>
      <c r="BI201" s="59">
        <f ca="1">AVERAGE(OFFSET($BH$3,0,0,'Données projet'!$E$11+1,1))-AVERAGE(OFFSET($H$3,0,0,'Données projet'!$E$11+1,1))</f>
        <v>219.5868031007679</v>
      </c>
      <c r="BJ201" s="59">
        <f t="shared" si="206"/>
        <v>263.3830219837742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2.1224628582383245</v>
      </c>
      <c r="BQ201" s="21">
        <f>EXP(-LN(2)/25)*BQ200+(1-EXP(-LN(2)/25))/(LN(2)/25)*Calculateur!BL201*Calculateur!BN201*VLOOKUP('Données projet'!$B$11,Paramètres!$A$1:$I$89,3,0)*0.475*44/12</f>
        <v>0.12928674451616309</v>
      </c>
      <c r="BR201" s="21">
        <f>EXP(-LN(2)/2)*BR200+(1-EXP(-LN(2)/2))/(LN(2)/2)*BL201*BO201*VLOOKUP('Données projet'!$B$11,Paramètres!$A$1:$I$89,3,0)*0.475*44/12</f>
        <v>8.3251882890035487E-21</v>
      </c>
      <c r="BS201" s="22">
        <f t="shared" si="169"/>
        <v>2.2517496027544874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243.99999999999989</v>
      </c>
      <c r="BZ201" s="13">
        <f>BY201*VLOOKUP('Données projet'!$B$12,Paramètres!$A$1:$I$89,3,0)*VLOOKUP('Données projet'!$B$12,Paramètres!$A$1:$I$89,5,0)</f>
        <v>262.64159999999987</v>
      </c>
      <c r="CA201" s="13">
        <f t="shared" si="170"/>
        <v>63.285128621471941</v>
      </c>
      <c r="CB201" s="20">
        <f t="shared" si="171"/>
        <v>567.65571901573003</v>
      </c>
      <c r="CC201" s="59">
        <f t="shared" si="195"/>
        <v>860.98905234906329</v>
      </c>
      <c r="CD201" s="59">
        <f ca="1">AVERAGE(OFFSET($CC$3,0,0,'Données projet'!$E$12+1,1))-AVERAGE(OFFSET($H$3,0,0,'Données projet'!$E$12+1,1))</f>
        <v>244.7364260963538</v>
      </c>
      <c r="CE201" s="59">
        <f t="shared" si="207"/>
        <v>270.32853612539299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2.3257663624075771</v>
      </c>
      <c r="CL201" s="21">
        <f>EXP(-LN(2)/25)*CL200+(1-EXP(-LN(2)/25))/(LN(2)/25)*Calculateur!CG201*Calculateur!CI201*VLOOKUP('Données projet'!$B$12,Paramètres!$A$1:$I$89,3,0)*0.475*44/12</f>
        <v>0.14237164484214129</v>
      </c>
      <c r="CM201" s="21">
        <f>EXP(-LN(2)/2)*CM200+(1-EXP(-LN(2)/2))/(LN(2)/2)*CG201*CJ201*VLOOKUP('Données projet'!$B$12,Paramètres!$A$1:$I$89,3,0)*0.475*44/12</f>
        <v>8.6321550523941158E-21</v>
      </c>
      <c r="CN201" s="22">
        <f t="shared" si="172"/>
        <v>2.4681380072497183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243.99999999999989</v>
      </c>
      <c r="CU201" s="17">
        <f>CT201*VLOOKUP('Données projet'!$B$13,Paramètres!$A$1:$I$89,3,0)*VLOOKUP('Données projet'!$B$13,Paramètres!$A$1:$I$89,5,0)</f>
        <v>235.99679999999987</v>
      </c>
      <c r="CV201" s="13">
        <f t="shared" si="173"/>
        <v>57.577381127598322</v>
      </c>
      <c r="CW201" s="20">
        <f t="shared" si="174"/>
        <v>511.30836546390015</v>
      </c>
      <c r="CX201" s="59">
        <f t="shared" si="196"/>
        <v>804.6416987972334</v>
      </c>
      <c r="CY201" s="59">
        <f ca="1">AVERAGE(OFFSET($CX$3,0,0,'Données projet'!$E$13+1,1))-AVERAGE(OFFSET($H$3,0,0,'Données projet'!$E$13+1,1))</f>
        <v>216.39536568500222</v>
      </c>
      <c r="CZ201" s="59">
        <f t="shared" si="208"/>
        <v>239.44686980897467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2.0898190502792731</v>
      </c>
      <c r="DG201" s="21">
        <f>EXP(-LN(2)/25)*DG200+(1-EXP(-LN(2)/25))/(LN(2)/25)*Calculateur!DB201*Calculateur!DD201*VLOOKUP('Données projet'!$B$13,Paramètres!$A$1:$I$89,3,0)*0.475*44/12</f>
        <v>0.12792814464076438</v>
      </c>
      <c r="DH201" s="21">
        <f>EXP(-LN(2)/2)*DH200+(1-EXP(-LN(2)/2))/(LN(2)/2)*DB201*DE201*VLOOKUP('Données projet'!$B$13,Paramètres!$A$1:$I$89,3,0)*0.475*44/12</f>
        <v>7.7564291775135458E-21</v>
      </c>
      <c r="DI201" s="22">
        <f t="shared" si="175"/>
        <v>2.2177471949200376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117.96719999999956</v>
      </c>
      <c r="D202" s="11">
        <f t="shared" si="202"/>
        <v>31.200411667150068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1151.4692830446638</v>
      </c>
      <c r="H202" s="67">
        <f t="shared" si="192"/>
        <v>553.13359032028552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306.99999999999994</v>
      </c>
      <c r="O202" s="13">
        <f>N202*VLOOKUP('Données projet'!$B$9,Paramètres!$A$1:$I$89,3,0)*VLOOKUP('Données projet'!$B$9,Paramètres!$A$1:$I$89,5,0)</f>
        <v>277.77359999999993</v>
      </c>
      <c r="P202" s="13">
        <f t="shared" si="203"/>
        <v>66.496288176842356</v>
      </c>
      <c r="Q202" s="20">
        <f t="shared" si="162"/>
        <v>599.60338857466706</v>
      </c>
      <c r="R202" s="59">
        <f t="shared" si="191"/>
        <v>892.93672190800044</v>
      </c>
      <c r="S202" s="59">
        <f ca="1">AVERAGE(OFFSET($R$3,0,0,'Données projet'!$E$9+1,1))-AVERAGE(OFFSET($H$3,0,0,'Données projet'!$E$9+1,1))</f>
        <v>330.30341204367602</v>
      </c>
      <c r="T202" s="59">
        <f t="shared" si="204"/>
        <v>200.36653694091007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14.5380412957759</v>
      </c>
      <c r="AA202" s="21">
        <f>EXP(-LN(2)/25)*AA201+(1-EXP(-LN(2)/25))/(LN(2)/25)*Calculateur!V202*Calculateur!X202*VLOOKUP('Données projet'!$B$9,Paramètres!$A$1:$I$89,3,0)*0.475*44/12</f>
        <v>0.32306629341393006</v>
      </c>
      <c r="AB202" s="21">
        <f>EXP(-LN(2)/2)*AB201+(1-EXP(-LN(2)/2))/(LN(2)/2)*V202*Y202*VLOOKUP('Données projet'!$B$9,Paramètres!$A$1:$I$89,3,0)*0.475*44/12</f>
        <v>3.4257578434194956E-13</v>
      </c>
      <c r="AC202" s="22">
        <f t="shared" si="163"/>
        <v>14.861107589190173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971.99999999999977</v>
      </c>
      <c r="AJ202" s="13">
        <f>AI202*VLOOKUP('Données projet'!$B$10,Paramètres!$A$1:$I$89,3,0)*VLOOKUP('Données projet'!$B$10,Paramètres!$A$1:$I$89,5,0)</f>
        <v>581.25599999999986</v>
      </c>
      <c r="AK202" s="13">
        <f t="shared" si="164"/>
        <v>127.68713506014205</v>
      </c>
      <c r="AL202" s="20">
        <f t="shared" si="165"/>
        <v>1234.7426268964139</v>
      </c>
      <c r="AM202" s="59">
        <f t="shared" si="193"/>
        <v>1528.0759602297471</v>
      </c>
      <c r="AN202" s="59">
        <f ca="1">AVERAGE(OFFSET($AM$3,0,0,'Données projet'!$E$10+1,1))-AVERAGE(OFFSET($H$3,0,0,'Données projet'!$E$10+1,1))</f>
        <v>465.77577582457678</v>
      </c>
      <c r="AO202" s="59">
        <f t="shared" si="205"/>
        <v>301.15495784503042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4.0704741530569111</v>
      </c>
      <c r="AV202" s="21">
        <f>EXP(-LN(2)/25)*AV201+(1-EXP(-LN(2)/25))/(LN(2)/25)*Calculateur!AQ202*Calculateur!AS202*VLOOKUP('Données projet'!$B$10,Paramètres!$A$1:$I$89,3,0)*0.475*44/12</f>
        <v>0.83725404730718189</v>
      </c>
      <c r="AW202" s="21">
        <f>EXP(-LN(2)/2)*AW201+(1-EXP(-LN(2)/2))/(LN(2)/2)*AQ202*AT202*VLOOKUP('Données projet'!$B$10,Paramètres!$A$1:$I$89,3,0)*0.475*44/12</f>
        <v>6.232838862240878E-20</v>
      </c>
      <c r="AX202" s="21">
        <f t="shared" si="166"/>
        <v>4.907728200364093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273.00000000000023</v>
      </c>
      <c r="BE202" s="13">
        <f>BD202*VLOOKUP('Données projet'!$B$11,Paramètres!$A$1:$I$89,3,0)*VLOOKUP('Données projet'!$B$11,Paramètres!$A$1:$I$89,5,0)</f>
        <v>212.9400000000002</v>
      </c>
      <c r="BF202" s="13">
        <f t="shared" si="167"/>
        <v>52.577528895212915</v>
      </c>
      <c r="BG202" s="20">
        <f t="shared" si="168"/>
        <v>462.44302949249618</v>
      </c>
      <c r="BH202" s="59">
        <f t="shared" si="194"/>
        <v>755.77636282582944</v>
      </c>
      <c r="BI202" s="59">
        <f ca="1">AVERAGE(OFFSET($BH$3,0,0,'Données projet'!$E$11+1,1))-AVERAGE(OFFSET($H$3,0,0,'Données projet'!$E$11+1,1))</f>
        <v>219.5868031007679</v>
      </c>
      <c r="BJ202" s="59">
        <f t="shared" si="206"/>
        <v>263.3830219837742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2.080842656162786</v>
      </c>
      <c r="BQ202" s="21">
        <f>EXP(-LN(2)/25)*BQ201+(1-EXP(-LN(2)/25))/(LN(2)/25)*Calculateur!BL202*Calculateur!BN202*VLOOKUP('Données projet'!$B$11,Paramètres!$A$1:$I$89,3,0)*0.475*44/12</f>
        <v>0.12575139168847421</v>
      </c>
      <c r="BR202" s="21">
        <f>EXP(-LN(2)/2)*BR201+(1-EXP(-LN(2)/2))/(LN(2)/2)*BL202*BO202*VLOOKUP('Données projet'!$B$11,Paramètres!$A$1:$I$89,3,0)*0.475*44/12</f>
        <v>5.8867970938092404E-21</v>
      </c>
      <c r="BS202" s="22">
        <f t="shared" si="169"/>
        <v>2.2065940478512602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243.99999999999989</v>
      </c>
      <c r="BZ202" s="13">
        <f>BY202*VLOOKUP('Données projet'!$B$12,Paramètres!$A$1:$I$89,3,0)*VLOOKUP('Données projet'!$B$12,Paramètres!$A$1:$I$89,5,0)</f>
        <v>262.64159999999987</v>
      </c>
      <c r="CA202" s="13">
        <f t="shared" si="170"/>
        <v>63.285128621471941</v>
      </c>
      <c r="CB202" s="20">
        <f t="shared" si="171"/>
        <v>567.65571901573003</v>
      </c>
      <c r="CC202" s="59">
        <f t="shared" si="195"/>
        <v>860.98905234906329</v>
      </c>
      <c r="CD202" s="59">
        <f ca="1">AVERAGE(OFFSET($CC$3,0,0,'Données projet'!$E$12+1,1))-AVERAGE(OFFSET($H$3,0,0,'Données projet'!$E$12+1,1))</f>
        <v>244.7364260963538</v>
      </c>
      <c r="CE202" s="59">
        <f t="shared" si="207"/>
        <v>270.32853612539299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2.2801595026181727</v>
      </c>
      <c r="CL202" s="21">
        <f>EXP(-LN(2)/25)*CL201+(1-EXP(-LN(2)/25))/(LN(2)/25)*Calculateur!CG202*Calculateur!CI202*VLOOKUP('Données projet'!$B$12,Paramètres!$A$1:$I$89,3,0)*0.475*44/12</f>
        <v>0.13847848472693353</v>
      </c>
      <c r="CM202" s="21">
        <f>EXP(-LN(2)/2)*CM201+(1-EXP(-LN(2)/2))/(LN(2)/2)*CG202*CJ202*VLOOKUP('Données projet'!$B$12,Paramètres!$A$1:$I$89,3,0)*0.475*44/12</f>
        <v>6.1038553738015968E-21</v>
      </c>
      <c r="CN202" s="22">
        <f t="shared" si="172"/>
        <v>2.418637987345106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243.99999999999989</v>
      </c>
      <c r="CU202" s="17">
        <f>CT202*VLOOKUP('Données projet'!$B$13,Paramètres!$A$1:$I$89,3,0)*VLOOKUP('Données projet'!$B$13,Paramètres!$A$1:$I$89,5,0)</f>
        <v>235.99679999999987</v>
      </c>
      <c r="CV202" s="13">
        <f t="shared" si="173"/>
        <v>57.577381127598322</v>
      </c>
      <c r="CW202" s="20">
        <f t="shared" si="174"/>
        <v>511.30836546390015</v>
      </c>
      <c r="CX202" s="59">
        <f t="shared" si="196"/>
        <v>804.6416987972334</v>
      </c>
      <c r="CY202" s="59">
        <f ca="1">AVERAGE(OFFSET($CX$3,0,0,'Données projet'!$E$13+1,1))-AVERAGE(OFFSET($H$3,0,0,'Données projet'!$E$13+1,1))</f>
        <v>216.39536568500222</v>
      </c>
      <c r="CZ202" s="59">
        <f t="shared" si="208"/>
        <v>239.44686980897467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2.0488389733670545</v>
      </c>
      <c r="DG202" s="21">
        <f>EXP(-LN(2)/25)*DG201+(1-EXP(-LN(2)/25))/(LN(2)/25)*Calculateur!DB202*Calculateur!DD202*VLOOKUP('Données projet'!$B$13,Paramètres!$A$1:$I$89,3,0)*0.475*44/12</f>
        <v>0.12442994279811394</v>
      </c>
      <c r="DH202" s="21">
        <f>EXP(-LN(2)/2)*DH201+(1-EXP(-LN(2)/2))/(LN(2)/2)*DB202*DE202*VLOOKUP('Données projet'!$B$13,Paramètres!$A$1:$I$89,3,0)*0.475*44/12</f>
        <v>5.4846236692130238E-21</v>
      </c>
      <c r="DI202" s="22">
        <f t="shared" si="175"/>
        <v>2.1732689161651684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118.55999999999956</v>
      </c>
      <c r="D203" s="11">
        <f t="shared" si="202"/>
        <v>31.338907325369796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1157.1143723361845</v>
      </c>
      <c r="H203" s="67">
        <f t="shared" si="192"/>
        <v>554.40726359168491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306.99999999999994</v>
      </c>
      <c r="O203" s="13">
        <f>N203*VLOOKUP('Données projet'!$B$9,Paramètres!$A$1:$I$89,3,0)*VLOOKUP('Données projet'!$B$9,Paramètres!$A$1:$I$89,5,0)</f>
        <v>277.77359999999993</v>
      </c>
      <c r="P203" s="13">
        <f t="shared" si="203"/>
        <v>66.496288176842356</v>
      </c>
      <c r="Q203" s="20">
        <f t="shared" si="162"/>
        <v>599.60338857466706</v>
      </c>
      <c r="R203" s="59">
        <f t="shared" si="191"/>
        <v>892.93672190800044</v>
      </c>
      <c r="S203" s="59">
        <f ca="1">AVERAGE(OFFSET($R$3,0,0,'Données projet'!$E$9+1,1))-AVERAGE(OFFSET($H$3,0,0,'Données projet'!$E$9+1,1))</f>
        <v>330.30341204367602</v>
      </c>
      <c r="T203" s="59">
        <f t="shared" si="204"/>
        <v>200.36653694091007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14.252959173295348</v>
      </c>
      <c r="AA203" s="21">
        <f>EXP(-LN(2)/25)*AA202+(1-EXP(-LN(2)/25))/(LN(2)/25)*Calculateur!V203*Calculateur!X203*VLOOKUP('Données projet'!$B$9,Paramètres!$A$1:$I$89,3,0)*0.475*44/12</f>
        <v>0.31423202863120814</v>
      </c>
      <c r="AB203" s="21">
        <f>EXP(-LN(2)/2)*AB202+(1-EXP(-LN(2)/2))/(LN(2)/2)*V203*Y203*VLOOKUP('Données projet'!$B$9,Paramètres!$A$1:$I$89,3,0)*0.475*44/12</f>
        <v>2.4223766017849282E-13</v>
      </c>
      <c r="AC203" s="22">
        <f t="shared" si="163"/>
        <v>14.567191201926798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971.99999999999977</v>
      </c>
      <c r="AJ203" s="13">
        <f>AI203*VLOOKUP('Données projet'!$B$10,Paramètres!$A$1:$I$89,3,0)*VLOOKUP('Données projet'!$B$10,Paramètres!$A$1:$I$89,5,0)</f>
        <v>581.25599999999986</v>
      </c>
      <c r="AK203" s="13">
        <f t="shared" si="164"/>
        <v>127.68713506014205</v>
      </c>
      <c r="AL203" s="20">
        <f t="shared" si="165"/>
        <v>1234.7426268964139</v>
      </c>
      <c r="AM203" s="59">
        <f t="shared" si="193"/>
        <v>1528.0759602297471</v>
      </c>
      <c r="AN203" s="59">
        <f ca="1">AVERAGE(OFFSET($AM$3,0,0,'Données projet'!$E$10+1,1))-AVERAGE(OFFSET($H$3,0,0,'Données projet'!$E$10+1,1))</f>
        <v>465.77577582457678</v>
      </c>
      <c r="AO203" s="59">
        <f t="shared" si="205"/>
        <v>301.15495784503042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3.990654637659548</v>
      </c>
      <c r="AV203" s="21">
        <f>EXP(-LN(2)/25)*AV202+(1-EXP(-LN(2)/25))/(LN(2)/25)*Calculateur!AQ203*Calculateur!AS203*VLOOKUP('Données projet'!$B$10,Paramètres!$A$1:$I$89,3,0)*0.475*44/12</f>
        <v>0.81435929135429019</v>
      </c>
      <c r="AW203" s="21">
        <f>EXP(-LN(2)/2)*AW202+(1-EXP(-LN(2)/2))/(LN(2)/2)*AQ203*AT203*VLOOKUP('Données projet'!$B$10,Paramètres!$A$1:$I$89,3,0)*0.475*44/12</f>
        <v>4.4072826255335703E-20</v>
      </c>
      <c r="AX203" s="21">
        <f t="shared" si="166"/>
        <v>4.8050139290138381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273.00000000000023</v>
      </c>
      <c r="BE203" s="13">
        <f>BD203*VLOOKUP('Données projet'!$B$11,Paramètres!$A$1:$I$89,3,0)*VLOOKUP('Données projet'!$B$11,Paramètres!$A$1:$I$89,5,0)</f>
        <v>212.9400000000002</v>
      </c>
      <c r="BF203" s="13">
        <f t="shared" si="167"/>
        <v>52.577528895212915</v>
      </c>
      <c r="BG203" s="20">
        <f t="shared" si="168"/>
        <v>462.44302949249618</v>
      </c>
      <c r="BH203" s="59">
        <f t="shared" si="194"/>
        <v>755.77636282582944</v>
      </c>
      <c r="BI203" s="59">
        <f ca="1">AVERAGE(OFFSET($BH$3,0,0,'Données projet'!$E$11+1,1))-AVERAGE(OFFSET($H$3,0,0,'Données projet'!$E$11+1,1))</f>
        <v>219.5868031007679</v>
      </c>
      <c r="BJ203" s="59">
        <f t="shared" si="206"/>
        <v>263.3830219837742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2.0400386008641318</v>
      </c>
      <c r="BQ203" s="21">
        <f>EXP(-LN(2)/25)*BQ202+(1-EXP(-LN(2)/25))/(LN(2)/25)*Calculateur!BL203*Calculateur!BN203*VLOOKUP('Données projet'!$B$11,Paramètres!$A$1:$I$89,3,0)*0.475*44/12</f>
        <v>0.12231271326977461</v>
      </c>
      <c r="BR203" s="21">
        <f>EXP(-LN(2)/2)*BR202+(1-EXP(-LN(2)/2))/(LN(2)/2)*BL203*BO203*VLOOKUP('Données projet'!$B$11,Paramètres!$A$1:$I$89,3,0)*0.475*44/12</f>
        <v>4.1625941445017743E-21</v>
      </c>
      <c r="BS203" s="22">
        <f t="shared" si="169"/>
        <v>2.1623513141339066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243.99999999999989</v>
      </c>
      <c r="BZ203" s="13">
        <f>BY203*VLOOKUP('Données projet'!$B$12,Paramètres!$A$1:$I$89,3,0)*VLOOKUP('Données projet'!$B$12,Paramètres!$A$1:$I$89,5,0)</f>
        <v>262.64159999999987</v>
      </c>
      <c r="CA203" s="13">
        <f t="shared" si="170"/>
        <v>63.285128621471941</v>
      </c>
      <c r="CB203" s="20">
        <f t="shared" si="171"/>
        <v>567.65571901573003</v>
      </c>
      <c r="CC203" s="59">
        <f t="shared" si="195"/>
        <v>860.98905234906329</v>
      </c>
      <c r="CD203" s="59">
        <f ca="1">AVERAGE(OFFSET($CC$3,0,0,'Données projet'!$E$12+1,1))-AVERAGE(OFFSET($H$3,0,0,'Données projet'!$E$12+1,1))</f>
        <v>244.7364260963538</v>
      </c>
      <c r="CE203" s="59">
        <f t="shared" si="207"/>
        <v>270.32853612539299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2.2354469655318008</v>
      </c>
      <c r="CL203" s="21">
        <f>EXP(-LN(2)/25)*CL202+(1-EXP(-LN(2)/25))/(LN(2)/25)*Calculateur!CG203*Calculateur!CI203*VLOOKUP('Données projet'!$B$12,Paramètres!$A$1:$I$89,3,0)*0.475*44/12</f>
        <v>0.13469178327980852</v>
      </c>
      <c r="CM203" s="21">
        <f>EXP(-LN(2)/2)*CM202+(1-EXP(-LN(2)/2))/(LN(2)/2)*CG203*CJ203*VLOOKUP('Données projet'!$B$12,Paramètres!$A$1:$I$89,3,0)*0.475*44/12</f>
        <v>4.3160775261970579E-21</v>
      </c>
      <c r="CN203" s="22">
        <f t="shared" si="172"/>
        <v>2.3701387488116095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243.99999999999989</v>
      </c>
      <c r="CU203" s="17">
        <f>CT203*VLOOKUP('Données projet'!$B$13,Paramètres!$A$1:$I$89,3,0)*VLOOKUP('Données projet'!$B$13,Paramètres!$A$1:$I$89,5,0)</f>
        <v>235.99679999999987</v>
      </c>
      <c r="CV203" s="13">
        <f t="shared" si="173"/>
        <v>57.577381127598322</v>
      </c>
      <c r="CW203" s="20">
        <f t="shared" si="174"/>
        <v>511.30836546390015</v>
      </c>
      <c r="CX203" s="59">
        <f t="shared" si="196"/>
        <v>804.6416987972334</v>
      </c>
      <c r="CY203" s="59">
        <f ca="1">AVERAGE(OFFSET($CX$3,0,0,'Données projet'!$E$13+1,1))-AVERAGE(OFFSET($H$3,0,0,'Données projet'!$E$13+1,1))</f>
        <v>216.39536568500222</v>
      </c>
      <c r="CZ203" s="59">
        <f t="shared" si="208"/>
        <v>239.44686980897467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2.0086624907677058</v>
      </c>
      <c r="DG203" s="21">
        <f>EXP(-LN(2)/25)*DG202+(1-EXP(-LN(2)/25))/(LN(2)/25)*Calculateur!DB203*Calculateur!DD203*VLOOKUP('Données projet'!$B$13,Paramètres!$A$1:$I$89,3,0)*0.475*44/12</f>
        <v>0.1210273994688132</v>
      </c>
      <c r="DH203" s="21">
        <f>EXP(-LN(2)/2)*DH202+(1-EXP(-LN(2)/2))/(LN(2)/2)*DB203*DE203*VLOOKUP('Données projet'!$B$13,Paramètres!$A$1:$I$89,3,0)*0.475*44/12</f>
        <v>3.8782145887567729E-21</v>
      </c>
      <c r="DI203" s="22">
        <f t="shared" si="175"/>
        <v>2.1296898902365191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1.2392705892426346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1.2773884700017502</v>
      </c>
      <c r="BA205" s="82">
        <f>EXP(LN('Données projet'!B88)/'Données projet'!A88)</f>
        <v>1.2688471048731957</v>
      </c>
      <c r="BV205" s="82">
        <f>EXP(LN('Données projet'!B114)/'Données projet'!A114)</f>
        <v>1.1966732973638288</v>
      </c>
      <c r="CQ205" s="82">
        <f>EXP(LN('Données projet'!B140)/'Données projet'!A140)</f>
        <v>1.1966732973638288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"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sessile</v>
      </c>
      <c r="B6" s="146">
        <f>'Données projet'!D9</f>
        <v>2.72</v>
      </c>
      <c r="C6" s="147">
        <f ca="1">IF(OR('Données projet'!B9="",'Données projet'!C9="",'Données projet'!C9=0%),0,Calculateur!S3)</f>
        <v>330.30341204367602</v>
      </c>
      <c r="D6" s="147">
        <f>IF(OR('Données projet'!B9="",'Données projet'!C9="",'Données projet'!C9=0%),0,Calculateur!T3)</f>
        <v>200.36653694091007</v>
      </c>
      <c r="E6" s="147">
        <f ca="1">MIN(C6,D6)</f>
        <v>200.36653694091007</v>
      </c>
      <c r="F6" s="147">
        <f ca="1">E6*B6</f>
        <v>544.99698047927541</v>
      </c>
      <c r="G6" s="147">
        <f ca="1">F6*(100%-'Données projet'!$C$24)*(100%-'Données projet'!$C$25)*(100%-'Données projet'!$C$26)*(100%-'Données projet'!$C$27)</f>
        <v>490.49728243134786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42.160000000000004</v>
      </c>
      <c r="K6" s="151">
        <f>J6*(100%-'Données projet'!$C$24)*(100%-'Données projet'!$C$25)*(100%-'Données projet'!$C$26)*(100%-'Données projet'!$C$27)</f>
        <v>37.944000000000003</v>
      </c>
      <c r="L6" s="152">
        <f ca="1">G6+I6+K6</f>
        <v>528.44128243134787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Pin laricio</v>
      </c>
      <c r="B7" s="154">
        <f>'Données projet'!D10</f>
        <v>2.72</v>
      </c>
      <c r="C7" s="147">
        <f ca="1">IF(OR('Données projet'!B10="",'Données projet'!C10="",'Données projet'!C10=0%),0,Calculateur!AN3)</f>
        <v>465.77577582457678</v>
      </c>
      <c r="D7" s="147">
        <f>IF(OR('Données projet'!B10="",'Données projet'!C10="",'Données projet'!C10=0%),0,Calculateur!AO3)</f>
        <v>301.15495784503042</v>
      </c>
      <c r="E7" s="147">
        <f t="shared" ref="E7:E15" ca="1" si="0">MIN(C7,D7)</f>
        <v>301.15495784503042</v>
      </c>
      <c r="F7" s="147">
        <f t="shared" ref="F7:F15" ca="1" si="1">E7*B7</f>
        <v>819.14148533848277</v>
      </c>
      <c r="G7" s="147">
        <f ca="1">F7*(100%-'Données projet'!$C$24)*(100%-'Données projet'!$C$25)*(100%-'Données projet'!$C$26)*(100%-'Données projet'!$C$27)</f>
        <v>737.22733680463455</v>
      </c>
      <c r="H7" s="155">
        <f>IF(OR('Données projet'!B10="",'Données projet'!C10="",'Données projet'!C10=0%),0,AVERAGE(Calculateur!$AX$3:$AX$33)*B7)</f>
        <v>29.462427579560373</v>
      </c>
      <c r="I7" s="149">
        <f>H7*(100%-'Données projet'!$C$24)*(100%-'Données projet'!$C$25)*(100%-'Données projet'!$C$26)*(100%-'Données projet'!$C$27)</f>
        <v>26.516184821604337</v>
      </c>
      <c r="J7" s="150">
        <f>IF(OR('Données projet'!B10="",'Données projet'!C10="",'Données projet'!C10=0%),0,SUM(Calculateur!$AQ$3:$AQ$33)*VLOOKUP('Données projet'!$B$10,Paramètres!$A$1:$I$89,9,0)*B7)</f>
        <v>202.34080000000003</v>
      </c>
      <c r="K7" s="151">
        <f>J7*(100%-'Données projet'!$C$24)*(100%-'Données projet'!$C$25)*(100%-'Données projet'!$C$26)*(100%-'Données projet'!$C$27)</f>
        <v>182.10672000000002</v>
      </c>
      <c r="L7" s="152">
        <f t="shared" ref="L7:L15" ca="1" si="2">G7+I7+K7</f>
        <v>945.85024162623893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Merisier</v>
      </c>
      <c r="B8" s="154">
        <f>'Données projet'!D11</f>
        <v>0.68</v>
      </c>
      <c r="C8" s="147">
        <f ca="1">IF(OR('Données projet'!B11="",'Données projet'!C11="",'Données projet'!C11=0%),0,Calculateur!BI3)</f>
        <v>219.5868031007679</v>
      </c>
      <c r="D8" s="147">
        <f>IF(OR('Données projet'!B11="",'Données projet'!C11="",'Données projet'!C11=0%),0,Calculateur!BJ3)</f>
        <v>263.3830219837742</v>
      </c>
      <c r="E8" s="147">
        <f t="shared" ca="1" si="0"/>
        <v>219.5868031007679</v>
      </c>
      <c r="F8" s="147">
        <f t="shared" ca="1" si="1"/>
        <v>149.31902610852217</v>
      </c>
      <c r="G8" s="147">
        <f ca="1">F8*(100%-'Données projet'!$C$24)*(100%-'Données projet'!$C$25)*(100%-'Données projet'!$C$26)*(100%-'Données projet'!$C$27)</f>
        <v>134.38712349766996</v>
      </c>
      <c r="H8" s="155">
        <f>IF(OR('Données projet'!B11="",'Données projet'!C11="",'Données projet'!C11=0%),0,AVERAGE(Calculateur!$BS$3:$BS$33)*B8)</f>
        <v>0.16785832817164842</v>
      </c>
      <c r="I8" s="149">
        <f>H8*(100%-'Données projet'!$C$24)*(100%-'Données projet'!$C$25)*(100%-'Données projet'!$C$26)*(100%-'Données projet'!$C$27)</f>
        <v>0.15107249535448358</v>
      </c>
      <c r="J8" s="150">
        <f>IF(OR('Données projet'!B11="",'Données projet'!C11="",'Données projet'!C11=0%),0,SUM(Calculateur!$BL$3:$BL$33)*VLOOKUP('Données projet'!$B$11,Paramètres!$A$1:$I$89,9,0)*B8)</f>
        <v>11.22</v>
      </c>
      <c r="K8" s="151">
        <f>J8*(100%-'Données projet'!$C$24)*(100%-'Données projet'!$C$25)*(100%-'Données projet'!$C$26)*(100%-'Données projet'!$C$27)</f>
        <v>10.098000000000001</v>
      </c>
      <c r="L8" s="152">
        <f t="shared" ca="1" si="2"/>
        <v>144.63619599302444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Cormier</v>
      </c>
      <c r="B9" s="154">
        <f>'Données projet'!D12</f>
        <v>0.34</v>
      </c>
      <c r="C9" s="147">
        <f ca="1">IF(OR('Données projet'!B12="",'Données projet'!C12="",'Données projet'!C12=0%),0,Calculateur!CD3)</f>
        <v>244.7364260963538</v>
      </c>
      <c r="D9" s="147">
        <f>IF(OR('Données projet'!B12="",'Données projet'!C12="",'Données projet'!C12=0%),0,Calculateur!CE3)</f>
        <v>270.32853612539299</v>
      </c>
      <c r="E9" s="147">
        <f t="shared" ca="1" si="0"/>
        <v>244.7364260963538</v>
      </c>
      <c r="F9" s="147">
        <f t="shared" ca="1" si="1"/>
        <v>83.210384872760301</v>
      </c>
      <c r="G9" s="147">
        <f ca="1">F9*(100%-'Données projet'!$C$24)*(100%-'Données projet'!$C$25)*(100%-'Données projet'!$C$26)*(100%-'Données projet'!$C$27)</f>
        <v>74.889346385484274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4.42</v>
      </c>
      <c r="K9" s="151">
        <f>J9*(100%-'Données projet'!$C$24)*(100%-'Données projet'!$C$25)*(100%-'Données projet'!$C$26)*(100%-'Données projet'!$C$27)</f>
        <v>3.9780000000000002</v>
      </c>
      <c r="L9" s="152">
        <f t="shared" ca="1" si="2"/>
        <v>78.867346385484268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Alisier torminal</v>
      </c>
      <c r="B10" s="154">
        <f>'Données projet'!D13</f>
        <v>0.34</v>
      </c>
      <c r="C10" s="147">
        <f ca="1">IF(OR('Données projet'!B13="",'Données projet'!C13="",'Données projet'!C13=0%),0,Calculateur!CY3)</f>
        <v>216.39536568500222</v>
      </c>
      <c r="D10" s="147">
        <f>IF(OR('Données projet'!B13="",'Données projet'!C13="",'Données projet'!C13=0%),0,Calculateur!CZ3)</f>
        <v>239.44686980897467</v>
      </c>
      <c r="E10" s="147">
        <f t="shared" ca="1" si="0"/>
        <v>216.39536568500222</v>
      </c>
      <c r="F10" s="147">
        <f t="shared" ca="1" si="1"/>
        <v>73.574424332900762</v>
      </c>
      <c r="G10" s="147">
        <f ca="1">F10*(100%-'Données projet'!$C$24)*(100%-'Données projet'!$C$25)*(100%-'Données projet'!$C$26)*(100%-'Données projet'!$C$27)</f>
        <v>66.216981899610687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4.42</v>
      </c>
      <c r="K10" s="151">
        <f>J10*(100%-'Données projet'!$C$24)*(100%-'Données projet'!$C$25)*(100%-'Données projet'!$C$26)*(100%-'Données projet'!$C$27)</f>
        <v>3.9780000000000002</v>
      </c>
      <c r="L10" s="152">
        <f t="shared" ca="1" si="2"/>
        <v>70.194981899610681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1670.2423011319413</v>
      </c>
      <c r="G16" s="166">
        <f t="shared" ca="1" si="3"/>
        <v>1503.2180710187472</v>
      </c>
      <c r="H16" s="167">
        <f t="shared" si="3"/>
        <v>29.63028590773202</v>
      </c>
      <c r="I16" s="167">
        <f t="shared" si="3"/>
        <v>26.667257316958821</v>
      </c>
      <c r="J16" s="168">
        <f t="shared" si="3"/>
        <v>264.56080000000003</v>
      </c>
      <c r="K16" s="168">
        <f t="shared" si="3"/>
        <v>238.10472000000004</v>
      </c>
      <c r="L16" s="169">
        <f t="shared" ca="1" si="3"/>
        <v>1767.9900483357062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Merisier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Cormier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Alisier torminal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G6" zoomScale="80" zoomScaleNormal="80" workbookViewId="0">
      <selection activeCell="J25" sqref="J2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3809.6809574382983</v>
      </c>
      <c r="U10" s="178">
        <f>'Données projet'!D9</f>
        <v>2.72</v>
      </c>
      <c r="V10" s="177">
        <f>U10*T10</f>
        <v>10362.332204232172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1720.5073702979737</v>
      </c>
      <c r="U11" s="178">
        <f>'Données projet'!D10</f>
        <v>2.72</v>
      </c>
      <c r="V11" s="177">
        <f t="shared" ref="V11" si="0">U11*T11</f>
        <v>4679.7800472104891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Merisier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1137.452259907049</v>
      </c>
      <c r="U12" s="178">
        <f>'Données projet'!D11</f>
        <v>0.68</v>
      </c>
      <c r="V12" s="177">
        <f t="shared" ref="V12:V19" si="1">U12*T12</f>
        <v>773.46753673679336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Cormier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733.59177129493355</v>
      </c>
      <c r="U13" s="178">
        <f>'Données projet'!D12</f>
        <v>0.34</v>
      </c>
      <c r="V13" s="177">
        <f t="shared" si="1"/>
        <v>249.42120224027744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Alisier torminal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733.59177129493355</v>
      </c>
      <c r="U14" s="178">
        <f>'Données projet'!D13</f>
        <v>0.34</v>
      </c>
      <c r="V14" s="177">
        <f t="shared" si="1"/>
        <v>249.42120224027744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40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40.000000000000021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25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1000.0000000000006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f>7562*(1+12%)</f>
        <v>8469.44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562*(1+12%)</f>
        <v>629.44000000000005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 t="shared" ref="I22:I24" si="2">562*(1+12%)</f>
        <v>629.44000000000005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20</v>
      </c>
      <c r="B23" s="181">
        <f>'Données projet'!D36</f>
        <v>6</v>
      </c>
      <c r="C23" s="193">
        <f>13*(1+12.8%)</f>
        <v>14.664000000000001</v>
      </c>
      <c r="D23" s="182">
        <f>B23*C23</f>
        <v>87.984000000000009</v>
      </c>
      <c r="E23" s="193">
        <f>75+(D23*12%)</f>
        <v>85.558080000000004</v>
      </c>
      <c r="F23" s="230"/>
      <c r="H23" s="190">
        <v>4</v>
      </c>
      <c r="I23" s="191">
        <f t="shared" si="2"/>
        <v>629.44000000000005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-53491.789091615858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25</v>
      </c>
      <c r="B24" s="181">
        <f>'Données projet'!D37</f>
        <v>28</v>
      </c>
      <c r="C24" s="193">
        <f>35*(1+12.8%)</f>
        <v>39.480000000000004</v>
      </c>
      <c r="D24" s="182">
        <f t="shared" ref="D24:D42" si="3">B24*C24</f>
        <v>1105.44</v>
      </c>
      <c r="E24" s="193">
        <f t="shared" ref="E24:E42" si="4">75+(D24*12%)</f>
        <v>207.65280000000001</v>
      </c>
      <c r="F24" s="233"/>
      <c r="H24" s="190">
        <v>5</v>
      </c>
      <c r="I24" s="191">
        <f t="shared" si="2"/>
        <v>629.44000000000005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1169.1151673943891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30</v>
      </c>
      <c r="B25" s="181">
        <f>'Données projet'!D38</f>
        <v>28</v>
      </c>
      <c r="C25" s="193">
        <f>40*(1+12.8%)</f>
        <v>45.120000000000005</v>
      </c>
      <c r="D25" s="182">
        <f t="shared" si="3"/>
        <v>1263.3600000000001</v>
      </c>
      <c r="E25" s="193">
        <f t="shared" si="4"/>
        <v>226.60320000000002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-54660.904259010247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35</v>
      </c>
      <c r="B26" s="181">
        <f>'Données projet'!D39</f>
        <v>28</v>
      </c>
      <c r="C26" s="193">
        <f>40*(1+12.8%)</f>
        <v>45.120000000000005</v>
      </c>
      <c r="D26" s="182">
        <f t="shared" si="3"/>
        <v>1263.3600000000001</v>
      </c>
      <c r="E26" s="193">
        <f t="shared" si="4"/>
        <v>226.60320000000002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40</v>
      </c>
      <c r="B27" s="181">
        <f>'Données projet'!D40</f>
        <v>28</v>
      </c>
      <c r="C27" s="193">
        <f>70*(1+12.8%)</f>
        <v>78.960000000000008</v>
      </c>
      <c r="D27" s="182">
        <f t="shared" si="3"/>
        <v>2210.88</v>
      </c>
      <c r="E27" s="193">
        <f t="shared" si="4"/>
        <v>340.30560000000003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45</v>
      </c>
      <c r="B28" s="181">
        <f>'Données projet'!D41</f>
        <v>28</v>
      </c>
      <c r="C28" s="193">
        <f>70*(1+12.8%)</f>
        <v>78.960000000000008</v>
      </c>
      <c r="D28" s="182">
        <f t="shared" si="3"/>
        <v>2210.88</v>
      </c>
      <c r="E28" s="193">
        <f t="shared" si="4"/>
        <v>340.30560000000003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50</v>
      </c>
      <c r="B29" s="181">
        <f>'Données projet'!D42</f>
        <v>28</v>
      </c>
      <c r="C29" s="193">
        <f>90*(1+12.8%)</f>
        <v>101.52000000000001</v>
      </c>
      <c r="D29" s="182">
        <f t="shared" si="3"/>
        <v>2842.5600000000004</v>
      </c>
      <c r="E29" s="193">
        <f t="shared" si="4"/>
        <v>416.10720000000003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55</v>
      </c>
      <c r="B30" s="181">
        <f>'Données projet'!D43</f>
        <v>28</v>
      </c>
      <c r="C30" s="193">
        <f t="shared" ref="C30:C31" si="5">90*(1+12.8%)</f>
        <v>101.52000000000001</v>
      </c>
      <c r="D30" s="182">
        <f t="shared" si="3"/>
        <v>2842.5600000000004</v>
      </c>
      <c r="E30" s="193">
        <f t="shared" si="4"/>
        <v>416.10720000000003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60</v>
      </c>
      <c r="B31" s="181">
        <f>'Données projet'!D44</f>
        <v>28</v>
      </c>
      <c r="C31" s="193">
        <f t="shared" si="5"/>
        <v>101.52000000000001</v>
      </c>
      <c r="D31" s="182">
        <f t="shared" si="3"/>
        <v>2842.5600000000004</v>
      </c>
      <c r="E31" s="193">
        <f t="shared" si="4"/>
        <v>416.10720000000003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65</v>
      </c>
      <c r="B32" s="181">
        <f>'Données projet'!D45</f>
        <v>28</v>
      </c>
      <c r="C32" s="193">
        <f>200*(1+12.8%)</f>
        <v>225.60000000000002</v>
      </c>
      <c r="D32" s="182">
        <f t="shared" si="3"/>
        <v>6316.8000000000011</v>
      </c>
      <c r="E32" s="193">
        <f t="shared" si="4"/>
        <v>833.01600000000008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70</v>
      </c>
      <c r="B33" s="181">
        <f>'Données projet'!D46</f>
        <v>28</v>
      </c>
      <c r="C33" s="193">
        <f t="shared" ref="C33:C34" si="6">200*(1+12.8%)</f>
        <v>225.60000000000002</v>
      </c>
      <c r="D33" s="182">
        <f t="shared" si="3"/>
        <v>6316.8000000000011</v>
      </c>
      <c r="E33" s="193">
        <f t="shared" si="4"/>
        <v>833.01600000000008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7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75</v>
      </c>
      <c r="B34" s="181">
        <f>'Données projet'!D47</f>
        <v>28</v>
      </c>
      <c r="C34" s="193">
        <f t="shared" si="6"/>
        <v>225.60000000000002</v>
      </c>
      <c r="D34" s="182">
        <f t="shared" si="3"/>
        <v>6316.8000000000011</v>
      </c>
      <c r="E34" s="193">
        <f t="shared" si="4"/>
        <v>833.01600000000008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7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80</v>
      </c>
      <c r="B35" s="181">
        <f>'Données projet'!D48</f>
        <v>28</v>
      </c>
      <c r="C35" s="193">
        <f>250*(1+12.8%)</f>
        <v>282</v>
      </c>
      <c r="D35" s="182">
        <f t="shared" si="3"/>
        <v>7896</v>
      </c>
      <c r="E35" s="193">
        <f t="shared" si="4"/>
        <v>1022.52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7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85</v>
      </c>
      <c r="B36" s="181">
        <f>'Données projet'!D49</f>
        <v>28</v>
      </c>
      <c r="C36" s="193">
        <f>300*(1+12.8%)</f>
        <v>338.40000000000003</v>
      </c>
      <c r="D36" s="182">
        <f t="shared" si="3"/>
        <v>9475.2000000000007</v>
      </c>
      <c r="E36" s="193">
        <f t="shared" si="4"/>
        <v>1212.0240000000001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7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90</v>
      </c>
      <c r="B37" s="181">
        <f>'Données projet'!D50</f>
        <v>28</v>
      </c>
      <c r="C37" s="193">
        <f t="shared" ref="C37:C39" si="8">300*(1+12.8%)</f>
        <v>338.40000000000003</v>
      </c>
      <c r="D37" s="182">
        <f t="shared" si="3"/>
        <v>9475.2000000000007</v>
      </c>
      <c r="E37" s="193">
        <f t="shared" si="4"/>
        <v>1212.0240000000001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7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95</v>
      </c>
      <c r="B38" s="181">
        <f>'Données projet'!D51</f>
        <v>28</v>
      </c>
      <c r="C38" s="193">
        <f t="shared" si="8"/>
        <v>338.40000000000003</v>
      </c>
      <c r="D38" s="182">
        <f t="shared" si="3"/>
        <v>9475.2000000000007</v>
      </c>
      <c r="E38" s="193">
        <f t="shared" si="4"/>
        <v>1212.0240000000001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7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100</v>
      </c>
      <c r="B39" s="181">
        <f>'Données projet'!D52</f>
        <v>27</v>
      </c>
      <c r="C39" s="193">
        <f t="shared" si="8"/>
        <v>338.40000000000003</v>
      </c>
      <c r="D39" s="182">
        <f t="shared" si="3"/>
        <v>9136.8000000000011</v>
      </c>
      <c r="E39" s="193">
        <f t="shared" si="4"/>
        <v>1171.4160000000002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7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105</v>
      </c>
      <c r="B40" s="181">
        <f>'Données projet'!D53</f>
        <v>26</v>
      </c>
      <c r="C40" s="193">
        <f>380*(1+12.8%)</f>
        <v>428.64000000000004</v>
      </c>
      <c r="D40" s="182">
        <f t="shared" si="3"/>
        <v>11144.640000000001</v>
      </c>
      <c r="E40" s="193">
        <f t="shared" si="4"/>
        <v>1412.3568</v>
      </c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7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110</v>
      </c>
      <c r="B41" s="181">
        <f>'Données projet'!D54</f>
        <v>25</v>
      </c>
      <c r="C41" s="193">
        <f t="shared" ref="C41:C42" si="9">380*(1+12.8%)</f>
        <v>428.64000000000004</v>
      </c>
      <c r="D41" s="182">
        <f t="shared" si="3"/>
        <v>10716.000000000002</v>
      </c>
      <c r="E41" s="193">
        <f t="shared" si="4"/>
        <v>1360.92</v>
      </c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7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115</v>
      </c>
      <c r="B42" s="181">
        <f>'Données projet'!D55</f>
        <v>24</v>
      </c>
      <c r="C42" s="193">
        <f t="shared" si="9"/>
        <v>428.64000000000004</v>
      </c>
      <c r="D42" s="182">
        <f t="shared" si="3"/>
        <v>10287.36</v>
      </c>
      <c r="E42" s="193">
        <f t="shared" si="4"/>
        <v>1309.4832000000001</v>
      </c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7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7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7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7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7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7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7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7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7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7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7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7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18</v>
      </c>
      <c r="B54" s="181">
        <f>'Données projet'!D62</f>
        <v>45</v>
      </c>
      <c r="C54" s="191">
        <f>10*(1+12.8%)</f>
        <v>11.280000000000001</v>
      </c>
      <c r="D54" s="179">
        <f>B54*C54</f>
        <v>507.6</v>
      </c>
      <c r="E54" s="193">
        <f>75+(D54*12%)</f>
        <v>135.91200000000001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7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23</v>
      </c>
      <c r="B55" s="181">
        <f>'Données projet'!D63</f>
        <v>51</v>
      </c>
      <c r="C55" s="191">
        <f>15*(1+12.8%)</f>
        <v>16.920000000000002</v>
      </c>
      <c r="D55" s="179">
        <f t="shared" ref="D55:D73" si="10">B55*C55</f>
        <v>862.92000000000007</v>
      </c>
      <c r="E55" s="193">
        <f t="shared" ref="E55:E60" si="11">75+(D55*12%)</f>
        <v>178.55040000000002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7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29</v>
      </c>
      <c r="B56" s="181">
        <f>'Données projet'!D64</f>
        <v>77</v>
      </c>
      <c r="C56" s="191">
        <f>22*(1+12.8%)</f>
        <v>24.816000000000003</v>
      </c>
      <c r="D56" s="179">
        <f t="shared" si="10"/>
        <v>1910.8320000000001</v>
      </c>
      <c r="E56" s="193">
        <f t="shared" si="11"/>
        <v>304.29984000000002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7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36</v>
      </c>
      <c r="B57" s="181">
        <f>'Données projet'!D65</f>
        <v>84</v>
      </c>
      <c r="C57" s="191">
        <f>22*(1+12.8%)</f>
        <v>24.816000000000003</v>
      </c>
      <c r="D57" s="179">
        <f t="shared" si="10"/>
        <v>2084.5440000000003</v>
      </c>
      <c r="E57" s="193">
        <f t="shared" si="11"/>
        <v>325.14528000000007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7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44</v>
      </c>
      <c r="B58" s="181">
        <f>'Données projet'!D66</f>
        <v>88</v>
      </c>
      <c r="C58" s="191">
        <f>25*(1+12.8%)</f>
        <v>28.200000000000003</v>
      </c>
      <c r="D58" s="179">
        <f t="shared" si="10"/>
        <v>2481.6000000000004</v>
      </c>
      <c r="E58" s="193">
        <f t="shared" si="11"/>
        <v>372.79200000000003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7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54</v>
      </c>
      <c r="B59" s="181">
        <f>'Données projet'!D67</f>
        <v>95</v>
      </c>
      <c r="C59" s="191">
        <f>25*(1+12.8%)</f>
        <v>28.200000000000003</v>
      </c>
      <c r="D59" s="179">
        <f t="shared" si="10"/>
        <v>2679.0000000000005</v>
      </c>
      <c r="E59" s="193">
        <f t="shared" si="11"/>
        <v>396.48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7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64</v>
      </c>
      <c r="B60" s="181">
        <f>'Données projet'!D68</f>
        <v>93</v>
      </c>
      <c r="C60" s="191">
        <f>42*(1+12.8%)</f>
        <v>47.376000000000005</v>
      </c>
      <c r="D60" s="179">
        <f t="shared" si="10"/>
        <v>4405.9680000000008</v>
      </c>
      <c r="E60" s="193">
        <f t="shared" si="11"/>
        <v>603.71616000000006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7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10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7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10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7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10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7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10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7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10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12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10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12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10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12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10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12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10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12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10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12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10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12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10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12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10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12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12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12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Merisier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12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12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12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12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12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12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12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12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12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27</v>
      </c>
      <c r="C85" s="191">
        <f>12*(1+12.8%)</f>
        <v>13.536000000000001</v>
      </c>
      <c r="D85" s="179">
        <f>B85*C85</f>
        <v>365.47200000000004</v>
      </c>
      <c r="E85" s="193">
        <f>75+(D85*12%)</f>
        <v>118.85664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12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25</v>
      </c>
      <c r="B86" s="181">
        <f>'Données projet'!D89</f>
        <v>16</v>
      </c>
      <c r="C86" s="191">
        <f>12*(1+12.8%)</f>
        <v>13.536000000000001</v>
      </c>
      <c r="D86" s="179">
        <f t="shared" ref="D86:D104" si="13">B86*C86</f>
        <v>216.57600000000002</v>
      </c>
      <c r="E86" s="193">
        <f t="shared" ref="E86:E93" si="14">75+(D86*12%)</f>
        <v>100.98912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12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30</v>
      </c>
      <c r="B87" s="181">
        <f>'Données projet'!D90</f>
        <v>23</v>
      </c>
      <c r="C87" s="191">
        <f>22*(1+12.8%)</f>
        <v>24.816000000000003</v>
      </c>
      <c r="D87" s="179">
        <f t="shared" si="13"/>
        <v>570.76800000000003</v>
      </c>
      <c r="E87" s="193">
        <f t="shared" si="14"/>
        <v>143.49216000000001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12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35</v>
      </c>
      <c r="B88" s="181">
        <f>'Données projet'!D91</f>
        <v>29</v>
      </c>
      <c r="C88" s="191">
        <f>22*(1+12.8%)</f>
        <v>24.816000000000003</v>
      </c>
      <c r="D88" s="179">
        <f t="shared" si="13"/>
        <v>719.6640000000001</v>
      </c>
      <c r="E88" s="193">
        <f t="shared" si="14"/>
        <v>161.35968000000003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12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40</v>
      </c>
      <c r="B89" s="181">
        <f>'Données projet'!D92</f>
        <v>32</v>
      </c>
      <c r="C89" s="191">
        <f>35*(1+12.8%)</f>
        <v>39.480000000000004</v>
      </c>
      <c r="D89" s="179">
        <f t="shared" si="13"/>
        <v>1263.3600000000001</v>
      </c>
      <c r="E89" s="193">
        <f t="shared" si="14"/>
        <v>226.60320000000002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12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45</v>
      </c>
      <c r="B90" s="181">
        <f>'Données projet'!D93</f>
        <v>36</v>
      </c>
      <c r="C90" s="191">
        <f>35*(1+12.8%)</f>
        <v>39.480000000000004</v>
      </c>
      <c r="D90" s="179">
        <f t="shared" si="13"/>
        <v>1421.2800000000002</v>
      </c>
      <c r="E90" s="193">
        <f t="shared" si="14"/>
        <v>245.55360000000002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12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50</v>
      </c>
      <c r="B91" s="181">
        <f>'Données projet'!D94</f>
        <v>35</v>
      </c>
      <c r="C91" s="191">
        <f>45*(1+12.8%)</f>
        <v>50.760000000000005</v>
      </c>
      <c r="D91" s="179">
        <f t="shared" si="13"/>
        <v>1776.6000000000001</v>
      </c>
      <c r="E91" s="193">
        <f t="shared" si="14"/>
        <v>288.19200000000001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12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55</v>
      </c>
      <c r="B92" s="181">
        <f>'Données projet'!D95</f>
        <v>35</v>
      </c>
      <c r="C92" s="191">
        <f>45*(1+12.8%)</f>
        <v>50.760000000000005</v>
      </c>
      <c r="D92" s="179">
        <f t="shared" si="13"/>
        <v>1776.6000000000001</v>
      </c>
      <c r="E92" s="193">
        <f t="shared" si="14"/>
        <v>288.19200000000001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12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60</v>
      </c>
      <c r="B93" s="181">
        <f>'Données projet'!D96</f>
        <v>37</v>
      </c>
      <c r="C93" s="191">
        <f>50*(1+12.8%)</f>
        <v>56.400000000000006</v>
      </c>
      <c r="D93" s="179">
        <f t="shared" si="13"/>
        <v>2086.8000000000002</v>
      </c>
      <c r="E93" s="193">
        <f t="shared" si="14"/>
        <v>325.41600000000005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12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13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12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13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12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13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12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13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15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13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15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13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15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13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15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13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15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13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15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13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15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13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15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15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15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Cormier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15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15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15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15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15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15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15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15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15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25</v>
      </c>
      <c r="B116" s="181">
        <f>'Données projet'!D114</f>
        <v>28</v>
      </c>
      <c r="C116" s="191">
        <f>7.6*(1+12.8%)</f>
        <v>8.5728000000000009</v>
      </c>
      <c r="D116" s="179">
        <f>B116*C116</f>
        <v>240.03840000000002</v>
      </c>
      <c r="E116" s="193">
        <f>75+(D116*12%)</f>
        <v>103.804608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15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30</v>
      </c>
      <c r="B117" s="181">
        <f>'Données projet'!D115</f>
        <v>24</v>
      </c>
      <c r="C117" s="191">
        <f>13.2*(1+12.8%)</f>
        <v>14.889600000000002</v>
      </c>
      <c r="D117" s="179">
        <f t="shared" ref="D117:D135" si="16">B117*C117</f>
        <v>357.35040000000004</v>
      </c>
      <c r="E117" s="193">
        <f t="shared" ref="E117:E123" si="17">75+(D117*12%)</f>
        <v>117.882048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15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35</v>
      </c>
      <c r="B118" s="181">
        <f>'Données projet'!D116</f>
        <v>27</v>
      </c>
      <c r="C118" s="191">
        <f>18.8*(1+12.8%)</f>
        <v>21.206400000000002</v>
      </c>
      <c r="D118" s="179">
        <f t="shared" si="16"/>
        <v>572.57280000000003</v>
      </c>
      <c r="E118" s="193">
        <f t="shared" si="17"/>
        <v>143.70873599999999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15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40</v>
      </c>
      <c r="B119" s="181">
        <f>'Données projet'!D117</f>
        <v>32</v>
      </c>
      <c r="C119" s="191">
        <f>30.28*(1+12.8%)</f>
        <v>34.155840000000005</v>
      </c>
      <c r="D119" s="179">
        <f t="shared" si="16"/>
        <v>1092.9868800000002</v>
      </c>
      <c r="E119" s="193">
        <f t="shared" si="17"/>
        <v>206.15842560000002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15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45</v>
      </c>
      <c r="B120" s="181">
        <f>'Données projet'!D118</f>
        <v>31</v>
      </c>
      <c r="C120" s="191">
        <f t="shared" ref="C120:C121" si="18">30.28*(1+12.8%)</f>
        <v>34.155840000000005</v>
      </c>
      <c r="D120" s="179">
        <f t="shared" si="16"/>
        <v>1058.8310400000003</v>
      </c>
      <c r="E120" s="193">
        <f t="shared" si="17"/>
        <v>202.05972480000003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15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50</v>
      </c>
      <c r="B121" s="181">
        <f>'Données projet'!D119</f>
        <v>30</v>
      </c>
      <c r="C121" s="191">
        <f t="shared" si="18"/>
        <v>34.155840000000005</v>
      </c>
      <c r="D121" s="179">
        <f t="shared" si="16"/>
        <v>1024.6752000000001</v>
      </c>
      <c r="E121" s="193">
        <f t="shared" si="17"/>
        <v>197.96102400000001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15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55</v>
      </c>
      <c r="B122" s="181">
        <f>'Données projet'!D120</f>
        <v>30</v>
      </c>
      <c r="C122" s="191">
        <f>40*(1+12.8%)</f>
        <v>45.120000000000005</v>
      </c>
      <c r="D122" s="179">
        <f t="shared" si="16"/>
        <v>1353.6000000000001</v>
      </c>
      <c r="E122" s="193">
        <f t="shared" si="17"/>
        <v>237.43200000000002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15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60</v>
      </c>
      <c r="B123" s="181">
        <f>'Données projet'!D121</f>
        <v>27</v>
      </c>
      <c r="C123" s="191">
        <f>40*(1+12.8%)</f>
        <v>45.120000000000005</v>
      </c>
      <c r="D123" s="179">
        <f t="shared" si="16"/>
        <v>1218.2400000000002</v>
      </c>
      <c r="E123" s="193">
        <f t="shared" si="17"/>
        <v>221.18880000000001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15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16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15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16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15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16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15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16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15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16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15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16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16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16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16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16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16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16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Alisier torminal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25</v>
      </c>
      <c r="B147" s="175">
        <f>'Données projet'!D140</f>
        <v>28</v>
      </c>
      <c r="C147" s="191">
        <f>7.6*(1+12.8%)</f>
        <v>8.5728000000000009</v>
      </c>
      <c r="D147" s="182">
        <f>B147*C147</f>
        <v>240.03840000000002</v>
      </c>
      <c r="E147" s="193">
        <f>75+(D147*12%)</f>
        <v>103.804608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30</v>
      </c>
      <c r="B148" s="175">
        <f>'Données projet'!D141</f>
        <v>24</v>
      </c>
      <c r="C148" s="191">
        <f>13.2*(1+12.8%)</f>
        <v>14.889600000000002</v>
      </c>
      <c r="D148" s="182">
        <f t="shared" ref="D148:D166" si="20">B148*C148</f>
        <v>357.35040000000004</v>
      </c>
      <c r="E148" s="193">
        <f t="shared" ref="E148:E154" si="21">75+(D148*12%)</f>
        <v>117.882048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35</v>
      </c>
      <c r="B149" s="175">
        <f>'Données projet'!D142</f>
        <v>27</v>
      </c>
      <c r="C149" s="191">
        <f>18.8*(1+12.8%)</f>
        <v>21.206400000000002</v>
      </c>
      <c r="D149" s="182">
        <f t="shared" si="20"/>
        <v>572.57280000000003</v>
      </c>
      <c r="E149" s="193">
        <f t="shared" si="21"/>
        <v>143.70873599999999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40</v>
      </c>
      <c r="B150" s="175">
        <f>'Données projet'!D143</f>
        <v>32</v>
      </c>
      <c r="C150" s="191">
        <f>30.28*(1+12.8%)</f>
        <v>34.155840000000005</v>
      </c>
      <c r="D150" s="182">
        <f t="shared" si="20"/>
        <v>1092.9868800000002</v>
      </c>
      <c r="E150" s="193">
        <f t="shared" si="21"/>
        <v>206.15842560000002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45</v>
      </c>
      <c r="B151" s="175">
        <f>'Données projet'!D144</f>
        <v>31</v>
      </c>
      <c r="C151" s="191">
        <f t="shared" ref="C151:C152" si="22">30.28*(1+12.8%)</f>
        <v>34.155840000000005</v>
      </c>
      <c r="D151" s="182">
        <f t="shared" si="20"/>
        <v>1058.8310400000003</v>
      </c>
      <c r="E151" s="193">
        <f t="shared" si="21"/>
        <v>202.05972480000003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50</v>
      </c>
      <c r="B152" s="175">
        <f>'Données projet'!D145</f>
        <v>30</v>
      </c>
      <c r="C152" s="191">
        <f t="shared" si="22"/>
        <v>34.155840000000005</v>
      </c>
      <c r="D152" s="182">
        <f t="shared" si="20"/>
        <v>1024.6752000000001</v>
      </c>
      <c r="E152" s="193">
        <f t="shared" si="21"/>
        <v>197.96102400000001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55</v>
      </c>
      <c r="B153" s="175">
        <f>'Données projet'!D146</f>
        <v>30</v>
      </c>
      <c r="C153" s="191">
        <f>40*(1+12.8%)</f>
        <v>45.120000000000005</v>
      </c>
      <c r="D153" s="182">
        <f t="shared" si="20"/>
        <v>1353.6000000000001</v>
      </c>
      <c r="E153" s="193">
        <f t="shared" si="21"/>
        <v>237.43200000000002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60</v>
      </c>
      <c r="B154" s="175">
        <f>'Données projet'!D147</f>
        <v>27</v>
      </c>
      <c r="C154" s="191">
        <f>40*(1+12.8%)</f>
        <v>45.120000000000005</v>
      </c>
      <c r="D154" s="182">
        <f t="shared" si="20"/>
        <v>1218.2400000000002</v>
      </c>
      <c r="E154" s="193">
        <f t="shared" si="21"/>
        <v>221.18880000000001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2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2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2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2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2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2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2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2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2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2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2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2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23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23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23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23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23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23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23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23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23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23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23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23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23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23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23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23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23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23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23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24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24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24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24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24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24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24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24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24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24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24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24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24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24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24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24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24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24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24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25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25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25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25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25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25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25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25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25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25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25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25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25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25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25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25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25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25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25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26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26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26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26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26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26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26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26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26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26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26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26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26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26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26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26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26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26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26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27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27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27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27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27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27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27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27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27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27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27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27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27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27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27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27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27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27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27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emilie Parthuisot</cp:lastModifiedBy>
  <dcterms:created xsi:type="dcterms:W3CDTF">2021-02-01T08:22:39Z</dcterms:created>
  <dcterms:modified xsi:type="dcterms:W3CDTF">2023-04-20T16:45:41Z</dcterms:modified>
</cp:coreProperties>
</file>